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ai 2023\"/>
    </mc:Choice>
  </mc:AlternateContent>
  <bookViews>
    <workbookView xWindow="-120" yWindow="-120" windowWidth="20736" windowHeight="11760" tabRatio="553" activeTab="1"/>
  </bookViews>
  <sheets>
    <sheet name="Récapitulatif" sheetId="16" r:id="rId1"/>
    <sheet name="Donateur" sheetId="173" r:id="rId2"/>
    <sheet name="Feuil2" sheetId="175" r:id="rId3"/>
    <sheet name="DATA MAI 2023" sheetId="15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3" hidden="1">'DATA MAI 2023'!$A$12:$O$307</definedName>
    <definedName name="_xlnm.Print_Area" localSheetId="3">'DATA MAI 2023'!$A$1:$N$219</definedName>
  </definedNames>
  <calcPr calcId="162913"/>
  <pivotCaches>
    <pivotCache cacheId="75" r:id="rId16"/>
    <pivotCache cacheId="76" r:id="rId1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6" i="175" l="1"/>
  <c r="AK6" i="175"/>
  <c r="AK20" i="175"/>
  <c r="AN19" i="175"/>
  <c r="AM19" i="175"/>
  <c r="AL19" i="175"/>
  <c r="AK19" i="175"/>
  <c r="AN18" i="175"/>
  <c r="AM18" i="175"/>
  <c r="AL18" i="175"/>
  <c r="AK18" i="175"/>
  <c r="AN17" i="175"/>
  <c r="AM17" i="175"/>
  <c r="AL17" i="175"/>
  <c r="AK17" i="175"/>
  <c r="AN16" i="175"/>
  <c r="AM16" i="175"/>
  <c r="AL16" i="175"/>
  <c r="AK16" i="175"/>
  <c r="AN15" i="175"/>
  <c r="AM15" i="175"/>
  <c r="AL15" i="175"/>
  <c r="AK15" i="175"/>
  <c r="AN14" i="175"/>
  <c r="AM14" i="175"/>
  <c r="AL14" i="175"/>
  <c r="AK14" i="175"/>
  <c r="AN13" i="175"/>
  <c r="AM13" i="175"/>
  <c r="AL13" i="175"/>
  <c r="AK13" i="175"/>
  <c r="AN12" i="175"/>
  <c r="AM12" i="175"/>
  <c r="AL12" i="175"/>
  <c r="AK12" i="175"/>
  <c r="AN11" i="175"/>
  <c r="AM11" i="175"/>
  <c r="AL11" i="175"/>
  <c r="AK11" i="175"/>
  <c r="AN10" i="175"/>
  <c r="AM10" i="175"/>
  <c r="AL10" i="175"/>
  <c r="AK10" i="175"/>
  <c r="AN9" i="175"/>
  <c r="AM9" i="175"/>
  <c r="AL9" i="175"/>
  <c r="AK9" i="175"/>
  <c r="AN8" i="175"/>
  <c r="AM8" i="175"/>
  <c r="AL8" i="175"/>
  <c r="AK8" i="175"/>
  <c r="AO7" i="175"/>
  <c r="AN7" i="175"/>
  <c r="AM7" i="175"/>
  <c r="AL7" i="175"/>
  <c r="AK7" i="175"/>
  <c r="AO6" i="175"/>
  <c r="AO20" i="175" s="1"/>
  <c r="AM6" i="175"/>
  <c r="AL6" i="175"/>
  <c r="AN20" i="175" l="1"/>
  <c r="AM20" i="175"/>
  <c r="AL20" i="175"/>
  <c r="AM22" i="175"/>
  <c r="AL22" i="175" l="1"/>
  <c r="C19" i="173"/>
  <c r="C20" i="173"/>
  <c r="C45" i="16"/>
  <c r="C38" i="16"/>
  <c r="C39" i="16"/>
  <c r="C40" i="16"/>
  <c r="C41" i="16"/>
  <c r="C42" i="16"/>
  <c r="C43" i="16"/>
  <c r="N20" i="16"/>
  <c r="G14" i="16"/>
  <c r="G15" i="16"/>
  <c r="G16" i="16"/>
  <c r="G17" i="16"/>
  <c r="G18" i="16"/>
  <c r="G19" i="16"/>
  <c r="F14" i="16"/>
  <c r="H38" i="16" s="1"/>
  <c r="F15" i="16"/>
  <c r="H39" i="16" s="1"/>
  <c r="F16" i="16"/>
  <c r="H40" i="16" s="1"/>
  <c r="F17" i="16"/>
  <c r="H41" i="16" s="1"/>
  <c r="F18" i="16"/>
  <c r="H42" i="16" s="1"/>
  <c r="F19" i="16"/>
  <c r="H43" i="16" s="1"/>
  <c r="E14" i="16"/>
  <c r="E15" i="16"/>
  <c r="E16" i="16"/>
  <c r="I40" i="16" s="1"/>
  <c r="E17" i="16"/>
  <c r="E18" i="16"/>
  <c r="E19" i="16"/>
  <c r="D14" i="16"/>
  <c r="E38" i="16" s="1"/>
  <c r="D15" i="16"/>
  <c r="E39" i="16" s="1"/>
  <c r="D16" i="16"/>
  <c r="E40" i="16" s="1"/>
  <c r="D17" i="16"/>
  <c r="E41" i="16" s="1"/>
  <c r="D18" i="16"/>
  <c r="E42" i="16" s="1"/>
  <c r="D19" i="16"/>
  <c r="E43" i="16" s="1"/>
  <c r="I16" i="16" l="1"/>
  <c r="J16" i="16" s="1"/>
  <c r="J40" i="16"/>
  <c r="K40" i="16" l="1"/>
  <c r="F36" i="153" l="1"/>
  <c r="F82" i="153"/>
  <c r="C48" i="16" l="1"/>
  <c r="C47" i="16"/>
  <c r="I39" i="16"/>
  <c r="C37" i="16"/>
  <c r="C36" i="16"/>
  <c r="C35" i="16"/>
  <c r="H34" i="16"/>
  <c r="C34" i="16"/>
  <c r="C33" i="16"/>
  <c r="C32" i="16"/>
  <c r="A32" i="16"/>
  <c r="A33" i="16" s="1"/>
  <c r="A34" i="16" s="1"/>
  <c r="A35" i="16" s="1"/>
  <c r="A36" i="16" s="1"/>
  <c r="A37" i="16" s="1"/>
  <c r="C31" i="16"/>
  <c r="O20" i="16"/>
  <c r="M20" i="16"/>
  <c r="L20" i="16"/>
  <c r="H20" i="16"/>
  <c r="C20" i="16"/>
  <c r="A23" i="16" s="1"/>
  <c r="I43" i="16"/>
  <c r="A19" i="16"/>
  <c r="I42" i="16"/>
  <c r="I18" i="16"/>
  <c r="J18" i="16" s="1"/>
  <c r="A18" i="16"/>
  <c r="I41" i="16"/>
  <c r="A17" i="16"/>
  <c r="A15" i="16"/>
  <c r="I38" i="16"/>
  <c r="A14" i="16"/>
  <c r="G13" i="16"/>
  <c r="F13" i="16"/>
  <c r="H37" i="16" s="1"/>
  <c r="E13" i="16"/>
  <c r="I37" i="16" s="1"/>
  <c r="D13" i="16"/>
  <c r="E37" i="16" s="1"/>
  <c r="A13" i="16"/>
  <c r="G12" i="16"/>
  <c r="F12" i="16"/>
  <c r="H36" i="16" s="1"/>
  <c r="E12" i="16"/>
  <c r="I36" i="16" s="1"/>
  <c r="D12" i="16"/>
  <c r="E36" i="16" s="1"/>
  <c r="A12" i="16"/>
  <c r="G11" i="16"/>
  <c r="F11" i="16"/>
  <c r="H35" i="16" s="1"/>
  <c r="E11" i="16"/>
  <c r="I35" i="16" s="1"/>
  <c r="D11" i="16"/>
  <c r="E35" i="16" s="1"/>
  <c r="A11" i="16"/>
  <c r="G10" i="16"/>
  <c r="F10" i="16"/>
  <c r="E10" i="16"/>
  <c r="I34" i="16" s="1"/>
  <c r="D10" i="16"/>
  <c r="E34" i="16" s="1"/>
  <c r="A10" i="16"/>
  <c r="G9" i="16"/>
  <c r="F9" i="16"/>
  <c r="H33" i="16" s="1"/>
  <c r="E9" i="16"/>
  <c r="I33" i="16" s="1"/>
  <c r="D9" i="16"/>
  <c r="A9" i="16"/>
  <c r="G8" i="16"/>
  <c r="F8" i="16"/>
  <c r="H32" i="16" s="1"/>
  <c r="E8" i="16"/>
  <c r="I32" i="16" s="1"/>
  <c r="D8" i="16"/>
  <c r="E32" i="16" s="1"/>
  <c r="A8" i="16"/>
  <c r="G7" i="16"/>
  <c r="F7" i="16"/>
  <c r="H31" i="16" s="1"/>
  <c r="E7" i="16"/>
  <c r="I31" i="16" s="1"/>
  <c r="D7" i="16"/>
  <c r="E31" i="16" s="1"/>
  <c r="A7" i="16"/>
  <c r="G6" i="16"/>
  <c r="F6" i="16"/>
  <c r="H45" i="16" s="1"/>
  <c r="E6" i="16"/>
  <c r="I45" i="16" s="1"/>
  <c r="D6" i="16"/>
  <c r="E45" i="16" s="1"/>
  <c r="A6" i="16"/>
  <c r="G5" i="16"/>
  <c r="D48" i="16" s="1"/>
  <c r="F5" i="16"/>
  <c r="H48" i="16" s="1"/>
  <c r="E5" i="16"/>
  <c r="I48" i="16" s="1"/>
  <c r="D5" i="16"/>
  <c r="A5" i="16"/>
  <c r="G4" i="16"/>
  <c r="D47" i="16" s="1"/>
  <c r="F4" i="16"/>
  <c r="H47" i="16" s="1"/>
  <c r="E4" i="16"/>
  <c r="I47" i="16" s="1"/>
  <c r="D4" i="16"/>
  <c r="A4" i="16"/>
  <c r="A38" i="16" l="1"/>
  <c r="A39" i="16" s="1"/>
  <c r="A40" i="16" s="1"/>
  <c r="A41" i="16" s="1"/>
  <c r="A42" i="16" s="1"/>
  <c r="A43" i="16" s="1"/>
  <c r="A45" i="16" s="1"/>
  <c r="A47" i="16" s="1"/>
  <c r="A48" i="16" s="1"/>
  <c r="I5" i="16"/>
  <c r="J5" i="16" s="1"/>
  <c r="I4" i="16"/>
  <c r="I9" i="16"/>
  <c r="J9" i="16" s="1"/>
  <c r="J37" i="16"/>
  <c r="C49" i="16"/>
  <c r="J48" i="16"/>
  <c r="J34" i="16"/>
  <c r="J47" i="16"/>
  <c r="J32" i="16"/>
  <c r="J36" i="16"/>
  <c r="J41" i="16"/>
  <c r="I49" i="16"/>
  <c r="J43" i="16"/>
  <c r="J31" i="16"/>
  <c r="J35" i="16"/>
  <c r="J39" i="16"/>
  <c r="J38" i="16"/>
  <c r="J4" i="16"/>
  <c r="J45" i="16"/>
  <c r="I13" i="16"/>
  <c r="J13" i="16" s="1"/>
  <c r="F20" i="16"/>
  <c r="E33" i="16"/>
  <c r="J33" i="16" s="1"/>
  <c r="J42" i="16"/>
  <c r="K42" i="16" s="1"/>
  <c r="I6" i="16"/>
  <c r="J6" i="16" s="1"/>
  <c r="I10" i="16"/>
  <c r="J10" i="16" s="1"/>
  <c r="I14" i="16"/>
  <c r="J14" i="16" s="1"/>
  <c r="I19" i="16"/>
  <c r="J19" i="16" s="1"/>
  <c r="E20" i="16"/>
  <c r="C23" i="16" s="1"/>
  <c r="I7" i="16"/>
  <c r="J7" i="16" s="1"/>
  <c r="I11" i="16"/>
  <c r="J11" i="16" s="1"/>
  <c r="I15" i="16"/>
  <c r="J15" i="16" s="1"/>
  <c r="D20" i="16"/>
  <c r="I8" i="16"/>
  <c r="J8" i="16" s="1"/>
  <c r="I12" i="16"/>
  <c r="J12" i="16" s="1"/>
  <c r="I17" i="16"/>
  <c r="J17" i="16" s="1"/>
  <c r="G20" i="16"/>
  <c r="B23" i="16" s="1"/>
  <c r="D23" i="16" l="1"/>
  <c r="K38" i="16"/>
  <c r="K48" i="16"/>
  <c r="K33" i="16"/>
  <c r="K47" i="16"/>
  <c r="K45" i="16"/>
  <c r="K43" i="16"/>
  <c r="K41" i="16"/>
  <c r="K31" i="16"/>
  <c r="J49" i="16"/>
  <c r="K34" i="16"/>
  <c r="I20" i="16"/>
  <c r="K35" i="16"/>
  <c r="K37" i="16"/>
  <c r="K32" i="16"/>
  <c r="G22" i="16"/>
  <c r="K39" i="16"/>
  <c r="K36" i="16"/>
  <c r="K49" i="16" l="1"/>
  <c r="I21" i="16"/>
  <c r="E23" i="16"/>
  <c r="J20" i="16"/>
  <c r="J21" i="16"/>
  <c r="N70" i="16" l="1"/>
  <c r="C97" i="16" l="1"/>
  <c r="C96" i="16"/>
  <c r="C94" i="16"/>
  <c r="C92" i="16"/>
  <c r="C91" i="16"/>
  <c r="C90" i="16"/>
  <c r="C89" i="16"/>
  <c r="C88" i="16"/>
  <c r="C87" i="16"/>
  <c r="C86" i="16"/>
  <c r="C85" i="16"/>
  <c r="C84" i="16"/>
  <c r="C83" i="16"/>
  <c r="C82" i="16"/>
  <c r="A82" i="16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4" i="16" s="1"/>
  <c r="A96" i="16" s="1"/>
  <c r="A97" i="16" s="1"/>
  <c r="C81" i="16"/>
  <c r="O70" i="16"/>
  <c r="M70" i="16"/>
  <c r="L70" i="16"/>
  <c r="H70" i="16"/>
  <c r="C70" i="16"/>
  <c r="A73" i="16" s="1"/>
  <c r="G69" i="16"/>
  <c r="F69" i="16"/>
  <c r="H92" i="16" s="1"/>
  <c r="E69" i="16"/>
  <c r="I92" i="16" s="1"/>
  <c r="D69" i="16"/>
  <c r="E92" i="16" s="1"/>
  <c r="A69" i="16"/>
  <c r="G68" i="16"/>
  <c r="F68" i="16"/>
  <c r="H91" i="16" s="1"/>
  <c r="E68" i="16"/>
  <c r="I91" i="16" s="1"/>
  <c r="D68" i="16"/>
  <c r="E91" i="16" s="1"/>
  <c r="A68" i="16"/>
  <c r="G67" i="16"/>
  <c r="F67" i="16"/>
  <c r="H90" i="16" s="1"/>
  <c r="E67" i="16"/>
  <c r="I90" i="16" s="1"/>
  <c r="D67" i="16"/>
  <c r="E90" i="16" s="1"/>
  <c r="A67" i="16"/>
  <c r="G66" i="16"/>
  <c r="F66" i="16"/>
  <c r="H89" i="16" s="1"/>
  <c r="E66" i="16"/>
  <c r="I89" i="16" s="1"/>
  <c r="D66" i="16"/>
  <c r="E89" i="16" s="1"/>
  <c r="A66" i="16"/>
  <c r="G65" i="16"/>
  <c r="F65" i="16"/>
  <c r="H88" i="16" s="1"/>
  <c r="E65" i="16"/>
  <c r="I88" i="16" s="1"/>
  <c r="D65" i="16"/>
  <c r="E88" i="16" s="1"/>
  <c r="A65" i="16"/>
  <c r="G64" i="16"/>
  <c r="F64" i="16"/>
  <c r="H87" i="16" s="1"/>
  <c r="E64" i="16"/>
  <c r="I87" i="16" s="1"/>
  <c r="D64" i="16"/>
  <c r="E87" i="16" s="1"/>
  <c r="A64" i="16"/>
  <c r="G63" i="16"/>
  <c r="F63" i="16"/>
  <c r="H86" i="16" s="1"/>
  <c r="E63" i="16"/>
  <c r="I86" i="16" s="1"/>
  <c r="D63" i="16"/>
  <c r="E86" i="16" s="1"/>
  <c r="A63" i="16"/>
  <c r="G62" i="16"/>
  <c r="F62" i="16"/>
  <c r="H85" i="16" s="1"/>
  <c r="E62" i="16"/>
  <c r="I85" i="16" s="1"/>
  <c r="D62" i="16"/>
  <c r="E85" i="16" s="1"/>
  <c r="A62" i="16"/>
  <c r="G61" i="16"/>
  <c r="F61" i="16"/>
  <c r="H84" i="16" s="1"/>
  <c r="E61" i="16"/>
  <c r="I84" i="16" s="1"/>
  <c r="D61" i="16"/>
  <c r="E84" i="16" s="1"/>
  <c r="A61" i="16"/>
  <c r="G60" i="16"/>
  <c r="F60" i="16"/>
  <c r="H83" i="16" s="1"/>
  <c r="E60" i="16"/>
  <c r="I83" i="16" s="1"/>
  <c r="D60" i="16"/>
  <c r="E83" i="16" s="1"/>
  <c r="A60" i="16"/>
  <c r="G59" i="16"/>
  <c r="F59" i="16"/>
  <c r="H82" i="16" s="1"/>
  <c r="E59" i="16"/>
  <c r="I82" i="16" s="1"/>
  <c r="D59" i="16"/>
  <c r="E82" i="16" s="1"/>
  <c r="A59" i="16"/>
  <c r="G58" i="16"/>
  <c r="F58" i="16"/>
  <c r="H81" i="16" s="1"/>
  <c r="E58" i="16"/>
  <c r="I81" i="16" s="1"/>
  <c r="D58" i="16"/>
  <c r="E81" i="16" s="1"/>
  <c r="A58" i="16"/>
  <c r="G57" i="16"/>
  <c r="F57" i="16"/>
  <c r="H94" i="16" s="1"/>
  <c r="E57" i="16"/>
  <c r="I94" i="16" s="1"/>
  <c r="D57" i="16"/>
  <c r="E94" i="16" s="1"/>
  <c r="A57" i="16"/>
  <c r="G56" i="16"/>
  <c r="D97" i="16" s="1"/>
  <c r="F56" i="16"/>
  <c r="H97" i="16" s="1"/>
  <c r="E56" i="16"/>
  <c r="I97" i="16" s="1"/>
  <c r="D56" i="16"/>
  <c r="A56" i="16"/>
  <c r="G55" i="16"/>
  <c r="D96" i="16" s="1"/>
  <c r="F55" i="16"/>
  <c r="H96" i="16" s="1"/>
  <c r="E55" i="16"/>
  <c r="I96" i="16" s="1"/>
  <c r="D55" i="16"/>
  <c r="A55" i="16"/>
  <c r="M118" i="16"/>
  <c r="J85" i="16" l="1"/>
  <c r="J82" i="16"/>
  <c r="J89" i="16"/>
  <c r="J81" i="16"/>
  <c r="J96" i="16"/>
  <c r="I56" i="16"/>
  <c r="J56" i="16" s="1"/>
  <c r="D70" i="16"/>
  <c r="C98" i="16"/>
  <c r="J97" i="16"/>
  <c r="J83" i="16"/>
  <c r="J87" i="16"/>
  <c r="J91" i="16"/>
  <c r="J86" i="16"/>
  <c r="J90" i="16"/>
  <c r="J94" i="16"/>
  <c r="I98" i="16"/>
  <c r="J84" i="16"/>
  <c r="J88" i="16"/>
  <c r="J92" i="16"/>
  <c r="I58" i="16"/>
  <c r="J58" i="16" s="1"/>
  <c r="I55" i="16"/>
  <c r="I60" i="16"/>
  <c r="J60" i="16" s="1"/>
  <c r="I64" i="16"/>
  <c r="J64" i="16" s="1"/>
  <c r="I68" i="16"/>
  <c r="J68" i="16" s="1"/>
  <c r="F70" i="16"/>
  <c r="I62" i="16"/>
  <c r="J62" i="16" s="1"/>
  <c r="I66" i="16"/>
  <c r="J66" i="16" s="1"/>
  <c r="I59" i="16"/>
  <c r="J59" i="16" s="1"/>
  <c r="I57" i="16"/>
  <c r="J57" i="16" s="1"/>
  <c r="I61" i="16"/>
  <c r="J61" i="16" s="1"/>
  <c r="I65" i="16"/>
  <c r="J65" i="16" s="1"/>
  <c r="I69" i="16"/>
  <c r="J69" i="16" s="1"/>
  <c r="E70" i="16"/>
  <c r="C73" i="16" s="1"/>
  <c r="I63" i="16"/>
  <c r="J63" i="16" s="1"/>
  <c r="I67" i="16"/>
  <c r="J67" i="16" s="1"/>
  <c r="G70" i="16"/>
  <c r="B73" i="16" s="1"/>
  <c r="K85" i="16" l="1"/>
  <c r="D73" i="16"/>
  <c r="G72" i="16"/>
  <c r="K87" i="16"/>
  <c r="K96" i="16"/>
  <c r="K84" i="16"/>
  <c r="K91" i="16"/>
  <c r="K88" i="16"/>
  <c r="K89" i="16"/>
  <c r="K82" i="16"/>
  <c r="K97" i="16"/>
  <c r="K83" i="16"/>
  <c r="K81" i="16"/>
  <c r="J98" i="16"/>
  <c r="I70" i="16"/>
  <c r="J55" i="16"/>
  <c r="K86" i="16"/>
  <c r="K92" i="16"/>
  <c r="K94" i="16"/>
  <c r="K90" i="16"/>
  <c r="K98" i="16" l="1"/>
  <c r="I71" i="16"/>
  <c r="E73" i="16"/>
  <c r="J70" i="16"/>
  <c r="J71" i="16"/>
  <c r="C145" i="16" l="1"/>
  <c r="C144" i="16"/>
  <c r="C142" i="16"/>
  <c r="C140" i="16"/>
  <c r="C139" i="16"/>
  <c r="C138" i="16"/>
  <c r="C137" i="16"/>
  <c r="C136" i="16"/>
  <c r="C135" i="16"/>
  <c r="C134" i="16"/>
  <c r="C133" i="16"/>
  <c r="C132" i="16"/>
  <c r="C131" i="16"/>
  <c r="C130" i="16"/>
  <c r="A130" i="16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2" i="16" s="1"/>
  <c r="A144" i="16" s="1"/>
  <c r="A145" i="16" s="1"/>
  <c r="C129" i="16"/>
  <c r="O118" i="16"/>
  <c r="N118" i="16"/>
  <c r="L118" i="16"/>
  <c r="H118" i="16"/>
  <c r="C118" i="16"/>
  <c r="A121" i="16" s="1"/>
  <c r="G117" i="16"/>
  <c r="F117" i="16"/>
  <c r="H140" i="16" s="1"/>
  <c r="E117" i="16"/>
  <c r="I140" i="16" s="1"/>
  <c r="D117" i="16"/>
  <c r="E140" i="16" s="1"/>
  <c r="A117" i="16"/>
  <c r="G116" i="16"/>
  <c r="F116" i="16"/>
  <c r="H139" i="16" s="1"/>
  <c r="E116" i="16"/>
  <c r="I139" i="16" s="1"/>
  <c r="D116" i="16"/>
  <c r="E139" i="16" s="1"/>
  <c r="A116" i="16"/>
  <c r="G115" i="16"/>
  <c r="F115" i="16"/>
  <c r="H138" i="16" s="1"/>
  <c r="E115" i="16"/>
  <c r="I138" i="16" s="1"/>
  <c r="D115" i="16"/>
  <c r="E138" i="16" s="1"/>
  <c r="A115" i="16"/>
  <c r="G114" i="16"/>
  <c r="F114" i="16"/>
  <c r="H137" i="16" s="1"/>
  <c r="E114" i="16"/>
  <c r="I137" i="16" s="1"/>
  <c r="D114" i="16"/>
  <c r="E137" i="16" s="1"/>
  <c r="A114" i="16"/>
  <c r="G113" i="16"/>
  <c r="F113" i="16"/>
  <c r="H136" i="16" s="1"/>
  <c r="E113" i="16"/>
  <c r="I136" i="16" s="1"/>
  <c r="D113" i="16"/>
  <c r="E136" i="16" s="1"/>
  <c r="A113" i="16"/>
  <c r="G112" i="16"/>
  <c r="F112" i="16"/>
  <c r="H135" i="16" s="1"/>
  <c r="E112" i="16"/>
  <c r="I135" i="16" s="1"/>
  <c r="D112" i="16"/>
  <c r="E135" i="16" s="1"/>
  <c r="A112" i="16"/>
  <c r="G111" i="16"/>
  <c r="F111" i="16"/>
  <c r="H134" i="16" s="1"/>
  <c r="E111" i="16"/>
  <c r="I134" i="16" s="1"/>
  <c r="D111" i="16"/>
  <c r="E134" i="16" s="1"/>
  <c r="A111" i="16"/>
  <c r="G110" i="16"/>
  <c r="F110" i="16"/>
  <c r="H133" i="16" s="1"/>
  <c r="E110" i="16"/>
  <c r="I133" i="16" s="1"/>
  <c r="D110" i="16"/>
  <c r="E133" i="16" s="1"/>
  <c r="A110" i="16"/>
  <c r="G109" i="16"/>
  <c r="F109" i="16"/>
  <c r="H132" i="16" s="1"/>
  <c r="E109" i="16"/>
  <c r="I132" i="16" s="1"/>
  <c r="D109" i="16"/>
  <c r="E132" i="16" s="1"/>
  <c r="A109" i="16"/>
  <c r="G108" i="16"/>
  <c r="F108" i="16"/>
  <c r="H131" i="16" s="1"/>
  <c r="E108" i="16"/>
  <c r="I131" i="16" s="1"/>
  <c r="D108" i="16"/>
  <c r="E131" i="16" s="1"/>
  <c r="A108" i="16"/>
  <c r="G107" i="16"/>
  <c r="F107" i="16"/>
  <c r="H130" i="16" s="1"/>
  <c r="E107" i="16"/>
  <c r="I130" i="16" s="1"/>
  <c r="D107" i="16"/>
  <c r="E130" i="16" s="1"/>
  <c r="A107" i="16"/>
  <c r="G106" i="16"/>
  <c r="F106" i="16"/>
  <c r="E106" i="16"/>
  <c r="I129" i="16" s="1"/>
  <c r="D106" i="16"/>
  <c r="E129" i="16" s="1"/>
  <c r="A106" i="16"/>
  <c r="G105" i="16"/>
  <c r="F105" i="16"/>
  <c r="H142" i="16" s="1"/>
  <c r="E105" i="16"/>
  <c r="I142" i="16" s="1"/>
  <c r="D105" i="16"/>
  <c r="E142" i="16" s="1"/>
  <c r="A105" i="16"/>
  <c r="G104" i="16"/>
  <c r="D145" i="16" s="1"/>
  <c r="F104" i="16"/>
  <c r="H145" i="16" s="1"/>
  <c r="E104" i="16"/>
  <c r="I145" i="16" s="1"/>
  <c r="D104" i="16"/>
  <c r="A104" i="16"/>
  <c r="G103" i="16"/>
  <c r="D144" i="16" s="1"/>
  <c r="F103" i="16"/>
  <c r="H144" i="16" s="1"/>
  <c r="E103" i="16"/>
  <c r="I144" i="16" s="1"/>
  <c r="D103" i="16"/>
  <c r="A103" i="16"/>
  <c r="A151" i="16"/>
  <c r="D151" i="16"/>
  <c r="E151" i="16"/>
  <c r="F151" i="16"/>
  <c r="G151" i="16"/>
  <c r="A152" i="16"/>
  <c r="D152" i="16"/>
  <c r="E152" i="16"/>
  <c r="F152" i="16"/>
  <c r="G152" i="16"/>
  <c r="A153" i="16"/>
  <c r="D153" i="16"/>
  <c r="E153" i="16"/>
  <c r="F153" i="16"/>
  <c r="G153" i="16"/>
  <c r="A154" i="16"/>
  <c r="D154" i="16"/>
  <c r="E154" i="16"/>
  <c r="F154" i="16"/>
  <c r="G154" i="16"/>
  <c r="A155" i="16"/>
  <c r="D155" i="16"/>
  <c r="E155" i="16"/>
  <c r="F155" i="16"/>
  <c r="G155" i="16"/>
  <c r="A156" i="16"/>
  <c r="D156" i="16"/>
  <c r="E156" i="16"/>
  <c r="F156" i="16"/>
  <c r="G156" i="16"/>
  <c r="A157" i="16"/>
  <c r="D157" i="16"/>
  <c r="E157" i="16"/>
  <c r="F157" i="16"/>
  <c r="G157" i="16"/>
  <c r="A158" i="16"/>
  <c r="D158" i="16"/>
  <c r="E158" i="16"/>
  <c r="F158" i="16"/>
  <c r="G158" i="16"/>
  <c r="A159" i="16"/>
  <c r="D159" i="16"/>
  <c r="E159" i="16"/>
  <c r="F159" i="16"/>
  <c r="G159" i="16"/>
  <c r="A160" i="16"/>
  <c r="D160" i="16"/>
  <c r="E160" i="16"/>
  <c r="F160" i="16"/>
  <c r="G160" i="16"/>
  <c r="A161" i="16"/>
  <c r="D161" i="16"/>
  <c r="E161" i="16"/>
  <c r="F161" i="16"/>
  <c r="G161" i="16"/>
  <c r="I160" i="16" l="1"/>
  <c r="J160" i="16" s="1"/>
  <c r="I158" i="16"/>
  <c r="J158" i="16" s="1"/>
  <c r="I156" i="16"/>
  <c r="J156" i="16" s="1"/>
  <c r="J139" i="16"/>
  <c r="I155" i="16"/>
  <c r="J155" i="16" s="1"/>
  <c r="I153" i="16"/>
  <c r="J153" i="16" s="1"/>
  <c r="I159" i="16"/>
  <c r="J159" i="16" s="1"/>
  <c r="I157" i="16"/>
  <c r="J157" i="16" s="1"/>
  <c r="I104" i="16"/>
  <c r="J104" i="16" s="1"/>
  <c r="F118" i="16"/>
  <c r="C146" i="16"/>
  <c r="I161" i="16"/>
  <c r="J161" i="16" s="1"/>
  <c r="I154" i="16"/>
  <c r="J154" i="16" s="1"/>
  <c r="I152" i="16"/>
  <c r="J152" i="16" s="1"/>
  <c r="I151" i="16"/>
  <c r="J151" i="16" s="1"/>
  <c r="I103" i="16"/>
  <c r="J103" i="16" s="1"/>
  <c r="J135" i="16"/>
  <c r="J140" i="16"/>
  <c r="J138" i="16"/>
  <c r="I146" i="16"/>
  <c r="J132" i="16"/>
  <c r="J134" i="16"/>
  <c r="J145" i="16"/>
  <c r="J137" i="16"/>
  <c r="J131" i="16"/>
  <c r="J144" i="16"/>
  <c r="J130" i="16"/>
  <c r="J133" i="16"/>
  <c r="J136" i="16"/>
  <c r="J142" i="16"/>
  <c r="I108" i="16"/>
  <c r="J108" i="16" s="1"/>
  <c r="I112" i="16"/>
  <c r="J112" i="16" s="1"/>
  <c r="I105" i="16"/>
  <c r="J105" i="16" s="1"/>
  <c r="I109" i="16"/>
  <c r="J109" i="16" s="1"/>
  <c r="I113" i="16"/>
  <c r="J113" i="16" s="1"/>
  <c r="I117" i="16"/>
  <c r="J117" i="16" s="1"/>
  <c r="E118" i="16"/>
  <c r="C121" i="16" s="1"/>
  <c r="H129" i="16"/>
  <c r="J129" i="16" s="1"/>
  <c r="I116" i="16"/>
  <c r="J116" i="16" s="1"/>
  <c r="I106" i="16"/>
  <c r="J106" i="16" s="1"/>
  <c r="I110" i="16"/>
  <c r="J110" i="16" s="1"/>
  <c r="I114" i="16"/>
  <c r="J114" i="16" s="1"/>
  <c r="D118" i="16"/>
  <c r="I107" i="16"/>
  <c r="J107" i="16" s="1"/>
  <c r="I111" i="16"/>
  <c r="J111" i="16" s="1"/>
  <c r="I115" i="16"/>
  <c r="J115" i="16" s="1"/>
  <c r="G118" i="16"/>
  <c r="B121" i="16" s="1"/>
  <c r="G120" i="16" l="1"/>
  <c r="D121" i="16"/>
  <c r="K144" i="16"/>
  <c r="K145" i="16"/>
  <c r="K133" i="16"/>
  <c r="K142" i="16"/>
  <c r="K129" i="16"/>
  <c r="J146" i="16"/>
  <c r="I118" i="16"/>
  <c r="K137" i="16"/>
  <c r="K132" i="16"/>
  <c r="K135" i="16"/>
  <c r="K136" i="16"/>
  <c r="K131" i="16"/>
  <c r="K134" i="16"/>
  <c r="K140" i="16"/>
  <c r="K138" i="16"/>
  <c r="K130" i="16"/>
  <c r="K139" i="16"/>
  <c r="I119" i="16" l="1"/>
  <c r="E121" i="16"/>
  <c r="J118" i="16"/>
  <c r="J119" i="16"/>
  <c r="K146" i="16"/>
  <c r="C193" i="16" l="1"/>
  <c r="C192" i="16"/>
  <c r="C190" i="16"/>
  <c r="C188" i="16"/>
  <c r="C187" i="16"/>
  <c r="C186" i="16"/>
  <c r="C185" i="16"/>
  <c r="C184" i="16"/>
  <c r="C183" i="16"/>
  <c r="C182" i="16"/>
  <c r="C181" i="16"/>
  <c r="C180" i="16"/>
  <c r="C179" i="16"/>
  <c r="C178" i="16"/>
  <c r="A178" i="16"/>
  <c r="A179" i="16" s="1"/>
  <c r="A180" i="16" s="1"/>
  <c r="A181" i="16" s="1"/>
  <c r="A182" i="16" s="1"/>
  <c r="A183" i="16" s="1"/>
  <c r="A184" i="16" s="1"/>
  <c r="A185" i="16" s="1"/>
  <c r="C177" i="16"/>
  <c r="O166" i="16"/>
  <c r="N166" i="16"/>
  <c r="M166" i="16"/>
  <c r="L166" i="16"/>
  <c r="H166" i="16"/>
  <c r="C166" i="16"/>
  <c r="A169" i="16" s="1"/>
  <c r="G165" i="16"/>
  <c r="F165" i="16"/>
  <c r="H188" i="16" s="1"/>
  <c r="E165" i="16"/>
  <c r="I188" i="16" s="1"/>
  <c r="D165" i="16"/>
  <c r="E188" i="16" s="1"/>
  <c r="A165" i="16"/>
  <c r="G164" i="16"/>
  <c r="F164" i="16"/>
  <c r="H187" i="16" s="1"/>
  <c r="E164" i="16"/>
  <c r="I187" i="16" s="1"/>
  <c r="D164" i="16"/>
  <c r="E187" i="16" s="1"/>
  <c r="A164" i="16"/>
  <c r="G163" i="16"/>
  <c r="F163" i="16"/>
  <c r="H186" i="16" s="1"/>
  <c r="E163" i="16"/>
  <c r="I186" i="16" s="1"/>
  <c r="D163" i="16"/>
  <c r="A163" i="16"/>
  <c r="G162" i="16"/>
  <c r="F162" i="16"/>
  <c r="H185" i="16" s="1"/>
  <c r="E162" i="16"/>
  <c r="I185" i="16" s="1"/>
  <c r="D162" i="16"/>
  <c r="E185" i="16" s="1"/>
  <c r="A162" i="16"/>
  <c r="H184" i="16"/>
  <c r="I184" i="16"/>
  <c r="E184" i="16"/>
  <c r="H183" i="16"/>
  <c r="I183" i="16"/>
  <c r="E183" i="16"/>
  <c r="H182" i="16"/>
  <c r="I182" i="16"/>
  <c r="E182" i="16"/>
  <c r="H181" i="16"/>
  <c r="I181" i="16"/>
  <c r="E181" i="16"/>
  <c r="H180" i="16"/>
  <c r="I180" i="16"/>
  <c r="E180" i="16"/>
  <c r="H179" i="16"/>
  <c r="I179" i="16"/>
  <c r="E179" i="16"/>
  <c r="H178" i="16"/>
  <c r="I178" i="16"/>
  <c r="E178" i="16"/>
  <c r="H177" i="16"/>
  <c r="I177" i="16"/>
  <c r="H190" i="16"/>
  <c r="E190" i="16"/>
  <c r="D193" i="16"/>
  <c r="H193" i="16"/>
  <c r="I193" i="16"/>
  <c r="D192" i="16"/>
  <c r="I192" i="16"/>
  <c r="I190" i="16" l="1"/>
  <c r="J190" i="16" s="1"/>
  <c r="A186" i="16"/>
  <c r="A187" i="16" s="1"/>
  <c r="A188" i="16" s="1"/>
  <c r="A190" i="16" s="1"/>
  <c r="A192" i="16" s="1"/>
  <c r="A193" i="16" s="1"/>
  <c r="C194" i="16"/>
  <c r="J182" i="16"/>
  <c r="F166" i="16"/>
  <c r="J178" i="16"/>
  <c r="I163" i="16"/>
  <c r="J163" i="16" s="1"/>
  <c r="I164" i="16"/>
  <c r="J164" i="16" s="1"/>
  <c r="E186" i="16"/>
  <c r="J186" i="16" s="1"/>
  <c r="J180" i="16"/>
  <c r="J184" i="16"/>
  <c r="J193" i="16"/>
  <c r="J179" i="16"/>
  <c r="J183" i="16"/>
  <c r="J187" i="16"/>
  <c r="J181" i="16"/>
  <c r="J185" i="16"/>
  <c r="J188" i="16"/>
  <c r="I165" i="16"/>
  <c r="J165" i="16" s="1"/>
  <c r="E166" i="16"/>
  <c r="C169" i="16" s="1"/>
  <c r="D166" i="16"/>
  <c r="E177" i="16"/>
  <c r="J177" i="16" s="1"/>
  <c r="I162" i="16"/>
  <c r="J162" i="16" s="1"/>
  <c r="G166" i="16"/>
  <c r="B169" i="16" s="1"/>
  <c r="H192" i="16"/>
  <c r="J192" i="16" s="1"/>
  <c r="C373" i="16"/>
  <c r="C374" i="16"/>
  <c r="C375" i="16"/>
  <c r="C376" i="16"/>
  <c r="C377" i="16"/>
  <c r="C372" i="16"/>
  <c r="C371" i="16"/>
  <c r="C367" i="16"/>
  <c r="C418" i="16"/>
  <c r="C419" i="16"/>
  <c r="C420" i="16"/>
  <c r="C421" i="16"/>
  <c r="C422" i="16"/>
  <c r="C414" i="16"/>
  <c r="C233" i="16"/>
  <c r="C234" i="16"/>
  <c r="C235" i="16"/>
  <c r="C236" i="16"/>
  <c r="C237" i="16"/>
  <c r="C238" i="16"/>
  <c r="C227" i="16"/>
  <c r="C228" i="16"/>
  <c r="C229" i="16"/>
  <c r="E210" i="16"/>
  <c r="I234" i="16" s="1"/>
  <c r="E203" i="16"/>
  <c r="I227" i="16" s="1"/>
  <c r="G203" i="16"/>
  <c r="F210" i="16"/>
  <c r="H234" i="16" s="1"/>
  <c r="F203" i="16"/>
  <c r="H227" i="16" s="1"/>
  <c r="D210" i="16"/>
  <c r="E234" i="16" s="1"/>
  <c r="A210" i="16"/>
  <c r="D203" i="16"/>
  <c r="E227" i="16" s="1"/>
  <c r="A203" i="16"/>
  <c r="K186" i="16" l="1"/>
  <c r="I194" i="16"/>
  <c r="G168" i="16"/>
  <c r="K193" i="16"/>
  <c r="K192" i="16"/>
  <c r="J227" i="16"/>
  <c r="I203" i="16"/>
  <c r="J203" i="16" s="1"/>
  <c r="K179" i="16"/>
  <c r="K185" i="16"/>
  <c r="D169" i="16"/>
  <c r="K187" i="16"/>
  <c r="J194" i="16"/>
  <c r="K177" i="16"/>
  <c r="K182" i="16"/>
  <c r="I166" i="16"/>
  <c r="K188" i="16"/>
  <c r="K183" i="16"/>
  <c r="K180" i="16"/>
  <c r="K181" i="16"/>
  <c r="K184" i="16"/>
  <c r="K178" i="16"/>
  <c r="K190" i="16"/>
  <c r="K227" i="16" l="1"/>
  <c r="E169" i="16"/>
  <c r="K194" i="16"/>
  <c r="J166" i="16"/>
  <c r="I167" i="16"/>
  <c r="J167" i="16"/>
  <c r="C243" i="16" l="1"/>
  <c r="C242" i="16"/>
  <c r="C240" i="16"/>
  <c r="C232" i="16"/>
  <c r="C231" i="16"/>
  <c r="C230" i="16"/>
  <c r="A227" i="16"/>
  <c r="C226" i="16"/>
  <c r="O215" i="16"/>
  <c r="N215" i="16"/>
  <c r="M215" i="16"/>
  <c r="L215" i="16"/>
  <c r="H215" i="16"/>
  <c r="C215" i="16"/>
  <c r="A218" i="16" s="1"/>
  <c r="G214" i="16"/>
  <c r="F214" i="16"/>
  <c r="H238" i="16" s="1"/>
  <c r="E214" i="16"/>
  <c r="I238" i="16" s="1"/>
  <c r="D214" i="16"/>
  <c r="E238" i="16" s="1"/>
  <c r="A214" i="16"/>
  <c r="G213" i="16"/>
  <c r="F213" i="16"/>
  <c r="H237" i="16" s="1"/>
  <c r="E213" i="16"/>
  <c r="I237" i="16" s="1"/>
  <c r="D213" i="16"/>
  <c r="E237" i="16" s="1"/>
  <c r="A213" i="16"/>
  <c r="G212" i="16"/>
  <c r="F212" i="16"/>
  <c r="H236" i="16" s="1"/>
  <c r="E212" i="16"/>
  <c r="I236" i="16" s="1"/>
  <c r="D212" i="16"/>
  <c r="E236" i="16" s="1"/>
  <c r="A212" i="16"/>
  <c r="G211" i="16"/>
  <c r="F211" i="16"/>
  <c r="H235" i="16" s="1"/>
  <c r="E211" i="16"/>
  <c r="I235" i="16" s="1"/>
  <c r="D211" i="16"/>
  <c r="E235" i="16" s="1"/>
  <c r="A211" i="16"/>
  <c r="G209" i="16"/>
  <c r="F209" i="16"/>
  <c r="H233" i="16" s="1"/>
  <c r="E209" i="16"/>
  <c r="I233" i="16" s="1"/>
  <c r="D209" i="16"/>
  <c r="E233" i="16" s="1"/>
  <c r="A209" i="16"/>
  <c r="G208" i="16"/>
  <c r="F208" i="16"/>
  <c r="H232" i="16" s="1"/>
  <c r="E208" i="16"/>
  <c r="I232" i="16" s="1"/>
  <c r="D208" i="16"/>
  <c r="E232" i="16" s="1"/>
  <c r="A208" i="16"/>
  <c r="G207" i="16"/>
  <c r="F207" i="16"/>
  <c r="H231" i="16" s="1"/>
  <c r="E207" i="16"/>
  <c r="I231" i="16" s="1"/>
  <c r="D207" i="16"/>
  <c r="E231" i="16" s="1"/>
  <c r="A207" i="16"/>
  <c r="G206" i="16"/>
  <c r="F206" i="16"/>
  <c r="H230" i="16" s="1"/>
  <c r="E206" i="16"/>
  <c r="I230" i="16" s="1"/>
  <c r="D206" i="16"/>
  <c r="A206" i="16"/>
  <c r="G205" i="16"/>
  <c r="F205" i="16"/>
  <c r="H229" i="16" s="1"/>
  <c r="E205" i="16"/>
  <c r="I229" i="16" s="1"/>
  <c r="D205" i="16"/>
  <c r="E229" i="16" s="1"/>
  <c r="A205" i="16"/>
  <c r="G204" i="16"/>
  <c r="F204" i="16"/>
  <c r="H228" i="16" s="1"/>
  <c r="E204" i="16"/>
  <c r="I228" i="16" s="1"/>
  <c r="D204" i="16"/>
  <c r="E228" i="16" s="1"/>
  <c r="A204" i="16"/>
  <c r="G202" i="16"/>
  <c r="F202" i="16"/>
  <c r="H226" i="16" s="1"/>
  <c r="E202" i="16"/>
  <c r="I226" i="16" s="1"/>
  <c r="D202" i="16"/>
  <c r="E226" i="16" s="1"/>
  <c r="A202" i="16"/>
  <c r="G201" i="16"/>
  <c r="F201" i="16"/>
  <c r="H240" i="16" s="1"/>
  <c r="E201" i="16"/>
  <c r="I240" i="16" s="1"/>
  <c r="D201" i="16"/>
  <c r="A201" i="16"/>
  <c r="G200" i="16"/>
  <c r="D243" i="16" s="1"/>
  <c r="F200" i="16"/>
  <c r="H243" i="16" s="1"/>
  <c r="E200" i="16"/>
  <c r="I243" i="16" s="1"/>
  <c r="D200" i="16"/>
  <c r="A200" i="16"/>
  <c r="G199" i="16"/>
  <c r="D242" i="16" s="1"/>
  <c r="F199" i="16"/>
  <c r="H242" i="16" s="1"/>
  <c r="E199" i="16"/>
  <c r="D199" i="16"/>
  <c r="A199" i="16"/>
  <c r="J228" i="16" l="1"/>
  <c r="J229" i="16"/>
  <c r="J237" i="16"/>
  <c r="A228" i="16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40" i="16" s="1"/>
  <c r="A242" i="16" s="1"/>
  <c r="A243" i="16" s="1"/>
  <c r="C244" i="16"/>
  <c r="I212" i="16"/>
  <c r="J212" i="16" s="1"/>
  <c r="I201" i="16"/>
  <c r="J201" i="16" s="1"/>
  <c r="I211" i="16"/>
  <c r="J211" i="16" s="1"/>
  <c r="E215" i="16"/>
  <c r="C218" i="16" s="1"/>
  <c r="I200" i="16"/>
  <c r="J200" i="16" s="1"/>
  <c r="J226" i="16"/>
  <c r="I205" i="16"/>
  <c r="J205" i="16" s="1"/>
  <c r="I209" i="16"/>
  <c r="J209" i="16" s="1"/>
  <c r="I214" i="16"/>
  <c r="J214" i="16" s="1"/>
  <c r="J235" i="16"/>
  <c r="I206" i="16"/>
  <c r="J206" i="16" s="1"/>
  <c r="D215" i="16"/>
  <c r="I213" i="16"/>
  <c r="J213" i="16" s="1"/>
  <c r="J243" i="16"/>
  <c r="J232" i="16"/>
  <c r="J231" i="16"/>
  <c r="I199" i="16"/>
  <c r="I204" i="16"/>
  <c r="J204" i="16" s="1"/>
  <c r="I208" i="16"/>
  <c r="J208" i="16" s="1"/>
  <c r="I202" i="16"/>
  <c r="J202" i="16" s="1"/>
  <c r="I207" i="16"/>
  <c r="J207" i="16" s="1"/>
  <c r="G215" i="16"/>
  <c r="B218" i="16" s="1"/>
  <c r="J236" i="16"/>
  <c r="K236" i="16" s="1"/>
  <c r="F215" i="16"/>
  <c r="J233" i="16"/>
  <c r="J238" i="16"/>
  <c r="I242" i="16"/>
  <c r="J242" i="16" s="1"/>
  <c r="E230" i="16"/>
  <c r="J230" i="16" s="1"/>
  <c r="J234" i="16"/>
  <c r="K234" i="16" s="1"/>
  <c r="E240" i="16"/>
  <c r="J240" i="16" s="1"/>
  <c r="K231" i="16" l="1"/>
  <c r="K238" i="16"/>
  <c r="K242" i="16"/>
  <c r="K232" i="16"/>
  <c r="K228" i="16"/>
  <c r="I244" i="16"/>
  <c r="K237" i="16"/>
  <c r="K230" i="16"/>
  <c r="K235" i="16"/>
  <c r="K229" i="16"/>
  <c r="K233" i="16"/>
  <c r="K243" i="16"/>
  <c r="K240" i="16"/>
  <c r="G217" i="16"/>
  <c r="D218" i="16"/>
  <c r="J244" i="16"/>
  <c r="I215" i="16"/>
  <c r="J199" i="16"/>
  <c r="K226" i="16"/>
  <c r="E218" i="16" l="1"/>
  <c r="J215" i="16"/>
  <c r="I216" i="16"/>
  <c r="J216" i="16"/>
  <c r="K244" i="16"/>
  <c r="C289" i="16" l="1"/>
  <c r="C288" i="16"/>
  <c r="C286" i="16"/>
  <c r="C284" i="16"/>
  <c r="C283" i="16"/>
  <c r="C282" i="16"/>
  <c r="C281" i="16"/>
  <c r="C280" i="16"/>
  <c r="C279" i="16"/>
  <c r="C278" i="16"/>
  <c r="C277" i="16"/>
  <c r="C276" i="16"/>
  <c r="C275" i="16"/>
  <c r="A275" i="16"/>
  <c r="A276" i="16" s="1"/>
  <c r="A277" i="16" s="1"/>
  <c r="A278" i="16" s="1"/>
  <c r="A279" i="16" s="1"/>
  <c r="A280" i="16" s="1"/>
  <c r="A281" i="16" s="1"/>
  <c r="A282" i="16" s="1"/>
  <c r="A283" i="16" s="1"/>
  <c r="A284" i="16" s="1"/>
  <c r="A286" i="16" s="1"/>
  <c r="A288" i="16" s="1"/>
  <c r="A289" i="16" s="1"/>
  <c r="C274" i="16"/>
  <c r="O263" i="16"/>
  <c r="N263" i="16"/>
  <c r="M263" i="16"/>
  <c r="L263" i="16"/>
  <c r="H263" i="16"/>
  <c r="C263" i="16"/>
  <c r="A266" i="16" s="1"/>
  <c r="G262" i="16"/>
  <c r="F262" i="16"/>
  <c r="H284" i="16" s="1"/>
  <c r="E262" i="16"/>
  <c r="I284" i="16" s="1"/>
  <c r="D262" i="16"/>
  <c r="A262" i="16"/>
  <c r="G261" i="16"/>
  <c r="F261" i="16"/>
  <c r="H283" i="16" s="1"/>
  <c r="E261" i="16"/>
  <c r="I283" i="16" s="1"/>
  <c r="D261" i="16"/>
  <c r="A261" i="16"/>
  <c r="G260" i="16"/>
  <c r="F260" i="16"/>
  <c r="H282" i="16" s="1"/>
  <c r="E260" i="16"/>
  <c r="I282" i="16" s="1"/>
  <c r="D260" i="16"/>
  <c r="E282" i="16" s="1"/>
  <c r="A260" i="16"/>
  <c r="G259" i="16"/>
  <c r="F259" i="16"/>
  <c r="H281" i="16" s="1"/>
  <c r="E259" i="16"/>
  <c r="I281" i="16" s="1"/>
  <c r="D259" i="16"/>
  <c r="A259" i="16"/>
  <c r="G258" i="16"/>
  <c r="F258" i="16"/>
  <c r="H280" i="16" s="1"/>
  <c r="E258" i="16"/>
  <c r="I280" i="16" s="1"/>
  <c r="D258" i="16"/>
  <c r="A258" i="16"/>
  <c r="G257" i="16"/>
  <c r="F257" i="16"/>
  <c r="H279" i="16" s="1"/>
  <c r="E257" i="16"/>
  <c r="I279" i="16" s="1"/>
  <c r="D257" i="16"/>
  <c r="A257" i="16"/>
  <c r="G256" i="16"/>
  <c r="F256" i="16"/>
  <c r="H278" i="16" s="1"/>
  <c r="E256" i="16"/>
  <c r="I278" i="16" s="1"/>
  <c r="D256" i="16"/>
  <c r="E278" i="16" s="1"/>
  <c r="A256" i="16"/>
  <c r="G255" i="16"/>
  <c r="F255" i="16"/>
  <c r="H277" i="16" s="1"/>
  <c r="E255" i="16"/>
  <c r="I277" i="16" s="1"/>
  <c r="D255" i="16"/>
  <c r="A255" i="16"/>
  <c r="G254" i="16"/>
  <c r="F254" i="16"/>
  <c r="H276" i="16" s="1"/>
  <c r="E254" i="16"/>
  <c r="I276" i="16" s="1"/>
  <c r="D254" i="16"/>
  <c r="A254" i="16"/>
  <c r="G253" i="16"/>
  <c r="F253" i="16"/>
  <c r="H275" i="16" s="1"/>
  <c r="E253" i="16"/>
  <c r="I275" i="16" s="1"/>
  <c r="D253" i="16"/>
  <c r="A253" i="16"/>
  <c r="G252" i="16"/>
  <c r="F252" i="16"/>
  <c r="H274" i="16" s="1"/>
  <c r="E252" i="16"/>
  <c r="I274" i="16" s="1"/>
  <c r="D252" i="16"/>
  <c r="E274" i="16" s="1"/>
  <c r="A252" i="16"/>
  <c r="G251" i="16"/>
  <c r="F251" i="16"/>
  <c r="H286" i="16" s="1"/>
  <c r="E251" i="16"/>
  <c r="I286" i="16" s="1"/>
  <c r="D251" i="16"/>
  <c r="A251" i="16"/>
  <c r="G250" i="16"/>
  <c r="D289" i="16" s="1"/>
  <c r="F250" i="16"/>
  <c r="H289" i="16" s="1"/>
  <c r="E250" i="16"/>
  <c r="I289" i="16" s="1"/>
  <c r="D250" i="16"/>
  <c r="A250" i="16"/>
  <c r="G249" i="16"/>
  <c r="D288" i="16" s="1"/>
  <c r="F249" i="16"/>
  <c r="H288" i="16" s="1"/>
  <c r="E249" i="16"/>
  <c r="D249" i="16"/>
  <c r="A249" i="16"/>
  <c r="A295" i="16"/>
  <c r="D295" i="16"/>
  <c r="E295" i="16"/>
  <c r="F295" i="16"/>
  <c r="G295" i="16"/>
  <c r="D334" i="16" s="1"/>
  <c r="A296" i="16"/>
  <c r="D296" i="16"/>
  <c r="E296" i="16"/>
  <c r="I335" i="16" s="1"/>
  <c r="F296" i="16"/>
  <c r="H335" i="16" s="1"/>
  <c r="G296" i="16"/>
  <c r="A297" i="16"/>
  <c r="D297" i="16"/>
  <c r="E297" i="16"/>
  <c r="F297" i="16"/>
  <c r="H332" i="16" s="1"/>
  <c r="G297" i="16"/>
  <c r="A298" i="16"/>
  <c r="D298" i="16"/>
  <c r="E298" i="16"/>
  <c r="I320" i="16" s="1"/>
  <c r="F298" i="16"/>
  <c r="G298" i="16"/>
  <c r="A299" i="16"/>
  <c r="D299" i="16"/>
  <c r="E321" i="16" s="1"/>
  <c r="E299" i="16"/>
  <c r="F299" i="16"/>
  <c r="H321" i="16" s="1"/>
  <c r="G299" i="16"/>
  <c r="A300" i="16"/>
  <c r="D300" i="16"/>
  <c r="E322" i="16" s="1"/>
  <c r="E300" i="16"/>
  <c r="I322" i="16" s="1"/>
  <c r="F300" i="16"/>
  <c r="H322" i="16" s="1"/>
  <c r="G300" i="16"/>
  <c r="A301" i="16"/>
  <c r="D301" i="16"/>
  <c r="E323" i="16" s="1"/>
  <c r="E301" i="16"/>
  <c r="I323" i="16" s="1"/>
  <c r="F301" i="16"/>
  <c r="H323" i="16" s="1"/>
  <c r="G301" i="16"/>
  <c r="A302" i="16"/>
  <c r="D302" i="16"/>
  <c r="E324" i="16" s="1"/>
  <c r="E302" i="16"/>
  <c r="I324" i="16" s="1"/>
  <c r="F302" i="16"/>
  <c r="G302" i="16"/>
  <c r="A303" i="16"/>
  <c r="D303" i="16"/>
  <c r="E325" i="16" s="1"/>
  <c r="E303" i="16"/>
  <c r="F303" i="16"/>
  <c r="H325" i="16" s="1"/>
  <c r="G303" i="16"/>
  <c r="A304" i="16"/>
  <c r="D304" i="16"/>
  <c r="E326" i="16" s="1"/>
  <c r="E304" i="16"/>
  <c r="I326" i="16" s="1"/>
  <c r="F304" i="16"/>
  <c r="H326" i="16" s="1"/>
  <c r="G304" i="16"/>
  <c r="A305" i="16"/>
  <c r="D305" i="16"/>
  <c r="E305" i="16"/>
  <c r="I327" i="16" s="1"/>
  <c r="F305" i="16"/>
  <c r="H327" i="16" s="1"/>
  <c r="G305" i="16"/>
  <c r="A306" i="16"/>
  <c r="D306" i="16"/>
  <c r="E328" i="16" s="1"/>
  <c r="E306" i="16"/>
  <c r="I328" i="16" s="1"/>
  <c r="F306" i="16"/>
  <c r="H328" i="16" s="1"/>
  <c r="G306" i="16"/>
  <c r="A307" i="16"/>
  <c r="D307" i="16"/>
  <c r="E329" i="16" s="1"/>
  <c r="E307" i="16"/>
  <c r="F307" i="16"/>
  <c r="H329" i="16" s="1"/>
  <c r="G307" i="16"/>
  <c r="A308" i="16"/>
  <c r="D308" i="16"/>
  <c r="E330" i="16" s="1"/>
  <c r="E308" i="16"/>
  <c r="F308" i="16"/>
  <c r="G308" i="16"/>
  <c r="C309" i="16"/>
  <c r="A312" i="16" s="1"/>
  <c r="H309" i="16"/>
  <c r="L309" i="16"/>
  <c r="M309" i="16"/>
  <c r="N309" i="16"/>
  <c r="O309" i="16"/>
  <c r="C320" i="16"/>
  <c r="H320" i="16"/>
  <c r="A321" i="16"/>
  <c r="A322" i="16" s="1"/>
  <c r="A323" i="16" s="1"/>
  <c r="A324" i="16" s="1"/>
  <c r="A325" i="16" s="1"/>
  <c r="A326" i="16" s="1"/>
  <c r="A327" i="16" s="1"/>
  <c r="A328" i="16" s="1"/>
  <c r="A329" i="16" s="1"/>
  <c r="A330" i="16" s="1"/>
  <c r="A332" i="16" s="1"/>
  <c r="A334" i="16" s="1"/>
  <c r="A335" i="16" s="1"/>
  <c r="C321" i="16"/>
  <c r="C322" i="16"/>
  <c r="C323" i="16"/>
  <c r="C324" i="16"/>
  <c r="H324" i="16"/>
  <c r="C325" i="16"/>
  <c r="C326" i="16"/>
  <c r="C327" i="16"/>
  <c r="E327" i="16"/>
  <c r="C328" i="16"/>
  <c r="C329" i="16"/>
  <c r="C330" i="16"/>
  <c r="H330" i="16"/>
  <c r="I330" i="16"/>
  <c r="C332" i="16"/>
  <c r="E332" i="16"/>
  <c r="C334" i="16"/>
  <c r="H334" i="16"/>
  <c r="I334" i="16"/>
  <c r="C335" i="16"/>
  <c r="I296" i="16" l="1"/>
  <c r="J296" i="16" s="1"/>
  <c r="I262" i="16"/>
  <c r="J262" i="16" s="1"/>
  <c r="I307" i="16"/>
  <c r="J307" i="16" s="1"/>
  <c r="I302" i="16"/>
  <c r="J302" i="16" s="1"/>
  <c r="I303" i="16"/>
  <c r="J303" i="16" s="1"/>
  <c r="D335" i="16"/>
  <c r="J334" i="16"/>
  <c r="I298" i="16"/>
  <c r="J298" i="16" s="1"/>
  <c r="I297" i="16"/>
  <c r="J297" i="16" s="1"/>
  <c r="I258" i="16"/>
  <c r="J258" i="16" s="1"/>
  <c r="E263" i="16"/>
  <c r="C266" i="16" s="1"/>
  <c r="I250" i="16"/>
  <c r="J250" i="16" s="1"/>
  <c r="J289" i="16"/>
  <c r="I254" i="16"/>
  <c r="J254" i="16" s="1"/>
  <c r="I332" i="16"/>
  <c r="J332" i="16" s="1"/>
  <c r="J323" i="16"/>
  <c r="G309" i="16"/>
  <c r="B312" i="16" s="1"/>
  <c r="J324" i="16"/>
  <c r="I301" i="16"/>
  <c r="J301" i="16" s="1"/>
  <c r="F309" i="16"/>
  <c r="I295" i="16"/>
  <c r="D263" i="16"/>
  <c r="I253" i="16"/>
  <c r="J253" i="16" s="1"/>
  <c r="I257" i="16"/>
  <c r="J257" i="16" s="1"/>
  <c r="I261" i="16"/>
  <c r="J261" i="16" s="1"/>
  <c r="J330" i="16"/>
  <c r="I308" i="16"/>
  <c r="J308" i="16" s="1"/>
  <c r="J328" i="16"/>
  <c r="I305" i="16"/>
  <c r="J305" i="16" s="1"/>
  <c r="I304" i="16"/>
  <c r="J304" i="16" s="1"/>
  <c r="C290" i="16"/>
  <c r="J322" i="16"/>
  <c r="D309" i="16"/>
  <c r="J335" i="16"/>
  <c r="J327" i="16"/>
  <c r="J326" i="16"/>
  <c r="I299" i="16"/>
  <c r="J299" i="16" s="1"/>
  <c r="I251" i="16"/>
  <c r="J251" i="16" s="1"/>
  <c r="I255" i="16"/>
  <c r="J255" i="16" s="1"/>
  <c r="I259" i="16"/>
  <c r="J259" i="16" s="1"/>
  <c r="J278" i="16"/>
  <c r="J282" i="16"/>
  <c r="I252" i="16"/>
  <c r="J252" i="16" s="1"/>
  <c r="I256" i="16"/>
  <c r="J256" i="16" s="1"/>
  <c r="I260" i="16"/>
  <c r="J260" i="16" s="1"/>
  <c r="G263" i="16"/>
  <c r="B266" i="16" s="1"/>
  <c r="J274" i="16"/>
  <c r="E275" i="16"/>
  <c r="J275" i="16" s="1"/>
  <c r="E279" i="16"/>
  <c r="J279" i="16" s="1"/>
  <c r="E283" i="16"/>
  <c r="J283" i="16" s="1"/>
  <c r="I249" i="16"/>
  <c r="F263" i="16"/>
  <c r="E276" i="16"/>
  <c r="J276" i="16" s="1"/>
  <c r="E280" i="16"/>
  <c r="J280" i="16" s="1"/>
  <c r="K280" i="16" s="1"/>
  <c r="E284" i="16"/>
  <c r="J284" i="16" s="1"/>
  <c r="K284" i="16" s="1"/>
  <c r="I288" i="16"/>
  <c r="J288" i="16" s="1"/>
  <c r="E277" i="16"/>
  <c r="J277" i="16" s="1"/>
  <c r="E281" i="16"/>
  <c r="J281" i="16" s="1"/>
  <c r="E286" i="16"/>
  <c r="J286" i="16" s="1"/>
  <c r="I329" i="16"/>
  <c r="J329" i="16" s="1"/>
  <c r="K329" i="16" s="1"/>
  <c r="I325" i="16"/>
  <c r="J325" i="16" s="1"/>
  <c r="I321" i="16"/>
  <c r="J321" i="16" s="1"/>
  <c r="E309" i="16"/>
  <c r="C312" i="16" s="1"/>
  <c r="I300" i="16"/>
  <c r="J300" i="16" s="1"/>
  <c r="I306" i="16"/>
  <c r="J306" i="16" s="1"/>
  <c r="E320" i="16"/>
  <c r="J320" i="16" s="1"/>
  <c r="K320" i="16" l="1"/>
  <c r="K281" i="16"/>
  <c r="G311" i="16"/>
  <c r="K334" i="16"/>
  <c r="K289" i="16"/>
  <c r="D312" i="16"/>
  <c r="J295" i="16"/>
  <c r="K335" i="16"/>
  <c r="K283" i="16"/>
  <c r="K332" i="16"/>
  <c r="K325" i="16"/>
  <c r="K321" i="16"/>
  <c r="K277" i="16"/>
  <c r="K330" i="16"/>
  <c r="K324" i="16"/>
  <c r="K323" i="16"/>
  <c r="K276" i="16"/>
  <c r="D266" i="16"/>
  <c r="G265" i="16"/>
  <c r="K275" i="16"/>
  <c r="K286" i="16"/>
  <c r="K288" i="16"/>
  <c r="K279" i="16"/>
  <c r="K327" i="16"/>
  <c r="K326" i="16"/>
  <c r="I263" i="16"/>
  <c r="J249" i="16"/>
  <c r="I290" i="16"/>
  <c r="K274" i="16"/>
  <c r="J290" i="16"/>
  <c r="K278" i="16"/>
  <c r="K282" i="16"/>
  <c r="K328" i="16"/>
  <c r="I309" i="16"/>
  <c r="K322" i="16"/>
  <c r="C427" i="16"/>
  <c r="C426" i="16"/>
  <c r="C424" i="16"/>
  <c r="C417" i="16"/>
  <c r="C416" i="16"/>
  <c r="C415" i="16"/>
  <c r="A414" i="16"/>
  <c r="A415" i="16" s="1"/>
  <c r="A416" i="16" s="1"/>
  <c r="A417" i="16" s="1"/>
  <c r="A418" i="16" s="1"/>
  <c r="C413" i="16"/>
  <c r="O402" i="16"/>
  <c r="M402" i="16"/>
  <c r="L402" i="16"/>
  <c r="C402" i="16"/>
  <c r="A405" i="16" s="1"/>
  <c r="G401" i="16"/>
  <c r="F401" i="16"/>
  <c r="H422" i="16" s="1"/>
  <c r="E401" i="16"/>
  <c r="I422" i="16" s="1"/>
  <c r="D401" i="16"/>
  <c r="E422" i="16" s="1"/>
  <c r="A401" i="16"/>
  <c r="G400" i="16"/>
  <c r="F400" i="16"/>
  <c r="H421" i="16" s="1"/>
  <c r="E400" i="16"/>
  <c r="I421" i="16" s="1"/>
  <c r="D400" i="16"/>
  <c r="E421" i="16" s="1"/>
  <c r="A400" i="16"/>
  <c r="G399" i="16"/>
  <c r="F399" i="16"/>
  <c r="H420" i="16" s="1"/>
  <c r="E399" i="16"/>
  <c r="I420" i="16" s="1"/>
  <c r="D399" i="16"/>
  <c r="E420" i="16" s="1"/>
  <c r="A399" i="16"/>
  <c r="N398" i="16"/>
  <c r="N402" i="16" s="1"/>
  <c r="H398" i="16"/>
  <c r="G398" i="16"/>
  <c r="F398" i="16"/>
  <c r="H419" i="16" s="1"/>
  <c r="D398" i="16"/>
  <c r="E419" i="16" s="1"/>
  <c r="A398" i="16"/>
  <c r="H397" i="16"/>
  <c r="G397" i="16"/>
  <c r="F397" i="16"/>
  <c r="H418" i="16" s="1"/>
  <c r="E397" i="16"/>
  <c r="I418" i="16" s="1"/>
  <c r="D397" i="16"/>
  <c r="E418" i="16" s="1"/>
  <c r="A397" i="16"/>
  <c r="G396" i="16"/>
  <c r="F396" i="16"/>
  <c r="H417" i="16" s="1"/>
  <c r="E396" i="16"/>
  <c r="I417" i="16" s="1"/>
  <c r="D396" i="16"/>
  <c r="A396" i="16"/>
  <c r="G395" i="16"/>
  <c r="F395" i="16"/>
  <c r="H416" i="16" s="1"/>
  <c r="E395" i="16"/>
  <c r="I416" i="16" s="1"/>
  <c r="D395" i="16"/>
  <c r="E416" i="16" s="1"/>
  <c r="A395" i="16"/>
  <c r="G394" i="16"/>
  <c r="F394" i="16"/>
  <c r="H415" i="16" s="1"/>
  <c r="E394" i="16"/>
  <c r="I415" i="16" s="1"/>
  <c r="D394" i="16"/>
  <c r="A394" i="16"/>
  <c r="G393" i="16"/>
  <c r="F393" i="16"/>
  <c r="H414" i="16" s="1"/>
  <c r="E393" i="16"/>
  <c r="I414" i="16" s="1"/>
  <c r="D393" i="16"/>
  <c r="A393" i="16"/>
  <c r="G392" i="16"/>
  <c r="F392" i="16"/>
  <c r="H413" i="16" s="1"/>
  <c r="E392" i="16"/>
  <c r="I413" i="16" s="1"/>
  <c r="D392" i="16"/>
  <c r="A392" i="16"/>
  <c r="G391" i="16"/>
  <c r="F391" i="16"/>
  <c r="H424" i="16" s="1"/>
  <c r="E391" i="16"/>
  <c r="I424" i="16" s="1"/>
  <c r="D391" i="16"/>
  <c r="E424" i="16" s="1"/>
  <c r="A391" i="16"/>
  <c r="G390" i="16"/>
  <c r="D427" i="16" s="1"/>
  <c r="F390" i="16"/>
  <c r="H427" i="16" s="1"/>
  <c r="E390" i="16"/>
  <c r="I427" i="16" s="1"/>
  <c r="D390" i="16"/>
  <c r="A390" i="16"/>
  <c r="G389" i="16"/>
  <c r="D426" i="16" s="1"/>
  <c r="F389" i="16"/>
  <c r="H426" i="16" s="1"/>
  <c r="E389" i="16"/>
  <c r="D389" i="16"/>
  <c r="A389" i="16"/>
  <c r="C382" i="16"/>
  <c r="C381" i="16"/>
  <c r="C379" i="16"/>
  <c r="C370" i="16"/>
  <c r="C369" i="16"/>
  <c r="C368" i="16"/>
  <c r="A368" i="16"/>
  <c r="A369" i="16" s="1"/>
  <c r="A370" i="16" s="1"/>
  <c r="A371" i="16" s="1"/>
  <c r="A372" i="16" s="1"/>
  <c r="O356" i="16"/>
  <c r="N356" i="16"/>
  <c r="M356" i="16"/>
  <c r="L356" i="16"/>
  <c r="H356" i="16"/>
  <c r="C356" i="16"/>
  <c r="A359" i="16" s="1"/>
  <c r="G355" i="16"/>
  <c r="F355" i="16"/>
  <c r="H377" i="16" s="1"/>
  <c r="E355" i="16"/>
  <c r="I377" i="16" s="1"/>
  <c r="D355" i="16"/>
  <c r="A355" i="16"/>
  <c r="G354" i="16"/>
  <c r="F354" i="16"/>
  <c r="H376" i="16" s="1"/>
  <c r="E354" i="16"/>
  <c r="I376" i="16" s="1"/>
  <c r="D354" i="16"/>
  <c r="E376" i="16" s="1"/>
  <c r="A354" i="16"/>
  <c r="G353" i="16"/>
  <c r="F353" i="16"/>
  <c r="H375" i="16" s="1"/>
  <c r="E353" i="16"/>
  <c r="I375" i="16" s="1"/>
  <c r="D353" i="16"/>
  <c r="E375" i="16" s="1"/>
  <c r="A353" i="16"/>
  <c r="G352" i="16"/>
  <c r="F352" i="16"/>
  <c r="H374" i="16" s="1"/>
  <c r="E352" i="16"/>
  <c r="I374" i="16" s="1"/>
  <c r="D352" i="16"/>
  <c r="A352" i="16"/>
  <c r="G351" i="16"/>
  <c r="F351" i="16"/>
  <c r="H373" i="16" s="1"/>
  <c r="E351" i="16"/>
  <c r="I373" i="16" s="1"/>
  <c r="D351" i="16"/>
  <c r="A351" i="16"/>
  <c r="G350" i="16"/>
  <c r="F350" i="16"/>
  <c r="H372" i="16" s="1"/>
  <c r="E350" i="16"/>
  <c r="I372" i="16" s="1"/>
  <c r="D350" i="16"/>
  <c r="A350" i="16"/>
  <c r="G349" i="16"/>
  <c r="F349" i="16"/>
  <c r="H370" i="16" s="1"/>
  <c r="E349" i="16"/>
  <c r="I370" i="16" s="1"/>
  <c r="D349" i="16"/>
  <c r="E370" i="16" s="1"/>
  <c r="A349" i="16"/>
  <c r="G348" i="16"/>
  <c r="F348" i="16"/>
  <c r="H369" i="16" s="1"/>
  <c r="E348" i="16"/>
  <c r="I369" i="16" s="1"/>
  <c r="D348" i="16"/>
  <c r="A348" i="16"/>
  <c r="G347" i="16"/>
  <c r="F347" i="16"/>
  <c r="H371" i="16" s="1"/>
  <c r="E347" i="16"/>
  <c r="I371" i="16" s="1"/>
  <c r="D347" i="16"/>
  <c r="E371" i="16" s="1"/>
  <c r="A347" i="16"/>
  <c r="G346" i="16"/>
  <c r="F346" i="16"/>
  <c r="H368" i="16" s="1"/>
  <c r="E346" i="16"/>
  <c r="I368" i="16" s="1"/>
  <c r="D346" i="16"/>
  <c r="A346" i="16"/>
  <c r="G345" i="16"/>
  <c r="F345" i="16"/>
  <c r="H367" i="16" s="1"/>
  <c r="E345" i="16"/>
  <c r="I367" i="16" s="1"/>
  <c r="D345" i="16"/>
  <c r="E367" i="16" s="1"/>
  <c r="A345" i="16"/>
  <c r="G344" i="16"/>
  <c r="F344" i="16"/>
  <c r="H379" i="16" s="1"/>
  <c r="E344" i="16"/>
  <c r="I379" i="16" s="1"/>
  <c r="D344" i="16"/>
  <c r="A344" i="16"/>
  <c r="G343" i="16"/>
  <c r="D382" i="16" s="1"/>
  <c r="F343" i="16"/>
  <c r="H382" i="16" s="1"/>
  <c r="E343" i="16"/>
  <c r="I382" i="16" s="1"/>
  <c r="D343" i="16"/>
  <c r="A343" i="16"/>
  <c r="G342" i="16"/>
  <c r="D381" i="16" s="1"/>
  <c r="F342" i="16"/>
  <c r="H381" i="16" s="1"/>
  <c r="E342" i="16"/>
  <c r="D342" i="16"/>
  <c r="A342" i="16"/>
  <c r="K290" i="16" l="1"/>
  <c r="E266" i="16"/>
  <c r="J263" i="16"/>
  <c r="I264" i="16"/>
  <c r="J264" i="16"/>
  <c r="J310" i="16"/>
  <c r="I310" i="16"/>
  <c r="J309" i="16"/>
  <c r="E312" i="16"/>
  <c r="E356" i="16"/>
  <c r="C359" i="16" s="1"/>
  <c r="I343" i="16"/>
  <c r="J343" i="16" s="1"/>
  <c r="G356" i="16"/>
  <c r="B359" i="16" s="1"/>
  <c r="D359" i="16" s="1"/>
  <c r="I351" i="16"/>
  <c r="J351" i="16" s="1"/>
  <c r="I355" i="16"/>
  <c r="J355" i="16" s="1"/>
  <c r="J418" i="16"/>
  <c r="J420" i="16"/>
  <c r="I401" i="16"/>
  <c r="J401" i="16" s="1"/>
  <c r="C428" i="16"/>
  <c r="I392" i="16"/>
  <c r="J392" i="16" s="1"/>
  <c r="I396" i="16"/>
  <c r="J396" i="16" s="1"/>
  <c r="I390" i="16"/>
  <c r="J390" i="16" s="1"/>
  <c r="I394" i="16"/>
  <c r="J394" i="16" s="1"/>
  <c r="I400" i="16"/>
  <c r="J400" i="16" s="1"/>
  <c r="C383" i="16"/>
  <c r="I389" i="16"/>
  <c r="J389" i="16" s="1"/>
  <c r="I393" i="16"/>
  <c r="J393" i="16" s="1"/>
  <c r="H402" i="16"/>
  <c r="A420" i="16"/>
  <c r="A422" i="16" s="1"/>
  <c r="A424" i="16" s="1"/>
  <c r="A426" i="16" s="1"/>
  <c r="A427" i="16" s="1"/>
  <c r="A419" i="16"/>
  <c r="A421" i="16" s="1"/>
  <c r="J427" i="16"/>
  <c r="J424" i="16"/>
  <c r="J416" i="16"/>
  <c r="I391" i="16"/>
  <c r="J391" i="16" s="1"/>
  <c r="I395" i="16"/>
  <c r="J395" i="16" s="1"/>
  <c r="D402" i="16"/>
  <c r="E413" i="16"/>
  <c r="J413" i="16" s="1"/>
  <c r="E417" i="16"/>
  <c r="J417" i="16" s="1"/>
  <c r="J421" i="16"/>
  <c r="I397" i="16"/>
  <c r="J397" i="16" s="1"/>
  <c r="E398" i="16"/>
  <c r="I399" i="16"/>
  <c r="J399" i="16" s="1"/>
  <c r="G402" i="16"/>
  <c r="B405" i="16" s="1"/>
  <c r="E414" i="16"/>
  <c r="J414" i="16" s="1"/>
  <c r="J422" i="16"/>
  <c r="I426" i="16"/>
  <c r="J426" i="16" s="1"/>
  <c r="F402" i="16"/>
  <c r="E415" i="16"/>
  <c r="J415" i="16" s="1"/>
  <c r="I344" i="16"/>
  <c r="J344" i="16" s="1"/>
  <c r="I348" i="16"/>
  <c r="J348" i="16" s="1"/>
  <c r="I352" i="16"/>
  <c r="J352" i="16" s="1"/>
  <c r="J376" i="16"/>
  <c r="E373" i="16"/>
  <c r="J373" i="16" s="1"/>
  <c r="E369" i="16"/>
  <c r="J369" i="16" s="1"/>
  <c r="K369" i="16" s="1"/>
  <c r="E379" i="16"/>
  <c r="J379" i="16" s="1"/>
  <c r="D356" i="16"/>
  <c r="I346" i="16"/>
  <c r="J346" i="16" s="1"/>
  <c r="I350" i="16"/>
  <c r="J350" i="16" s="1"/>
  <c r="I354" i="16"/>
  <c r="J354" i="16" s="1"/>
  <c r="E372" i="16"/>
  <c r="J372" i="16" s="1"/>
  <c r="E374" i="16"/>
  <c r="J374" i="16" s="1"/>
  <c r="E368" i="16"/>
  <c r="J368" i="16" s="1"/>
  <c r="E377" i="16"/>
  <c r="J377" i="16" s="1"/>
  <c r="K377" i="16" s="1"/>
  <c r="A373" i="16"/>
  <c r="A375" i="16" s="1"/>
  <c r="A377" i="16" s="1"/>
  <c r="A379" i="16" s="1"/>
  <c r="A381" i="16" s="1"/>
  <c r="A382" i="16" s="1"/>
  <c r="A374" i="16"/>
  <c r="A376" i="16" s="1"/>
  <c r="J367" i="16"/>
  <c r="J375" i="16"/>
  <c r="J370" i="16"/>
  <c r="J382" i="16"/>
  <c r="J371" i="16"/>
  <c r="I345" i="16"/>
  <c r="J345" i="16" s="1"/>
  <c r="I349" i="16"/>
  <c r="J349" i="16" s="1"/>
  <c r="I353" i="16"/>
  <c r="J353" i="16" s="1"/>
  <c r="I342" i="16"/>
  <c r="F356" i="16"/>
  <c r="G358" i="16" s="1"/>
  <c r="I381" i="16"/>
  <c r="J381" i="16" s="1"/>
  <c r="I347" i="16"/>
  <c r="J347" i="16" s="1"/>
  <c r="K382" i="16" l="1"/>
  <c r="K415" i="16"/>
  <c r="K374" i="16"/>
  <c r="K414" i="16"/>
  <c r="K373" i="16"/>
  <c r="K422" i="16"/>
  <c r="I419" i="16"/>
  <c r="I428" i="16" s="1"/>
  <c r="K426" i="16"/>
  <c r="K417" i="16"/>
  <c r="K427" i="16"/>
  <c r="K418" i="16"/>
  <c r="K368" i="16"/>
  <c r="K379" i="16"/>
  <c r="K421" i="16"/>
  <c r="K424" i="16"/>
  <c r="K372" i="16"/>
  <c r="K376" i="16"/>
  <c r="K413" i="16"/>
  <c r="I398" i="16"/>
  <c r="J398" i="16" s="1"/>
  <c r="K420" i="16"/>
  <c r="K416" i="16"/>
  <c r="G404" i="16"/>
  <c r="E402" i="16"/>
  <c r="C405" i="16" s="1"/>
  <c r="D405" i="16" s="1"/>
  <c r="K370" i="16"/>
  <c r="K375" i="16"/>
  <c r="K381" i="16"/>
  <c r="K371" i="16"/>
  <c r="I383" i="16"/>
  <c r="I356" i="16"/>
  <c r="J342" i="16"/>
  <c r="K367" i="16"/>
  <c r="J383" i="16"/>
  <c r="I402" i="16" l="1"/>
  <c r="J402" i="16" s="1"/>
  <c r="J419" i="16"/>
  <c r="J428" i="16" s="1"/>
  <c r="K383" i="16"/>
  <c r="E359" i="16"/>
  <c r="J356" i="16"/>
  <c r="I357" i="16"/>
  <c r="J357" i="16"/>
  <c r="K428" i="16" l="1"/>
  <c r="I403" i="16"/>
  <c r="J403" i="16"/>
  <c r="E405" i="16"/>
  <c r="K419" i="16"/>
  <c r="G13" i="153"/>
  <c r="G14" i="153" s="1"/>
  <c r="G15" i="153" s="1"/>
  <c r="G16" i="153" s="1"/>
  <c r="G17" i="153" s="1"/>
  <c r="G18" i="153" s="1"/>
  <c r="G19" i="153" s="1"/>
  <c r="G20" i="153" s="1"/>
  <c r="G21" i="153" s="1"/>
  <c r="G22" i="153" s="1"/>
  <c r="G23" i="153" s="1"/>
  <c r="G24" i="153" s="1"/>
  <c r="G25" i="153" s="1"/>
  <c r="G26" i="153" s="1"/>
  <c r="G27" i="153" s="1"/>
  <c r="C336" i="16" l="1"/>
  <c r="I336" i="16"/>
  <c r="J336" i="16" l="1"/>
  <c r="K336" i="16" s="1"/>
  <c r="C6" i="153" l="1"/>
  <c r="C5" i="153"/>
  <c r="C7" i="153" l="1"/>
  <c r="E6" i="153" l="1"/>
  <c r="D7" i="153"/>
  <c r="N446" i="16"/>
  <c r="M446" i="16"/>
  <c r="C471" i="16" l="1"/>
  <c r="C470" i="16"/>
  <c r="C468" i="16"/>
  <c r="C466" i="16"/>
  <c r="C465" i="16"/>
  <c r="C464" i="16"/>
  <c r="C463" i="16"/>
  <c r="C462" i="16"/>
  <c r="C461" i="16"/>
  <c r="C460" i="16"/>
  <c r="C459" i="16"/>
  <c r="C458" i="16"/>
  <c r="A458" i="16"/>
  <c r="A459" i="16" s="1"/>
  <c r="A460" i="16" s="1"/>
  <c r="A461" i="16" s="1"/>
  <c r="A462" i="16" s="1"/>
  <c r="C457" i="16"/>
  <c r="O446" i="16"/>
  <c r="L446" i="16"/>
  <c r="H446" i="16"/>
  <c r="C446" i="16"/>
  <c r="A449" i="16" s="1"/>
  <c r="G445" i="16"/>
  <c r="F445" i="16"/>
  <c r="H466" i="16" s="1"/>
  <c r="E445" i="16"/>
  <c r="I466" i="16" s="1"/>
  <c r="D445" i="16"/>
  <c r="E466" i="16" s="1"/>
  <c r="A445" i="16"/>
  <c r="G444" i="16"/>
  <c r="F444" i="16"/>
  <c r="H465" i="16" s="1"/>
  <c r="E444" i="16"/>
  <c r="I465" i="16" s="1"/>
  <c r="D444" i="16"/>
  <c r="E465" i="16" s="1"/>
  <c r="A444" i="16"/>
  <c r="G443" i="16"/>
  <c r="F443" i="16"/>
  <c r="H464" i="16" s="1"/>
  <c r="E443" i="16"/>
  <c r="I464" i="16" s="1"/>
  <c r="D443" i="16"/>
  <c r="E464" i="16" s="1"/>
  <c r="A443" i="16"/>
  <c r="G442" i="16"/>
  <c r="F442" i="16"/>
  <c r="H463" i="16" s="1"/>
  <c r="E442" i="16"/>
  <c r="I463" i="16" s="1"/>
  <c r="D442" i="16"/>
  <c r="E463" i="16" s="1"/>
  <c r="A442" i="16"/>
  <c r="G441" i="16"/>
  <c r="F441" i="16"/>
  <c r="H462" i="16" s="1"/>
  <c r="E441" i="16"/>
  <c r="I462" i="16" s="1"/>
  <c r="D441" i="16"/>
  <c r="E462" i="16" s="1"/>
  <c r="A441" i="16"/>
  <c r="G440" i="16"/>
  <c r="F440" i="16"/>
  <c r="H461" i="16" s="1"/>
  <c r="E440" i="16"/>
  <c r="I461" i="16" s="1"/>
  <c r="D440" i="16"/>
  <c r="E461" i="16" s="1"/>
  <c r="A440" i="16"/>
  <c r="G439" i="16"/>
  <c r="F439" i="16"/>
  <c r="H460" i="16" s="1"/>
  <c r="E439" i="16"/>
  <c r="I460" i="16" s="1"/>
  <c r="D439" i="16"/>
  <c r="E460" i="16" s="1"/>
  <c r="A439" i="16"/>
  <c r="G438" i="16"/>
  <c r="F438" i="16"/>
  <c r="H459" i="16" s="1"/>
  <c r="E438" i="16"/>
  <c r="I459" i="16" s="1"/>
  <c r="D438" i="16"/>
  <c r="E459" i="16" s="1"/>
  <c r="A438" i="16"/>
  <c r="G437" i="16"/>
  <c r="F437" i="16"/>
  <c r="H458" i="16" s="1"/>
  <c r="E437" i="16"/>
  <c r="I458" i="16" s="1"/>
  <c r="D437" i="16"/>
  <c r="E458" i="16" s="1"/>
  <c r="A437" i="16"/>
  <c r="G436" i="16"/>
  <c r="F436" i="16"/>
  <c r="H457" i="16" s="1"/>
  <c r="E436" i="16"/>
  <c r="I457" i="16" s="1"/>
  <c r="D436" i="16"/>
  <c r="E457" i="16" s="1"/>
  <c r="A436" i="16"/>
  <c r="G435" i="16"/>
  <c r="F435" i="16"/>
  <c r="H468" i="16" s="1"/>
  <c r="E435" i="16"/>
  <c r="I468" i="16" s="1"/>
  <c r="D435" i="16"/>
  <c r="E468" i="16" s="1"/>
  <c r="A435" i="16"/>
  <c r="G434" i="16"/>
  <c r="D471" i="16" s="1"/>
  <c r="F434" i="16"/>
  <c r="H471" i="16" s="1"/>
  <c r="E434" i="16"/>
  <c r="I471" i="16" s="1"/>
  <c r="D434" i="16"/>
  <c r="A434" i="16"/>
  <c r="G433" i="16"/>
  <c r="D470" i="16" s="1"/>
  <c r="F433" i="16"/>
  <c r="H470" i="16" s="1"/>
  <c r="E433" i="16"/>
  <c r="I470" i="16" s="1"/>
  <c r="D433" i="16"/>
  <c r="A433" i="16"/>
  <c r="E476" i="16"/>
  <c r="D484" i="16"/>
  <c r="D485" i="16"/>
  <c r="D486" i="16"/>
  <c r="D487" i="16"/>
  <c r="D488" i="16"/>
  <c r="D489" i="16"/>
  <c r="D477" i="16"/>
  <c r="D478" i="16"/>
  <c r="D479" i="16"/>
  <c r="D480" i="16"/>
  <c r="D476" i="16"/>
  <c r="L490" i="16"/>
  <c r="I434" i="16" l="1"/>
  <c r="J434" i="16" s="1"/>
  <c r="C472" i="16"/>
  <c r="D446" i="16"/>
  <c r="J471" i="16"/>
  <c r="J459" i="16"/>
  <c r="J463" i="16"/>
  <c r="J458" i="16"/>
  <c r="J462" i="16"/>
  <c r="J466" i="16"/>
  <c r="A463" i="16"/>
  <c r="A465" i="16" s="1"/>
  <c r="A464" i="16"/>
  <c r="A466" i="16" s="1"/>
  <c r="A468" i="16" s="1"/>
  <c r="J470" i="16"/>
  <c r="J457" i="16"/>
  <c r="J465" i="16"/>
  <c r="J461" i="16"/>
  <c r="J468" i="16"/>
  <c r="I472" i="16"/>
  <c r="J460" i="16"/>
  <c r="J464" i="16"/>
  <c r="I433" i="16"/>
  <c r="I437" i="16"/>
  <c r="J437" i="16" s="1"/>
  <c r="I441" i="16"/>
  <c r="J441" i="16" s="1"/>
  <c r="I445" i="16"/>
  <c r="J445" i="16" s="1"/>
  <c r="F446" i="16"/>
  <c r="I438" i="16"/>
  <c r="J438" i="16" s="1"/>
  <c r="I442" i="16"/>
  <c r="J442" i="16" s="1"/>
  <c r="E446" i="16"/>
  <c r="C449" i="16" s="1"/>
  <c r="I435" i="16"/>
  <c r="J435" i="16" s="1"/>
  <c r="I439" i="16"/>
  <c r="J439" i="16" s="1"/>
  <c r="I443" i="16"/>
  <c r="J443" i="16" s="1"/>
  <c r="I436" i="16"/>
  <c r="J436" i="16" s="1"/>
  <c r="I440" i="16"/>
  <c r="J440" i="16" s="1"/>
  <c r="I444" i="16"/>
  <c r="J444" i="16" s="1"/>
  <c r="G446" i="16"/>
  <c r="B449" i="16" s="1"/>
  <c r="A470" i="16" l="1"/>
  <c r="A471" i="16" s="1"/>
  <c r="K471" i="16"/>
  <c r="D449" i="16"/>
  <c r="G448" i="16"/>
  <c r="K468" i="16"/>
  <c r="K458" i="16"/>
  <c r="K466" i="16"/>
  <c r="J433" i="16"/>
  <c r="I446" i="16"/>
  <c r="K457" i="16"/>
  <c r="J472" i="16"/>
  <c r="K462" i="16"/>
  <c r="K460" i="16"/>
  <c r="K461" i="16"/>
  <c r="K465" i="16"/>
  <c r="K459" i="16"/>
  <c r="K464" i="16"/>
  <c r="K463" i="16"/>
  <c r="K470" i="16"/>
  <c r="K472" i="16" l="1"/>
  <c r="I447" i="16"/>
  <c r="E449" i="16"/>
  <c r="J446" i="16"/>
  <c r="C516" i="16" l="1"/>
  <c r="C515" i="16"/>
  <c r="C513" i="16"/>
  <c r="C511" i="16"/>
  <c r="C510" i="16"/>
  <c r="C509" i="16"/>
  <c r="C508" i="16"/>
  <c r="C507" i="16"/>
  <c r="C506" i="16"/>
  <c r="C505" i="16"/>
  <c r="C504" i="16"/>
  <c r="C503" i="16"/>
  <c r="C502" i="16"/>
  <c r="A502" i="16"/>
  <c r="A503" i="16" s="1"/>
  <c r="A504" i="16" s="1"/>
  <c r="A505" i="16" s="1"/>
  <c r="A506" i="16" s="1"/>
  <c r="C501" i="16"/>
  <c r="O490" i="16"/>
  <c r="N490" i="16"/>
  <c r="M490" i="16"/>
  <c r="H490" i="16"/>
  <c r="C490" i="16"/>
  <c r="A493" i="16" s="1"/>
  <c r="G489" i="16"/>
  <c r="F489" i="16"/>
  <c r="H511" i="16" s="1"/>
  <c r="E489" i="16"/>
  <c r="I511" i="16" s="1"/>
  <c r="E511" i="16"/>
  <c r="A489" i="16"/>
  <c r="G488" i="16"/>
  <c r="F488" i="16"/>
  <c r="H510" i="16" s="1"/>
  <c r="E488" i="16"/>
  <c r="I510" i="16" s="1"/>
  <c r="E510" i="16"/>
  <c r="A488" i="16"/>
  <c r="G487" i="16"/>
  <c r="F487" i="16"/>
  <c r="H509" i="16" s="1"/>
  <c r="E487" i="16"/>
  <c r="I509" i="16" s="1"/>
  <c r="E509" i="16"/>
  <c r="A487" i="16"/>
  <c r="G486" i="16"/>
  <c r="F486" i="16"/>
  <c r="H508" i="16" s="1"/>
  <c r="E486" i="16"/>
  <c r="I508" i="16" s="1"/>
  <c r="E508" i="16"/>
  <c r="A486" i="16"/>
  <c r="G485" i="16"/>
  <c r="F485" i="16"/>
  <c r="H507" i="16" s="1"/>
  <c r="E485" i="16"/>
  <c r="I507" i="16" s="1"/>
  <c r="E507" i="16"/>
  <c r="A485" i="16"/>
  <c r="G484" i="16"/>
  <c r="F484" i="16"/>
  <c r="H506" i="16" s="1"/>
  <c r="E484" i="16"/>
  <c r="I506" i="16" s="1"/>
  <c r="E506" i="16"/>
  <c r="A484" i="16"/>
  <c r="G483" i="16"/>
  <c r="F483" i="16"/>
  <c r="H505" i="16" s="1"/>
  <c r="E483" i="16"/>
  <c r="I505" i="16" s="1"/>
  <c r="D483" i="16"/>
  <c r="E505" i="16" s="1"/>
  <c r="A483" i="16"/>
  <c r="G482" i="16"/>
  <c r="F482" i="16"/>
  <c r="H504" i="16" s="1"/>
  <c r="E482" i="16"/>
  <c r="I504" i="16" s="1"/>
  <c r="D482" i="16"/>
  <c r="E504" i="16" s="1"/>
  <c r="A482" i="16"/>
  <c r="G481" i="16"/>
  <c r="F481" i="16"/>
  <c r="H503" i="16" s="1"/>
  <c r="E481" i="16"/>
  <c r="I503" i="16" s="1"/>
  <c r="D481" i="16"/>
  <c r="E503" i="16" s="1"/>
  <c r="A481" i="16"/>
  <c r="G480" i="16"/>
  <c r="F480" i="16"/>
  <c r="H502" i="16" s="1"/>
  <c r="E480" i="16"/>
  <c r="I502" i="16" s="1"/>
  <c r="E502" i="16"/>
  <c r="A480" i="16"/>
  <c r="G479" i="16"/>
  <c r="F479" i="16"/>
  <c r="H501" i="16" s="1"/>
  <c r="E479" i="16"/>
  <c r="I501" i="16" s="1"/>
  <c r="E501" i="16"/>
  <c r="A479" i="16"/>
  <c r="G478" i="16"/>
  <c r="F478" i="16"/>
  <c r="H513" i="16" s="1"/>
  <c r="E478" i="16"/>
  <c r="I513" i="16" s="1"/>
  <c r="E513" i="16"/>
  <c r="A478" i="16"/>
  <c r="G477" i="16"/>
  <c r="D516" i="16" s="1"/>
  <c r="F477" i="16"/>
  <c r="H516" i="16" s="1"/>
  <c r="E477" i="16"/>
  <c r="I516" i="16" s="1"/>
  <c r="A477" i="16"/>
  <c r="G476" i="16"/>
  <c r="D515" i="16" s="1"/>
  <c r="F476" i="16"/>
  <c r="H515" i="16" s="1"/>
  <c r="I515" i="16"/>
  <c r="A476" i="16"/>
  <c r="J503" i="16" l="1"/>
  <c r="J507" i="16"/>
  <c r="D490" i="16"/>
  <c r="J513" i="16"/>
  <c r="I517" i="16"/>
  <c r="J504" i="16"/>
  <c r="J508" i="16"/>
  <c r="C517" i="16"/>
  <c r="I477" i="16"/>
  <c r="J477" i="16" s="1"/>
  <c r="A507" i="16"/>
  <c r="A509" i="16" s="1"/>
  <c r="A511" i="16" s="1"/>
  <c r="A513" i="16" s="1"/>
  <c r="A515" i="16" s="1"/>
  <c r="A516" i="16" s="1"/>
  <c r="A508" i="16"/>
  <c r="A510" i="16" s="1"/>
  <c r="J516" i="16"/>
  <c r="J515" i="16"/>
  <c r="J502" i="16"/>
  <c r="J506" i="16"/>
  <c r="J510" i="16"/>
  <c r="J501" i="16"/>
  <c r="J505" i="16"/>
  <c r="J509" i="16"/>
  <c r="J511" i="16"/>
  <c r="I479" i="16"/>
  <c r="J479" i="16" s="1"/>
  <c r="I483" i="16"/>
  <c r="J483" i="16" s="1"/>
  <c r="I476" i="16"/>
  <c r="I480" i="16"/>
  <c r="J480" i="16" s="1"/>
  <c r="I484" i="16"/>
  <c r="J484" i="16" s="1"/>
  <c r="I488" i="16"/>
  <c r="J488" i="16" s="1"/>
  <c r="F490" i="16"/>
  <c r="G492" i="16" s="1"/>
  <c r="I481" i="16"/>
  <c r="J481" i="16" s="1"/>
  <c r="I485" i="16"/>
  <c r="J485" i="16" s="1"/>
  <c r="I489" i="16"/>
  <c r="J489" i="16" s="1"/>
  <c r="E490" i="16"/>
  <c r="C493" i="16" s="1"/>
  <c r="I478" i="16"/>
  <c r="J478" i="16" s="1"/>
  <c r="I482" i="16"/>
  <c r="J482" i="16" s="1"/>
  <c r="I486" i="16"/>
  <c r="J486" i="16" s="1"/>
  <c r="I487" i="16"/>
  <c r="J487" i="16" s="1"/>
  <c r="G490" i="16"/>
  <c r="B493" i="16" s="1"/>
  <c r="K516" i="16" l="1"/>
  <c r="K504" i="16"/>
  <c r="D493" i="16"/>
  <c r="K511" i="16"/>
  <c r="K510" i="16"/>
  <c r="K507" i="16"/>
  <c r="K501" i="16"/>
  <c r="J517" i="16"/>
  <c r="K515" i="16"/>
  <c r="K508" i="16"/>
  <c r="K505" i="16"/>
  <c r="K502" i="16"/>
  <c r="I490" i="16"/>
  <c r="J476" i="16"/>
  <c r="K509" i="16"/>
  <c r="K506" i="16"/>
  <c r="K503" i="16"/>
  <c r="K513" i="16"/>
  <c r="K517" i="16" l="1"/>
  <c r="I491" i="16"/>
  <c r="E493" i="16"/>
  <c r="J490" i="16"/>
  <c r="C562" i="16" l="1"/>
  <c r="C561" i="16"/>
  <c r="C559" i="16"/>
  <c r="C557" i="16"/>
  <c r="C556" i="16"/>
  <c r="C555" i="16"/>
  <c r="C554" i="16"/>
  <c r="C553" i="16"/>
  <c r="C552" i="16"/>
  <c r="C551" i="16"/>
  <c r="C550" i="16"/>
  <c r="C549" i="16"/>
  <c r="C548" i="16"/>
  <c r="A548" i="16"/>
  <c r="C547" i="16"/>
  <c r="O536" i="16"/>
  <c r="N536" i="16"/>
  <c r="M536" i="16"/>
  <c r="L536" i="16"/>
  <c r="H536" i="16"/>
  <c r="C536" i="16"/>
  <c r="A539" i="16" s="1"/>
  <c r="G535" i="16"/>
  <c r="F535" i="16"/>
  <c r="H557" i="16" s="1"/>
  <c r="E535" i="16"/>
  <c r="I557" i="16" s="1"/>
  <c r="D535" i="16"/>
  <c r="A535" i="16"/>
  <c r="G534" i="16"/>
  <c r="F534" i="16"/>
  <c r="H556" i="16" s="1"/>
  <c r="E534" i="16"/>
  <c r="I556" i="16" s="1"/>
  <c r="D534" i="16"/>
  <c r="A534" i="16"/>
  <c r="G533" i="16"/>
  <c r="F533" i="16"/>
  <c r="H555" i="16" s="1"/>
  <c r="E533" i="16"/>
  <c r="I555" i="16" s="1"/>
  <c r="D533" i="16"/>
  <c r="E555" i="16" s="1"/>
  <c r="A533" i="16"/>
  <c r="G532" i="16"/>
  <c r="F532" i="16"/>
  <c r="H554" i="16" s="1"/>
  <c r="E532" i="16"/>
  <c r="I554" i="16" s="1"/>
  <c r="D532" i="16"/>
  <c r="A532" i="16"/>
  <c r="G531" i="16"/>
  <c r="F531" i="16"/>
  <c r="H553" i="16" s="1"/>
  <c r="E531" i="16"/>
  <c r="I553" i="16" s="1"/>
  <c r="D531" i="16"/>
  <c r="A531" i="16"/>
  <c r="G530" i="16"/>
  <c r="F530" i="16"/>
  <c r="H552" i="16" s="1"/>
  <c r="E530" i="16"/>
  <c r="I552" i="16" s="1"/>
  <c r="D530" i="16"/>
  <c r="E552" i="16" s="1"/>
  <c r="A530" i="16"/>
  <c r="G529" i="16"/>
  <c r="F529" i="16"/>
  <c r="H551" i="16" s="1"/>
  <c r="E529" i="16"/>
  <c r="I551" i="16" s="1"/>
  <c r="D529" i="16"/>
  <c r="E551" i="16" s="1"/>
  <c r="A529" i="16"/>
  <c r="G528" i="16"/>
  <c r="F528" i="16"/>
  <c r="H550" i="16" s="1"/>
  <c r="E528" i="16"/>
  <c r="I550" i="16" s="1"/>
  <c r="D528" i="16"/>
  <c r="A528" i="16"/>
  <c r="G527" i="16"/>
  <c r="F527" i="16"/>
  <c r="H549" i="16" s="1"/>
  <c r="E527" i="16"/>
  <c r="I549" i="16" s="1"/>
  <c r="D527" i="16"/>
  <c r="A527" i="16"/>
  <c r="G526" i="16"/>
  <c r="F526" i="16"/>
  <c r="H548" i="16" s="1"/>
  <c r="E526" i="16"/>
  <c r="I548" i="16" s="1"/>
  <c r="D526" i="16"/>
  <c r="E548" i="16" s="1"/>
  <c r="A526" i="16"/>
  <c r="G525" i="16"/>
  <c r="F525" i="16"/>
  <c r="H547" i="16" s="1"/>
  <c r="E525" i="16"/>
  <c r="I547" i="16" s="1"/>
  <c r="D525" i="16"/>
  <c r="A525" i="16"/>
  <c r="G524" i="16"/>
  <c r="F524" i="16"/>
  <c r="H559" i="16" s="1"/>
  <c r="E524" i="16"/>
  <c r="I559" i="16" s="1"/>
  <c r="D524" i="16"/>
  <c r="E559" i="16" s="1"/>
  <c r="A524" i="16"/>
  <c r="G523" i="16"/>
  <c r="D562" i="16" s="1"/>
  <c r="F523" i="16"/>
  <c r="H562" i="16" s="1"/>
  <c r="E523" i="16"/>
  <c r="I562" i="16" s="1"/>
  <c r="D523" i="16"/>
  <c r="A523" i="16"/>
  <c r="G522" i="16"/>
  <c r="D561" i="16" s="1"/>
  <c r="F522" i="16"/>
  <c r="H561" i="16" s="1"/>
  <c r="E522" i="16"/>
  <c r="I561" i="16" s="1"/>
  <c r="D522" i="16"/>
  <c r="A522" i="16"/>
  <c r="A549" i="16" l="1"/>
  <c r="A550" i="16" s="1"/>
  <c r="A551" i="16" s="1"/>
  <c r="A552" i="16" s="1"/>
  <c r="I522" i="16"/>
  <c r="J522" i="16" s="1"/>
  <c r="I528" i="16"/>
  <c r="J528" i="16" s="1"/>
  <c r="I532" i="16"/>
  <c r="J532" i="16" s="1"/>
  <c r="C563" i="16"/>
  <c r="I535" i="16"/>
  <c r="J535" i="16" s="1"/>
  <c r="I525" i="16"/>
  <c r="J525" i="16" s="1"/>
  <c r="I527" i="16"/>
  <c r="J527" i="16" s="1"/>
  <c r="J552" i="16"/>
  <c r="I531" i="16"/>
  <c r="J531" i="16" s="1"/>
  <c r="I534" i="16"/>
  <c r="J534" i="16" s="1"/>
  <c r="E547" i="16"/>
  <c r="J547" i="16" s="1"/>
  <c r="E549" i="16"/>
  <c r="J549" i="16" s="1"/>
  <c r="E557" i="16"/>
  <c r="J557" i="16" s="1"/>
  <c r="J562" i="16"/>
  <c r="E554" i="16"/>
  <c r="J554" i="16" s="1"/>
  <c r="K554" i="16" s="1"/>
  <c r="E536" i="16"/>
  <c r="C539" i="16" s="1"/>
  <c r="I523" i="16"/>
  <c r="J523" i="16" s="1"/>
  <c r="E550" i="16"/>
  <c r="J550" i="16" s="1"/>
  <c r="E556" i="16"/>
  <c r="J556" i="16" s="1"/>
  <c r="I526" i="16"/>
  <c r="J526" i="16" s="1"/>
  <c r="E553" i="16"/>
  <c r="J553" i="16" s="1"/>
  <c r="J551" i="16"/>
  <c r="J561" i="16"/>
  <c r="J548" i="16"/>
  <c r="J559" i="16"/>
  <c r="I563" i="16"/>
  <c r="J555" i="16"/>
  <c r="I533" i="16"/>
  <c r="J533" i="16" s="1"/>
  <c r="D536" i="16"/>
  <c r="I529" i="16"/>
  <c r="J529" i="16" s="1"/>
  <c r="I530" i="16"/>
  <c r="J530" i="16" s="1"/>
  <c r="G536" i="16"/>
  <c r="B539" i="16" s="1"/>
  <c r="I524" i="16"/>
  <c r="J524" i="16" s="1"/>
  <c r="F536" i="16"/>
  <c r="C605" i="16"/>
  <c r="C606" i="16"/>
  <c r="C583" i="16"/>
  <c r="A586" i="16" s="1"/>
  <c r="H583" i="16"/>
  <c r="A554" i="16" l="1"/>
  <c r="A556" i="16" s="1"/>
  <c r="A553" i="16"/>
  <c r="A555" i="16" s="1"/>
  <c r="A557" i="16" s="1"/>
  <c r="A559" i="16" s="1"/>
  <c r="A561" i="16" s="1"/>
  <c r="A562" i="16" s="1"/>
  <c r="K557" i="16"/>
  <c r="K561" i="16"/>
  <c r="K556" i="16"/>
  <c r="K553" i="16"/>
  <c r="K549" i="16"/>
  <c r="K548" i="16"/>
  <c r="D539" i="16"/>
  <c r="K547" i="16"/>
  <c r="K550" i="16"/>
  <c r="K559" i="16"/>
  <c r="K562" i="16"/>
  <c r="K555" i="16"/>
  <c r="K552" i="16"/>
  <c r="I536" i="16"/>
  <c r="J563" i="16"/>
  <c r="G538" i="16"/>
  <c r="K551" i="16"/>
  <c r="N583" i="16"/>
  <c r="M583" i="16"/>
  <c r="L583" i="16"/>
  <c r="G582" i="16"/>
  <c r="F582" i="16"/>
  <c r="H606" i="16" s="1"/>
  <c r="E582" i="16"/>
  <c r="I606" i="16" s="1"/>
  <c r="D582" i="16"/>
  <c r="A582" i="16"/>
  <c r="E606" i="16" l="1"/>
  <c r="J606" i="16" s="1"/>
  <c r="I582" i="16"/>
  <c r="J582" i="16" s="1"/>
  <c r="K563" i="16"/>
  <c r="E539" i="16"/>
  <c r="J536" i="16"/>
  <c r="I537" i="16"/>
  <c r="K606" i="16" l="1"/>
  <c r="C611" i="16"/>
  <c r="C610" i="16"/>
  <c r="C608" i="16"/>
  <c r="C604" i="16"/>
  <c r="C603" i="16"/>
  <c r="C602" i="16"/>
  <c r="C601" i="16"/>
  <c r="C600" i="16"/>
  <c r="C599" i="16"/>
  <c r="C598" i="16"/>
  <c r="C597" i="16"/>
  <c r="C596" i="16"/>
  <c r="C595" i="16"/>
  <c r="A595" i="16"/>
  <c r="A596" i="16" s="1"/>
  <c r="A597" i="16" s="1"/>
  <c r="A598" i="16" s="1"/>
  <c r="A599" i="16" s="1"/>
  <c r="A600" i="16" s="1"/>
  <c r="C594" i="16"/>
  <c r="O583" i="16"/>
  <c r="G581" i="16"/>
  <c r="F581" i="16"/>
  <c r="H605" i="16" s="1"/>
  <c r="E581" i="16"/>
  <c r="I605" i="16" s="1"/>
  <c r="D581" i="16"/>
  <c r="A581" i="16"/>
  <c r="G580" i="16"/>
  <c r="F580" i="16"/>
  <c r="E580" i="16"/>
  <c r="D580" i="16"/>
  <c r="A580" i="16"/>
  <c r="G579" i="16"/>
  <c r="F579" i="16"/>
  <c r="H603" i="16" s="1"/>
  <c r="E579" i="16"/>
  <c r="I603" i="16" s="1"/>
  <c r="D579" i="16"/>
  <c r="E603" i="16" s="1"/>
  <c r="A579" i="16"/>
  <c r="G578" i="16"/>
  <c r="F578" i="16"/>
  <c r="H602" i="16" s="1"/>
  <c r="E578" i="16"/>
  <c r="I602" i="16" s="1"/>
  <c r="D578" i="16"/>
  <c r="E602" i="16" s="1"/>
  <c r="A578" i="16"/>
  <c r="G577" i="16"/>
  <c r="F577" i="16"/>
  <c r="H601" i="16" s="1"/>
  <c r="E577" i="16"/>
  <c r="I601" i="16" s="1"/>
  <c r="D577" i="16"/>
  <c r="E601" i="16" s="1"/>
  <c r="A577" i="16"/>
  <c r="G576" i="16"/>
  <c r="F576" i="16"/>
  <c r="H600" i="16" s="1"/>
  <c r="E576" i="16"/>
  <c r="I600" i="16" s="1"/>
  <c r="D576" i="16"/>
  <c r="E600" i="16" s="1"/>
  <c r="A576" i="16"/>
  <c r="G575" i="16"/>
  <c r="F575" i="16"/>
  <c r="H599" i="16" s="1"/>
  <c r="E575" i="16"/>
  <c r="I599" i="16" s="1"/>
  <c r="D575" i="16"/>
  <c r="E599" i="16" s="1"/>
  <c r="A575" i="16"/>
  <c r="G574" i="16"/>
  <c r="F574" i="16"/>
  <c r="H598" i="16" s="1"/>
  <c r="E574" i="16"/>
  <c r="I598" i="16" s="1"/>
  <c r="D574" i="16"/>
  <c r="E598" i="16" s="1"/>
  <c r="A574" i="16"/>
  <c r="G573" i="16"/>
  <c r="F573" i="16"/>
  <c r="H597" i="16" s="1"/>
  <c r="E573" i="16"/>
  <c r="I597" i="16" s="1"/>
  <c r="D573" i="16"/>
  <c r="E597" i="16" s="1"/>
  <c r="A573" i="16"/>
  <c r="G572" i="16"/>
  <c r="F572" i="16"/>
  <c r="H596" i="16" s="1"/>
  <c r="E572" i="16"/>
  <c r="I596" i="16" s="1"/>
  <c r="D572" i="16"/>
  <c r="A572" i="16"/>
  <c r="G571" i="16"/>
  <c r="F571" i="16"/>
  <c r="H595" i="16" s="1"/>
  <c r="E571" i="16"/>
  <c r="I595" i="16" s="1"/>
  <c r="D571" i="16"/>
  <c r="E595" i="16" s="1"/>
  <c r="A571" i="16"/>
  <c r="G570" i="16"/>
  <c r="F570" i="16"/>
  <c r="H594" i="16" s="1"/>
  <c r="E570" i="16"/>
  <c r="D570" i="16"/>
  <c r="E594" i="16" s="1"/>
  <c r="A570" i="16"/>
  <c r="G569" i="16"/>
  <c r="F569" i="16"/>
  <c r="H608" i="16" s="1"/>
  <c r="E569" i="16"/>
  <c r="I608" i="16" s="1"/>
  <c r="D569" i="16"/>
  <c r="E608" i="16" s="1"/>
  <c r="A569" i="16"/>
  <c r="G568" i="16"/>
  <c r="D611" i="16" s="1"/>
  <c r="F568" i="16"/>
  <c r="H611" i="16" s="1"/>
  <c r="E568" i="16"/>
  <c r="I611" i="16" s="1"/>
  <c r="D568" i="16"/>
  <c r="A568" i="16"/>
  <c r="G567" i="16"/>
  <c r="F567" i="16"/>
  <c r="E567" i="16"/>
  <c r="I610" i="16" s="1"/>
  <c r="D567" i="16"/>
  <c r="A567" i="16"/>
  <c r="A616" i="16"/>
  <c r="D616" i="16"/>
  <c r="E616" i="16"/>
  <c r="F616" i="16"/>
  <c r="G616" i="16"/>
  <c r="A617" i="16"/>
  <c r="D617" i="16"/>
  <c r="E617" i="16"/>
  <c r="F617" i="16"/>
  <c r="G617" i="16"/>
  <c r="A618" i="16"/>
  <c r="D618" i="16"/>
  <c r="E618" i="16"/>
  <c r="F618" i="16"/>
  <c r="G618" i="16"/>
  <c r="D583" i="16" l="1"/>
  <c r="C612" i="16"/>
  <c r="D610" i="16"/>
  <c r="G583" i="16"/>
  <c r="B586" i="16" s="1"/>
  <c r="J611" i="16"/>
  <c r="I581" i="16"/>
  <c r="J581" i="16" s="1"/>
  <c r="E605" i="16"/>
  <c r="J605" i="16" s="1"/>
  <c r="I617" i="16"/>
  <c r="J617" i="16" s="1"/>
  <c r="F583" i="16"/>
  <c r="I594" i="16"/>
  <c r="J594" i="16" s="1"/>
  <c r="E583" i="16"/>
  <c r="C586" i="16" s="1"/>
  <c r="I604" i="16"/>
  <c r="H604" i="16"/>
  <c r="J599" i="16"/>
  <c r="J595" i="16"/>
  <c r="J600" i="16"/>
  <c r="I618" i="16"/>
  <c r="J618" i="16" s="1"/>
  <c r="I616" i="16"/>
  <c r="J616" i="16" s="1"/>
  <c r="I568" i="16"/>
  <c r="J568" i="16" s="1"/>
  <c r="I572" i="16"/>
  <c r="J572" i="16" s="1"/>
  <c r="I576" i="16"/>
  <c r="J576" i="16" s="1"/>
  <c r="I580" i="16"/>
  <c r="J580" i="16" s="1"/>
  <c r="E596" i="16"/>
  <c r="J596" i="16" s="1"/>
  <c r="E604" i="16"/>
  <c r="I567" i="16"/>
  <c r="J567" i="16" s="1"/>
  <c r="A601" i="16"/>
  <c r="A603" i="16" s="1"/>
  <c r="A606" i="16" s="1"/>
  <c r="A608" i="16" s="1"/>
  <c r="A610" i="16" s="1"/>
  <c r="A611" i="16" s="1"/>
  <c r="A602" i="16"/>
  <c r="J603" i="16"/>
  <c r="J598" i="16"/>
  <c r="J602" i="16"/>
  <c r="J601" i="16"/>
  <c r="J597" i="16"/>
  <c r="J608" i="16"/>
  <c r="I569" i="16"/>
  <c r="J569" i="16" s="1"/>
  <c r="I573" i="16"/>
  <c r="J573" i="16" s="1"/>
  <c r="I577" i="16"/>
  <c r="J577" i="16" s="1"/>
  <c r="I570" i="16"/>
  <c r="I574" i="16"/>
  <c r="J574" i="16" s="1"/>
  <c r="I578" i="16"/>
  <c r="J578" i="16" s="1"/>
  <c r="I571" i="16"/>
  <c r="J571" i="16" s="1"/>
  <c r="I575" i="16"/>
  <c r="J575" i="16" s="1"/>
  <c r="I579" i="16"/>
  <c r="J579" i="16" s="1"/>
  <c r="H610" i="16"/>
  <c r="J610" i="16" s="1"/>
  <c r="K611" i="16" l="1"/>
  <c r="K605" i="16"/>
  <c r="I612" i="16"/>
  <c r="A604" i="16"/>
  <c r="A605" i="16"/>
  <c r="D586" i="16"/>
  <c r="J570" i="16"/>
  <c r="I583" i="16"/>
  <c r="J604" i="16"/>
  <c r="J612" i="16" s="1"/>
  <c r="G585" i="16"/>
  <c r="K610" i="16"/>
  <c r="K600" i="16"/>
  <c r="K598" i="16"/>
  <c r="K596" i="16"/>
  <c r="K603" i="16"/>
  <c r="K608" i="16"/>
  <c r="K597" i="16"/>
  <c r="K602" i="16"/>
  <c r="K601" i="16"/>
  <c r="K595" i="16"/>
  <c r="K594" i="16"/>
  <c r="K599" i="16"/>
  <c r="K604" i="16" l="1"/>
  <c r="I584" i="16"/>
  <c r="K612" i="16"/>
  <c r="J583" i="16"/>
  <c r="E586" i="16"/>
  <c r="C658" i="16" l="1"/>
  <c r="C657" i="16"/>
  <c r="C655" i="16"/>
  <c r="C653" i="16"/>
  <c r="C652" i="16"/>
  <c r="C651" i="16"/>
  <c r="C650" i="16"/>
  <c r="C649" i="16"/>
  <c r="C648" i="16"/>
  <c r="C647" i="16"/>
  <c r="C646" i="16"/>
  <c r="C645" i="16"/>
  <c r="C644" i="16"/>
  <c r="C643" i="16"/>
  <c r="A643" i="16"/>
  <c r="A644" i="16" s="1"/>
  <c r="A645" i="16" s="1"/>
  <c r="A646" i="16" s="1"/>
  <c r="A647" i="16" s="1"/>
  <c r="A648" i="16" s="1"/>
  <c r="C642" i="16"/>
  <c r="O631" i="16"/>
  <c r="N631" i="16"/>
  <c r="M631" i="16"/>
  <c r="L631" i="16"/>
  <c r="H631" i="16"/>
  <c r="C631" i="16"/>
  <c r="A634" i="16" s="1"/>
  <c r="G630" i="16"/>
  <c r="F630" i="16"/>
  <c r="H653" i="16" s="1"/>
  <c r="E630" i="16"/>
  <c r="I653" i="16" s="1"/>
  <c r="D630" i="16"/>
  <c r="A630" i="16"/>
  <c r="G629" i="16"/>
  <c r="F629" i="16"/>
  <c r="H652" i="16" s="1"/>
  <c r="E629" i="16"/>
  <c r="I652" i="16" s="1"/>
  <c r="D629" i="16"/>
  <c r="A629" i="16"/>
  <c r="G628" i="16"/>
  <c r="F628" i="16"/>
  <c r="H651" i="16" s="1"/>
  <c r="E628" i="16"/>
  <c r="I651" i="16" s="1"/>
  <c r="D628" i="16"/>
  <c r="E651" i="16" s="1"/>
  <c r="A628" i="16"/>
  <c r="G627" i="16"/>
  <c r="F627" i="16"/>
  <c r="H650" i="16" s="1"/>
  <c r="E627" i="16"/>
  <c r="I650" i="16" s="1"/>
  <c r="D627" i="16"/>
  <c r="E650" i="16" s="1"/>
  <c r="A627" i="16"/>
  <c r="G626" i="16"/>
  <c r="F626" i="16"/>
  <c r="H649" i="16" s="1"/>
  <c r="E626" i="16"/>
  <c r="I649" i="16" s="1"/>
  <c r="D626" i="16"/>
  <c r="A626" i="16"/>
  <c r="G625" i="16"/>
  <c r="F625" i="16"/>
  <c r="H648" i="16" s="1"/>
  <c r="E625" i="16"/>
  <c r="I648" i="16" s="1"/>
  <c r="D625" i="16"/>
  <c r="A625" i="16"/>
  <c r="G624" i="16"/>
  <c r="F624" i="16"/>
  <c r="H647" i="16" s="1"/>
  <c r="E624" i="16"/>
  <c r="I647" i="16" s="1"/>
  <c r="D624" i="16"/>
  <c r="E647" i="16" s="1"/>
  <c r="A624" i="16"/>
  <c r="G623" i="16"/>
  <c r="F623" i="16"/>
  <c r="H646" i="16" s="1"/>
  <c r="E623" i="16"/>
  <c r="I646" i="16" s="1"/>
  <c r="D623" i="16"/>
  <c r="E646" i="16" s="1"/>
  <c r="A623" i="16"/>
  <c r="G622" i="16"/>
  <c r="F622" i="16"/>
  <c r="H645" i="16" s="1"/>
  <c r="E622" i="16"/>
  <c r="I645" i="16" s="1"/>
  <c r="D622" i="16"/>
  <c r="A622" i="16"/>
  <c r="G621" i="16"/>
  <c r="F621" i="16"/>
  <c r="H644" i="16" s="1"/>
  <c r="E621" i="16"/>
  <c r="I644" i="16" s="1"/>
  <c r="D621" i="16"/>
  <c r="A621" i="16"/>
  <c r="G620" i="16"/>
  <c r="F620" i="16"/>
  <c r="H643" i="16" s="1"/>
  <c r="E620" i="16"/>
  <c r="I643" i="16" s="1"/>
  <c r="D620" i="16"/>
  <c r="E643" i="16" s="1"/>
  <c r="A620" i="16"/>
  <c r="G619" i="16"/>
  <c r="F619" i="16"/>
  <c r="H642" i="16" s="1"/>
  <c r="E619" i="16"/>
  <c r="I642" i="16" s="1"/>
  <c r="D619" i="16"/>
  <c r="A619" i="16"/>
  <c r="H655" i="16"/>
  <c r="I655" i="16"/>
  <c r="E655" i="16"/>
  <c r="D658" i="16"/>
  <c r="H658" i="16"/>
  <c r="I658" i="16"/>
  <c r="D657" i="16"/>
  <c r="I657" i="16"/>
  <c r="E653" i="16" l="1"/>
  <c r="J653" i="16" s="1"/>
  <c r="I630" i="16"/>
  <c r="C659" i="16"/>
  <c r="I619" i="16"/>
  <c r="J619" i="16" s="1"/>
  <c r="J643" i="16"/>
  <c r="I622" i="16"/>
  <c r="J622" i="16" s="1"/>
  <c r="J647" i="16"/>
  <c r="I626" i="16"/>
  <c r="J626" i="16" s="1"/>
  <c r="J651" i="16"/>
  <c r="J630" i="16"/>
  <c r="E645" i="16"/>
  <c r="J645" i="16" s="1"/>
  <c r="F631" i="16"/>
  <c r="I621" i="16"/>
  <c r="J621" i="16" s="1"/>
  <c r="I625" i="16"/>
  <c r="J625" i="16" s="1"/>
  <c r="I629" i="16"/>
  <c r="J629" i="16" s="1"/>
  <c r="E652" i="16"/>
  <c r="J652" i="16" s="1"/>
  <c r="E649" i="16"/>
  <c r="J649" i="16" s="1"/>
  <c r="J658" i="16"/>
  <c r="A649" i="16"/>
  <c r="A651" i="16" s="1"/>
  <c r="A653" i="16" s="1"/>
  <c r="A655" i="16" s="1"/>
  <c r="A657" i="16" s="1"/>
  <c r="A658" i="16" s="1"/>
  <c r="A650" i="16"/>
  <c r="A652" i="16" s="1"/>
  <c r="J650" i="16"/>
  <c r="J655" i="16"/>
  <c r="I659" i="16"/>
  <c r="J646" i="16"/>
  <c r="I627" i="16"/>
  <c r="J627" i="16" s="1"/>
  <c r="E631" i="16"/>
  <c r="C634" i="16" s="1"/>
  <c r="E644" i="16"/>
  <c r="J644" i="16" s="1"/>
  <c r="E648" i="16"/>
  <c r="J648" i="16" s="1"/>
  <c r="I623" i="16"/>
  <c r="J623" i="16" s="1"/>
  <c r="D631" i="16"/>
  <c r="I628" i="16"/>
  <c r="J628" i="16" s="1"/>
  <c r="G631" i="16"/>
  <c r="B634" i="16" s="1"/>
  <c r="E642" i="16"/>
  <c r="J642" i="16" s="1"/>
  <c r="H657" i="16"/>
  <c r="J657" i="16" s="1"/>
  <c r="I620" i="16"/>
  <c r="J620" i="16" s="1"/>
  <c r="I624" i="16"/>
  <c r="J624" i="16" s="1"/>
  <c r="C706" i="16"/>
  <c r="C705" i="16"/>
  <c r="C703" i="16"/>
  <c r="C696" i="16"/>
  <c r="C697" i="16"/>
  <c r="C698" i="16"/>
  <c r="C699" i="16"/>
  <c r="C695" i="16"/>
  <c r="C700" i="16"/>
  <c r="C701" i="16"/>
  <c r="C691" i="16"/>
  <c r="C692" i="16"/>
  <c r="C690" i="16"/>
  <c r="G665" i="16"/>
  <c r="D706" i="16" s="1"/>
  <c r="G666" i="16"/>
  <c r="G667" i="16"/>
  <c r="G668" i="16"/>
  <c r="F665" i="16"/>
  <c r="H706" i="16" s="1"/>
  <c r="F666" i="16"/>
  <c r="H703" i="16" s="1"/>
  <c r="F667" i="16"/>
  <c r="H690" i="16" s="1"/>
  <c r="F668" i="16"/>
  <c r="F669" i="16"/>
  <c r="F670" i="16"/>
  <c r="F671" i="16"/>
  <c r="F672" i="16"/>
  <c r="F673" i="16"/>
  <c r="F674" i="16"/>
  <c r="F675" i="16"/>
  <c r="F676" i="16"/>
  <c r="F677" i="16"/>
  <c r="H700" i="16" s="1"/>
  <c r="F678" i="16"/>
  <c r="F664" i="16"/>
  <c r="H705" i="16" s="1"/>
  <c r="E665" i="16"/>
  <c r="I706" i="16" s="1"/>
  <c r="E666" i="16"/>
  <c r="I703" i="16" s="1"/>
  <c r="E667" i="16"/>
  <c r="I690" i="16" s="1"/>
  <c r="E668" i="16"/>
  <c r="E669" i="16"/>
  <c r="E670" i="16"/>
  <c r="E671" i="16"/>
  <c r="E672" i="16"/>
  <c r="E673" i="16"/>
  <c r="E674" i="16"/>
  <c r="E675" i="16"/>
  <c r="E676" i="16"/>
  <c r="E677" i="16"/>
  <c r="I700" i="16" s="1"/>
  <c r="E678" i="16"/>
  <c r="E664" i="16"/>
  <c r="I705" i="16" s="1"/>
  <c r="D670" i="16"/>
  <c r="D671" i="16"/>
  <c r="D672" i="16"/>
  <c r="E695" i="16" s="1"/>
  <c r="D673" i="16"/>
  <c r="E696" i="16" s="1"/>
  <c r="D674" i="16"/>
  <c r="E697" i="16" s="1"/>
  <c r="D675" i="16"/>
  <c r="E698" i="16" s="1"/>
  <c r="D676" i="16"/>
  <c r="E699" i="16" s="1"/>
  <c r="D677" i="16"/>
  <c r="E700" i="16" s="1"/>
  <c r="D678" i="16"/>
  <c r="E701" i="16" s="1"/>
  <c r="D665" i="16"/>
  <c r="D666" i="16"/>
  <c r="E703" i="16" s="1"/>
  <c r="D667" i="16"/>
  <c r="E690" i="16" s="1"/>
  <c r="D668" i="16"/>
  <c r="E691" i="16" s="1"/>
  <c r="D669" i="16"/>
  <c r="E692" i="16" s="1"/>
  <c r="D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64" i="16"/>
  <c r="G677" i="16"/>
  <c r="K649" i="16" l="1"/>
  <c r="K653" i="16"/>
  <c r="K652" i="16"/>
  <c r="D634" i="16"/>
  <c r="K651" i="16"/>
  <c r="K657" i="16"/>
  <c r="G633" i="16"/>
  <c r="K648" i="16"/>
  <c r="K645" i="16"/>
  <c r="K644" i="16"/>
  <c r="K646" i="16"/>
  <c r="K658" i="16"/>
  <c r="K655" i="16"/>
  <c r="K642" i="16"/>
  <c r="J659" i="16"/>
  <c r="K650" i="16"/>
  <c r="K647" i="16"/>
  <c r="K643" i="16"/>
  <c r="I631" i="16"/>
  <c r="J700" i="16"/>
  <c r="I677" i="16"/>
  <c r="J677" i="16" s="1"/>
  <c r="J631" i="16" l="1"/>
  <c r="I632" i="16"/>
  <c r="E634" i="16"/>
  <c r="K659" i="16"/>
  <c r="K700" i="16"/>
  <c r="C694" i="16" l="1"/>
  <c r="C693" i="16"/>
  <c r="A691" i="16"/>
  <c r="A692" i="16" s="1"/>
  <c r="A693" i="16" s="1"/>
  <c r="A694" i="16" s="1"/>
  <c r="A695" i="16" s="1"/>
  <c r="A696" i="16" s="1"/>
  <c r="O679" i="16"/>
  <c r="N679" i="16"/>
  <c r="M679" i="16"/>
  <c r="L679" i="16"/>
  <c r="H679" i="16"/>
  <c r="C679" i="16"/>
  <c r="A682" i="16" s="1"/>
  <c r="G678" i="16"/>
  <c r="H701" i="16"/>
  <c r="I701" i="16"/>
  <c r="G676" i="16"/>
  <c r="H699" i="16"/>
  <c r="I699" i="16"/>
  <c r="G675" i="16"/>
  <c r="H698" i="16"/>
  <c r="I698" i="16"/>
  <c r="G674" i="16"/>
  <c r="H697" i="16"/>
  <c r="I697" i="16"/>
  <c r="G673" i="16"/>
  <c r="H696" i="16"/>
  <c r="I696" i="16"/>
  <c r="G672" i="16"/>
  <c r="H695" i="16"/>
  <c r="I695" i="16"/>
  <c r="G671" i="16"/>
  <c r="H694" i="16"/>
  <c r="I694" i="16"/>
  <c r="E694" i="16"/>
  <c r="G670" i="16"/>
  <c r="H693" i="16"/>
  <c r="I693" i="16"/>
  <c r="E693" i="16"/>
  <c r="G669" i="16"/>
  <c r="H692" i="16"/>
  <c r="I692" i="16"/>
  <c r="H691" i="16"/>
  <c r="I691" i="16"/>
  <c r="G664" i="16"/>
  <c r="D705" i="16" s="1"/>
  <c r="A713" i="16"/>
  <c r="D713" i="16"/>
  <c r="E713" i="16"/>
  <c r="F713" i="16"/>
  <c r="H738" i="16" s="1"/>
  <c r="G713" i="16"/>
  <c r="A714" i="16"/>
  <c r="D714" i="16"/>
  <c r="E714" i="16"/>
  <c r="I752" i="16" s="1"/>
  <c r="F714" i="16"/>
  <c r="G714" i="16"/>
  <c r="D752" i="16" s="1"/>
  <c r="A715" i="16"/>
  <c r="D715" i="16"/>
  <c r="E715" i="16"/>
  <c r="F715" i="16"/>
  <c r="H753" i="16" s="1"/>
  <c r="G715" i="16"/>
  <c r="D753" i="16" s="1"/>
  <c r="A716" i="16"/>
  <c r="D716" i="16"/>
  <c r="E750" i="16" s="1"/>
  <c r="E716" i="16"/>
  <c r="I750" i="16" s="1"/>
  <c r="F716" i="16"/>
  <c r="H750" i="16" s="1"/>
  <c r="G716" i="16"/>
  <c r="A717" i="16"/>
  <c r="D717" i="16"/>
  <c r="E717" i="16"/>
  <c r="F717" i="16"/>
  <c r="H739" i="16" s="1"/>
  <c r="G717" i="16"/>
  <c r="A718" i="16"/>
  <c r="D718" i="16"/>
  <c r="E740" i="16" s="1"/>
  <c r="E718" i="16"/>
  <c r="F718" i="16"/>
  <c r="H740" i="16" s="1"/>
  <c r="G718" i="16"/>
  <c r="A719" i="16"/>
  <c r="D719" i="16"/>
  <c r="E741" i="16" s="1"/>
  <c r="E719" i="16"/>
  <c r="F719" i="16"/>
  <c r="H741" i="16" s="1"/>
  <c r="G719" i="16"/>
  <c r="A720" i="16"/>
  <c r="D720" i="16"/>
  <c r="E742" i="16" s="1"/>
  <c r="E720" i="16"/>
  <c r="I742" i="16" s="1"/>
  <c r="F720" i="16"/>
  <c r="H742" i="16" s="1"/>
  <c r="G720" i="16"/>
  <c r="A721" i="16"/>
  <c r="D721" i="16"/>
  <c r="E743" i="16" s="1"/>
  <c r="E721" i="16"/>
  <c r="I743" i="16" s="1"/>
  <c r="F721" i="16"/>
  <c r="H743" i="16" s="1"/>
  <c r="G721" i="16"/>
  <c r="A722" i="16"/>
  <c r="D722" i="16"/>
  <c r="E722" i="16"/>
  <c r="I744" i="16" s="1"/>
  <c r="F722" i="16"/>
  <c r="H744" i="16" s="1"/>
  <c r="G722" i="16"/>
  <c r="A723" i="16"/>
  <c r="D723" i="16"/>
  <c r="E745" i="16" s="1"/>
  <c r="E723" i="16"/>
  <c r="F723" i="16"/>
  <c r="H745" i="16" s="1"/>
  <c r="G723" i="16"/>
  <c r="A724" i="16"/>
  <c r="D724" i="16"/>
  <c r="E746" i="16" s="1"/>
  <c r="E724" i="16"/>
  <c r="I746" i="16" s="1"/>
  <c r="F724" i="16"/>
  <c r="H746" i="16" s="1"/>
  <c r="G724" i="16"/>
  <c r="A725" i="16"/>
  <c r="D725" i="16"/>
  <c r="E747" i="16" s="1"/>
  <c r="E725" i="16"/>
  <c r="I747" i="16" s="1"/>
  <c r="F725" i="16"/>
  <c r="H747" i="16" s="1"/>
  <c r="G725" i="16"/>
  <c r="A726" i="16"/>
  <c r="D726" i="16"/>
  <c r="E748" i="16" s="1"/>
  <c r="E726" i="16"/>
  <c r="F726" i="16"/>
  <c r="H748" i="16" s="1"/>
  <c r="G726" i="16"/>
  <c r="C727" i="16"/>
  <c r="A730" i="16" s="1"/>
  <c r="H727" i="16"/>
  <c r="L727" i="16"/>
  <c r="M727" i="16"/>
  <c r="N727" i="16"/>
  <c r="O727" i="16"/>
  <c r="C738" i="16"/>
  <c r="E738" i="16"/>
  <c r="I738" i="16"/>
  <c r="A739" i="16"/>
  <c r="A740" i="16" s="1"/>
  <c r="A741" i="16" s="1"/>
  <c r="A742" i="16" s="1"/>
  <c r="A743" i="16" s="1"/>
  <c r="A744" i="16" s="1"/>
  <c r="C739" i="16"/>
  <c r="E739" i="16"/>
  <c r="I739" i="16"/>
  <c r="C740" i="16"/>
  <c r="C741" i="16"/>
  <c r="C742" i="16"/>
  <c r="C743" i="16"/>
  <c r="C744" i="16"/>
  <c r="C745" i="16"/>
  <c r="C746" i="16"/>
  <c r="C747" i="16"/>
  <c r="C748" i="16"/>
  <c r="C750" i="16"/>
  <c r="C752" i="16"/>
  <c r="C753" i="16"/>
  <c r="I726" i="16" l="1"/>
  <c r="J726" i="16" s="1"/>
  <c r="I718" i="16"/>
  <c r="J718" i="16" s="1"/>
  <c r="J739" i="16"/>
  <c r="I714" i="16"/>
  <c r="J714" i="16" s="1"/>
  <c r="I748" i="16"/>
  <c r="J747" i="16"/>
  <c r="I722" i="16"/>
  <c r="J722" i="16" s="1"/>
  <c r="I721" i="16"/>
  <c r="J721" i="16" s="1"/>
  <c r="G679" i="16"/>
  <c r="B682" i="16" s="1"/>
  <c r="I667" i="16"/>
  <c r="J667" i="16" s="1"/>
  <c r="I665" i="16"/>
  <c r="J665" i="16" s="1"/>
  <c r="I666" i="16"/>
  <c r="J666" i="16" s="1"/>
  <c r="C707" i="16"/>
  <c r="I707" i="16"/>
  <c r="J691" i="16"/>
  <c r="J695" i="16"/>
  <c r="J699" i="16"/>
  <c r="J706" i="16"/>
  <c r="A698" i="16"/>
  <c r="A700" i="16" s="1"/>
  <c r="A697" i="16"/>
  <c r="A699" i="16" s="1"/>
  <c r="A701" i="16" s="1"/>
  <c r="A703" i="16" s="1"/>
  <c r="A705" i="16" s="1"/>
  <c r="A706" i="16" s="1"/>
  <c r="J694" i="16"/>
  <c r="J698" i="16"/>
  <c r="J705" i="16"/>
  <c r="J693" i="16"/>
  <c r="J697" i="16"/>
  <c r="J692" i="16"/>
  <c r="J696" i="16"/>
  <c r="J701" i="16"/>
  <c r="I664" i="16"/>
  <c r="I668" i="16"/>
  <c r="J668" i="16" s="1"/>
  <c r="I672" i="16"/>
  <c r="J672" i="16" s="1"/>
  <c r="I676" i="16"/>
  <c r="J676" i="16" s="1"/>
  <c r="F679" i="16"/>
  <c r="J690" i="16"/>
  <c r="K690" i="16" s="1"/>
  <c r="I669" i="16"/>
  <c r="J669" i="16" s="1"/>
  <c r="I673" i="16"/>
  <c r="J673" i="16" s="1"/>
  <c r="I678" i="16"/>
  <c r="J678" i="16" s="1"/>
  <c r="E679" i="16"/>
  <c r="C682" i="16" s="1"/>
  <c r="I670" i="16"/>
  <c r="J670" i="16" s="1"/>
  <c r="I674" i="16"/>
  <c r="J674" i="16" s="1"/>
  <c r="D679" i="16"/>
  <c r="J703" i="16"/>
  <c r="I671" i="16"/>
  <c r="J671" i="16" s="1"/>
  <c r="I675" i="16"/>
  <c r="J675" i="16" s="1"/>
  <c r="J748" i="16"/>
  <c r="K748" i="16" s="1"/>
  <c r="J746" i="16"/>
  <c r="J743" i="16"/>
  <c r="I715" i="16"/>
  <c r="J715" i="16" s="1"/>
  <c r="H752" i="16"/>
  <c r="J752" i="16" s="1"/>
  <c r="J750" i="16"/>
  <c r="E744" i="16"/>
  <c r="J744" i="16" s="1"/>
  <c r="I740" i="16"/>
  <c r="C754" i="16"/>
  <c r="E727" i="16"/>
  <c r="C730" i="16" s="1"/>
  <c r="I725" i="16"/>
  <c r="J725" i="16" s="1"/>
  <c r="I723" i="16"/>
  <c r="J723" i="16" s="1"/>
  <c r="I719" i="16"/>
  <c r="J719" i="16" s="1"/>
  <c r="D727" i="16"/>
  <c r="I713" i="16"/>
  <c r="J713" i="16" s="1"/>
  <c r="J740" i="16"/>
  <c r="J742" i="16"/>
  <c r="G727" i="16"/>
  <c r="B730" i="16" s="1"/>
  <c r="I717" i="16"/>
  <c r="J717" i="16" s="1"/>
  <c r="I716" i="16"/>
  <c r="J716" i="16" s="1"/>
  <c r="A746" i="16"/>
  <c r="A745" i="16"/>
  <c r="A747" i="16" s="1"/>
  <c r="A748" i="16" s="1"/>
  <c r="A750" i="16" s="1"/>
  <c r="A752" i="16" s="1"/>
  <c r="A753" i="16" s="1"/>
  <c r="I745" i="16"/>
  <c r="J745" i="16" s="1"/>
  <c r="I741" i="16"/>
  <c r="J741" i="16" s="1"/>
  <c r="J738" i="16"/>
  <c r="F727" i="16"/>
  <c r="I724" i="16"/>
  <c r="J724" i="16" s="1"/>
  <c r="I720" i="16"/>
  <c r="J720" i="16" s="1"/>
  <c r="I753" i="16"/>
  <c r="J753" i="16" s="1"/>
  <c r="K744" i="16" l="1"/>
  <c r="D730" i="16"/>
  <c r="K747" i="16"/>
  <c r="K740" i="16"/>
  <c r="K743" i="16"/>
  <c r="K745" i="16"/>
  <c r="G729" i="16"/>
  <c r="K703" i="16"/>
  <c r="K706" i="16"/>
  <c r="K753" i="16"/>
  <c r="K752" i="16"/>
  <c r="K741" i="16"/>
  <c r="K705" i="16"/>
  <c r="D682" i="16"/>
  <c r="G681" i="16"/>
  <c r="K696" i="16"/>
  <c r="K701" i="16"/>
  <c r="K697" i="16"/>
  <c r="K694" i="16"/>
  <c r="K699" i="16"/>
  <c r="J664" i="16"/>
  <c r="I679" i="16"/>
  <c r="K698" i="16"/>
  <c r="J707" i="16"/>
  <c r="K692" i="16"/>
  <c r="K691" i="16"/>
  <c r="K693" i="16"/>
  <c r="K695" i="16"/>
  <c r="K750" i="16"/>
  <c r="K739" i="16"/>
  <c r="I754" i="16"/>
  <c r="K738" i="16"/>
  <c r="J754" i="16"/>
  <c r="K746" i="16"/>
  <c r="I727" i="16"/>
  <c r="K742" i="16"/>
  <c r="K707" i="16" l="1"/>
  <c r="I680" i="16"/>
  <c r="E682" i="16"/>
  <c r="J679" i="16"/>
  <c r="K754" i="16"/>
  <c r="I728" i="16"/>
  <c r="E730" i="16"/>
  <c r="J727" i="16"/>
  <c r="C799" i="16"/>
  <c r="C798" i="16"/>
  <c r="C796" i="16"/>
  <c r="C794" i="16"/>
  <c r="C793" i="16"/>
  <c r="C792" i="16"/>
  <c r="C791" i="16"/>
  <c r="C790" i="16"/>
  <c r="C789" i="16"/>
  <c r="C788" i="16"/>
  <c r="C787" i="16"/>
  <c r="C786" i="16"/>
  <c r="C785" i="16"/>
  <c r="C784" i="16"/>
  <c r="A785" i="16"/>
  <c r="A786" i="16" s="1"/>
  <c r="A787" i="16" s="1"/>
  <c r="A788" i="16" s="1"/>
  <c r="A789" i="16" s="1"/>
  <c r="A790" i="16" s="1"/>
  <c r="O773" i="16"/>
  <c r="N773" i="16"/>
  <c r="M773" i="16"/>
  <c r="L773" i="16"/>
  <c r="H773" i="16"/>
  <c r="C773" i="16"/>
  <c r="A776" i="16" s="1"/>
  <c r="G772" i="16"/>
  <c r="F772" i="16"/>
  <c r="H794" i="16" s="1"/>
  <c r="E772" i="16"/>
  <c r="I794" i="16" s="1"/>
  <c r="D772" i="16"/>
  <c r="E794" i="16" s="1"/>
  <c r="A772" i="16"/>
  <c r="G771" i="16"/>
  <c r="F771" i="16"/>
  <c r="H793" i="16" s="1"/>
  <c r="E771" i="16"/>
  <c r="I793" i="16" s="1"/>
  <c r="D771" i="16"/>
  <c r="A771" i="16"/>
  <c r="G770" i="16"/>
  <c r="F770" i="16"/>
  <c r="H792" i="16" s="1"/>
  <c r="E770" i="16"/>
  <c r="I792" i="16" s="1"/>
  <c r="D770" i="16"/>
  <c r="E792" i="16" s="1"/>
  <c r="A770" i="16"/>
  <c r="G769" i="16"/>
  <c r="F769" i="16"/>
  <c r="H791" i="16" s="1"/>
  <c r="E769" i="16"/>
  <c r="I791" i="16" s="1"/>
  <c r="D769" i="16"/>
  <c r="E791" i="16" s="1"/>
  <c r="A769" i="16"/>
  <c r="G768" i="16"/>
  <c r="F768" i="16"/>
  <c r="H790" i="16" s="1"/>
  <c r="E768" i="16"/>
  <c r="I790" i="16" s="1"/>
  <c r="D768" i="16"/>
  <c r="E790" i="16" s="1"/>
  <c r="A768" i="16"/>
  <c r="G767" i="16"/>
  <c r="F767" i="16"/>
  <c r="H789" i="16" s="1"/>
  <c r="E767" i="16"/>
  <c r="I789" i="16" s="1"/>
  <c r="D767" i="16"/>
  <c r="A767" i="16"/>
  <c r="G766" i="16"/>
  <c r="F766" i="16"/>
  <c r="H788" i="16" s="1"/>
  <c r="E766" i="16"/>
  <c r="I788" i="16" s="1"/>
  <c r="D766" i="16"/>
  <c r="E788" i="16" s="1"/>
  <c r="A766" i="16"/>
  <c r="G765" i="16"/>
  <c r="F765" i="16"/>
  <c r="H787" i="16" s="1"/>
  <c r="E765" i="16"/>
  <c r="I787" i="16" s="1"/>
  <c r="D765" i="16"/>
  <c r="E787" i="16" s="1"/>
  <c r="A765" i="16"/>
  <c r="G764" i="16"/>
  <c r="F764" i="16"/>
  <c r="H786" i="16" s="1"/>
  <c r="E764" i="16"/>
  <c r="I786" i="16" s="1"/>
  <c r="D764" i="16"/>
  <c r="E786" i="16" s="1"/>
  <c r="A764" i="16"/>
  <c r="G763" i="16"/>
  <c r="F763" i="16"/>
  <c r="H785" i="16" s="1"/>
  <c r="E763" i="16"/>
  <c r="I785" i="16" s="1"/>
  <c r="D763" i="16"/>
  <c r="A763" i="16"/>
  <c r="G762" i="16"/>
  <c r="F762" i="16"/>
  <c r="H796" i="16" s="1"/>
  <c r="E762" i="16"/>
  <c r="I796" i="16" s="1"/>
  <c r="D762" i="16"/>
  <c r="E796" i="16" s="1"/>
  <c r="A762" i="16"/>
  <c r="G761" i="16"/>
  <c r="D799" i="16" s="1"/>
  <c r="F761" i="16"/>
  <c r="H799" i="16" s="1"/>
  <c r="E761" i="16"/>
  <c r="I799" i="16" s="1"/>
  <c r="D761" i="16"/>
  <c r="A761" i="16"/>
  <c r="G760" i="16"/>
  <c r="D798" i="16" s="1"/>
  <c r="F760" i="16"/>
  <c r="H798" i="16" s="1"/>
  <c r="E760" i="16"/>
  <c r="I798" i="16" s="1"/>
  <c r="D760" i="16"/>
  <c r="A760" i="16"/>
  <c r="G759" i="16"/>
  <c r="F759" i="16"/>
  <c r="H784" i="16" s="1"/>
  <c r="E759" i="16"/>
  <c r="I784" i="16" s="1"/>
  <c r="D759" i="16"/>
  <c r="E784" i="16" s="1"/>
  <c r="A759" i="16"/>
  <c r="E815" i="16"/>
  <c r="G773" i="16" l="1"/>
  <c r="B776" i="16" s="1"/>
  <c r="I761" i="16"/>
  <c r="J761" i="16" s="1"/>
  <c r="I760" i="16"/>
  <c r="J760" i="16" s="1"/>
  <c r="C800" i="16"/>
  <c r="J799" i="16"/>
  <c r="I763" i="16"/>
  <c r="J763" i="16" s="1"/>
  <c r="J787" i="16"/>
  <c r="I767" i="16"/>
  <c r="J767" i="16" s="1"/>
  <c r="J791" i="16"/>
  <c r="I771" i="16"/>
  <c r="J771" i="16" s="1"/>
  <c r="F773" i="16"/>
  <c r="J784" i="16"/>
  <c r="I800" i="16"/>
  <c r="J796" i="16"/>
  <c r="J788" i="16"/>
  <c r="J792" i="16"/>
  <c r="A792" i="16"/>
  <c r="A791" i="16"/>
  <c r="A793" i="16" s="1"/>
  <c r="A794" i="16" s="1"/>
  <c r="A796" i="16" s="1"/>
  <c r="A798" i="16" s="1"/>
  <c r="A799" i="16" s="1"/>
  <c r="J798" i="16"/>
  <c r="K798" i="16" s="1"/>
  <c r="J786" i="16"/>
  <c r="J790" i="16"/>
  <c r="J794" i="16"/>
  <c r="I764" i="16"/>
  <c r="J764" i="16" s="1"/>
  <c r="I768" i="16"/>
  <c r="J768" i="16" s="1"/>
  <c r="I772" i="16"/>
  <c r="J772" i="16" s="1"/>
  <c r="E773" i="16"/>
  <c r="C776" i="16" s="1"/>
  <c r="E785" i="16"/>
  <c r="J785" i="16" s="1"/>
  <c r="E789" i="16"/>
  <c r="J789" i="16" s="1"/>
  <c r="E793" i="16"/>
  <c r="J793" i="16" s="1"/>
  <c r="I765" i="16"/>
  <c r="J765" i="16" s="1"/>
  <c r="I769" i="16"/>
  <c r="J769" i="16" s="1"/>
  <c r="D773" i="16"/>
  <c r="I762" i="16"/>
  <c r="J762" i="16" s="1"/>
  <c r="I766" i="16"/>
  <c r="J766" i="16" s="1"/>
  <c r="I770" i="16"/>
  <c r="J770" i="16" s="1"/>
  <c r="I759" i="16"/>
  <c r="J759" i="16" s="1"/>
  <c r="N820" i="16"/>
  <c r="M820" i="16"/>
  <c r="O820" i="16"/>
  <c r="L820" i="16"/>
  <c r="D817" i="16"/>
  <c r="K789" i="16" l="1"/>
  <c r="D776" i="16"/>
  <c r="K785" i="16"/>
  <c r="K799" i="16"/>
  <c r="K794" i="16"/>
  <c r="G775" i="16"/>
  <c r="K793" i="16"/>
  <c r="I773" i="16"/>
  <c r="K791" i="16"/>
  <c r="K784" i="16"/>
  <c r="K796" i="16"/>
  <c r="K788" i="16"/>
  <c r="J800" i="16"/>
  <c r="K786" i="16"/>
  <c r="K790" i="16"/>
  <c r="K787" i="16"/>
  <c r="K792" i="16"/>
  <c r="J773" i="16" l="1"/>
  <c r="I774" i="16"/>
  <c r="E776" i="16"/>
  <c r="K800" i="16"/>
  <c r="C847" i="16" l="1"/>
  <c r="C846" i="16"/>
  <c r="C844" i="16"/>
  <c r="C842" i="16"/>
  <c r="C841" i="16"/>
  <c r="C840" i="16"/>
  <c r="C839" i="16"/>
  <c r="C838" i="16"/>
  <c r="C837" i="16"/>
  <c r="C836" i="16"/>
  <c r="C835" i="16"/>
  <c r="C834" i="16"/>
  <c r="C833" i="16"/>
  <c r="C832" i="16"/>
  <c r="A832" i="16"/>
  <c r="A833" i="16" s="1"/>
  <c r="A834" i="16" s="1"/>
  <c r="A835" i="16" s="1"/>
  <c r="A836" i="16" s="1"/>
  <c r="A837" i="16" s="1"/>
  <c r="A838" i="16" s="1"/>
  <c r="C831" i="16"/>
  <c r="H820" i="16"/>
  <c r="C820" i="16"/>
  <c r="A823" i="16" s="1"/>
  <c r="G819" i="16"/>
  <c r="F819" i="16"/>
  <c r="H842" i="16" s="1"/>
  <c r="E819" i="16"/>
  <c r="I842" i="16" s="1"/>
  <c r="D819" i="16"/>
  <c r="E842" i="16" s="1"/>
  <c r="A819" i="16"/>
  <c r="G818" i="16"/>
  <c r="F818" i="16"/>
  <c r="H841" i="16" s="1"/>
  <c r="E818" i="16"/>
  <c r="I841" i="16" s="1"/>
  <c r="D818" i="16"/>
  <c r="A818" i="16"/>
  <c r="G817" i="16"/>
  <c r="F817" i="16"/>
  <c r="H840" i="16" s="1"/>
  <c r="E817" i="16"/>
  <c r="A817" i="16"/>
  <c r="G816" i="16"/>
  <c r="F816" i="16"/>
  <c r="H839" i="16" s="1"/>
  <c r="E816" i="16"/>
  <c r="I839" i="16" s="1"/>
  <c r="D816" i="16"/>
  <c r="E839" i="16" s="1"/>
  <c r="A816" i="16"/>
  <c r="G815" i="16"/>
  <c r="F815" i="16"/>
  <c r="H838" i="16" s="1"/>
  <c r="I838" i="16"/>
  <c r="D815" i="16"/>
  <c r="E838" i="16" s="1"/>
  <c r="A815" i="16"/>
  <c r="G814" i="16"/>
  <c r="F814" i="16"/>
  <c r="H837" i="16" s="1"/>
  <c r="E814" i="16"/>
  <c r="I837" i="16" s="1"/>
  <c r="D814" i="16"/>
  <c r="A814" i="16"/>
  <c r="G813" i="16"/>
  <c r="F813" i="16"/>
  <c r="H836" i="16" s="1"/>
  <c r="E813" i="16"/>
  <c r="I836" i="16" s="1"/>
  <c r="D813" i="16"/>
  <c r="E836" i="16" s="1"/>
  <c r="A813" i="16"/>
  <c r="G812" i="16"/>
  <c r="F812" i="16"/>
  <c r="H835" i="16" s="1"/>
  <c r="E812" i="16"/>
  <c r="I835" i="16" s="1"/>
  <c r="D812" i="16"/>
  <c r="E835" i="16" s="1"/>
  <c r="A812" i="16"/>
  <c r="G811" i="16"/>
  <c r="F811" i="16"/>
  <c r="H834" i="16" s="1"/>
  <c r="E811" i="16"/>
  <c r="I834" i="16" s="1"/>
  <c r="D811" i="16"/>
  <c r="E834" i="16" s="1"/>
  <c r="A811" i="16"/>
  <c r="G810" i="16"/>
  <c r="F810" i="16"/>
  <c r="H833" i="16" s="1"/>
  <c r="E810" i="16"/>
  <c r="I833" i="16" s="1"/>
  <c r="D810" i="16"/>
  <c r="A810" i="16"/>
  <c r="G809" i="16"/>
  <c r="F809" i="16"/>
  <c r="H844" i="16" s="1"/>
  <c r="E809" i="16"/>
  <c r="I844" i="16" s="1"/>
  <c r="D809" i="16"/>
  <c r="E844" i="16" s="1"/>
  <c r="A809" i="16"/>
  <c r="G808" i="16"/>
  <c r="D847" i="16" s="1"/>
  <c r="F808" i="16"/>
  <c r="H847" i="16" s="1"/>
  <c r="E808" i="16"/>
  <c r="I847" i="16" s="1"/>
  <c r="D808" i="16"/>
  <c r="A808" i="16"/>
  <c r="G807" i="16"/>
  <c r="D846" i="16" s="1"/>
  <c r="F807" i="16"/>
  <c r="H846" i="16" s="1"/>
  <c r="E807" i="16"/>
  <c r="I846" i="16" s="1"/>
  <c r="D807" i="16"/>
  <c r="A807" i="16"/>
  <c r="G806" i="16"/>
  <c r="F806" i="16"/>
  <c r="H832" i="16" s="1"/>
  <c r="E806" i="16"/>
  <c r="I832" i="16" s="1"/>
  <c r="D806" i="16"/>
  <c r="E832" i="16" s="1"/>
  <c r="A806" i="16"/>
  <c r="G805" i="16"/>
  <c r="F805" i="16"/>
  <c r="E805" i="16"/>
  <c r="I831" i="16" s="1"/>
  <c r="D805" i="16"/>
  <c r="E831" i="16" s="1"/>
  <c r="A805" i="16"/>
  <c r="I840" i="16" l="1"/>
  <c r="I848" i="16" s="1"/>
  <c r="I817" i="16"/>
  <c r="J817" i="16" s="1"/>
  <c r="I810" i="16"/>
  <c r="J810" i="16" s="1"/>
  <c r="J836" i="16"/>
  <c r="G820" i="16"/>
  <c r="B823" i="16" s="1"/>
  <c r="C848" i="16"/>
  <c r="I818" i="16"/>
  <c r="J818" i="16" s="1"/>
  <c r="J844" i="16"/>
  <c r="I814" i="16"/>
  <c r="J814" i="16" s="1"/>
  <c r="I808" i="16"/>
  <c r="J808" i="16" s="1"/>
  <c r="F820" i="16"/>
  <c r="I807" i="16"/>
  <c r="J807" i="16" s="1"/>
  <c r="E840" i="16"/>
  <c r="H831" i="16"/>
  <c r="J847" i="16"/>
  <c r="J835" i="16"/>
  <c r="J839" i="16"/>
  <c r="J831" i="16"/>
  <c r="J846" i="16"/>
  <c r="J834" i="16"/>
  <c r="J838" i="16"/>
  <c r="J842" i="16"/>
  <c r="J832" i="16"/>
  <c r="A840" i="16"/>
  <c r="A839" i="16"/>
  <c r="A841" i="16" s="1"/>
  <c r="A842" i="16" s="1"/>
  <c r="A844" i="16" s="1"/>
  <c r="A846" i="16" s="1"/>
  <c r="A847" i="16" s="1"/>
  <c r="I812" i="16"/>
  <c r="J812" i="16" s="1"/>
  <c r="D820" i="16"/>
  <c r="I811" i="16"/>
  <c r="J811" i="16" s="1"/>
  <c r="I815" i="16"/>
  <c r="J815" i="16" s="1"/>
  <c r="I819" i="16"/>
  <c r="J819" i="16" s="1"/>
  <c r="E820" i="16"/>
  <c r="C823" i="16" s="1"/>
  <c r="E833" i="16"/>
  <c r="J833" i="16" s="1"/>
  <c r="E837" i="16"/>
  <c r="J837" i="16" s="1"/>
  <c r="E841" i="16"/>
  <c r="J841" i="16" s="1"/>
  <c r="I816" i="16"/>
  <c r="J816" i="16" s="1"/>
  <c r="I805" i="16"/>
  <c r="I809" i="16"/>
  <c r="J809" i="16" s="1"/>
  <c r="I813" i="16"/>
  <c r="J813" i="16" s="1"/>
  <c r="I806" i="16"/>
  <c r="J806" i="16" s="1"/>
  <c r="C895" i="16"/>
  <c r="C894" i="16"/>
  <c r="C892" i="16"/>
  <c r="C886" i="16"/>
  <c r="C887" i="16"/>
  <c r="C888" i="16"/>
  <c r="C889" i="16"/>
  <c r="C890" i="16"/>
  <c r="C885" i="16"/>
  <c r="C884" i="16"/>
  <c r="C883" i="16"/>
  <c r="C882" i="16"/>
  <c r="C881" i="16"/>
  <c r="C880" i="16"/>
  <c r="C879" i="16"/>
  <c r="C868" i="16"/>
  <c r="K846" i="16" l="1"/>
  <c r="D823" i="16"/>
  <c r="J840" i="16"/>
  <c r="K840" i="16" s="1"/>
  <c r="K833" i="16"/>
  <c r="K841" i="16"/>
  <c r="K847" i="16"/>
  <c r="K837" i="16"/>
  <c r="G822" i="16"/>
  <c r="K831" i="16"/>
  <c r="K838" i="16"/>
  <c r="K839" i="16"/>
  <c r="K844" i="16"/>
  <c r="K842" i="16"/>
  <c r="K836" i="16"/>
  <c r="K832" i="16"/>
  <c r="I820" i="16"/>
  <c r="J805" i="16"/>
  <c r="K834" i="16"/>
  <c r="K835" i="16"/>
  <c r="C896" i="16"/>
  <c r="A866" i="16"/>
  <c r="A867" i="16"/>
  <c r="J848" i="16" l="1"/>
  <c r="K848" i="16" s="1"/>
  <c r="J820" i="16"/>
  <c r="I821" i="16"/>
  <c r="E823" i="16"/>
  <c r="A880" i="16" l="1"/>
  <c r="A881" i="16" s="1"/>
  <c r="A882" i="16" s="1"/>
  <c r="A883" i="16" s="1"/>
  <c r="A884" i="16" s="1"/>
  <c r="A885" i="16" s="1"/>
  <c r="A886" i="16" s="1"/>
  <c r="C904" i="16"/>
  <c r="E940" i="16"/>
  <c r="H868" i="16"/>
  <c r="D853" i="16"/>
  <c r="E879" i="16" s="1"/>
  <c r="D854" i="16"/>
  <c r="E880" i="16" s="1"/>
  <c r="D855" i="16"/>
  <c r="D856" i="16"/>
  <c r="D857" i="16"/>
  <c r="D858" i="16"/>
  <c r="E881" i="16" s="1"/>
  <c r="D859" i="16"/>
  <c r="E882" i="16" s="1"/>
  <c r="D860" i="16"/>
  <c r="E883" i="16" s="1"/>
  <c r="D861" i="16"/>
  <c r="E884" i="16" s="1"/>
  <c r="D862" i="16"/>
  <c r="E885" i="16" s="1"/>
  <c r="D863" i="16"/>
  <c r="E886" i="16" s="1"/>
  <c r="D864" i="16"/>
  <c r="E887" i="16" s="1"/>
  <c r="D865" i="16"/>
  <c r="E888" i="16" s="1"/>
  <c r="D866" i="16"/>
  <c r="E889" i="16" s="1"/>
  <c r="E892" i="16" l="1"/>
  <c r="A888" i="16"/>
  <c r="A887" i="16"/>
  <c r="A889" i="16" s="1"/>
  <c r="A890" i="16" s="1"/>
  <c r="A892" i="16" s="1"/>
  <c r="A894" i="16" s="1"/>
  <c r="A895" i="16" s="1"/>
  <c r="E904" i="16"/>
  <c r="G866" i="16" l="1"/>
  <c r="G865" i="16"/>
  <c r="F865" i="16"/>
  <c r="H888" i="16" s="1"/>
  <c r="E853" i="16" l="1"/>
  <c r="I879" i="16" s="1"/>
  <c r="F853" i="16"/>
  <c r="H879" i="16" s="1"/>
  <c r="G853" i="16"/>
  <c r="G854" i="16"/>
  <c r="D919" i="16" s="1"/>
  <c r="G855" i="16"/>
  <c r="A864" i="16"/>
  <c r="A865" i="16"/>
  <c r="A853" i="16"/>
  <c r="E865" i="16"/>
  <c r="I888" i="16" s="1"/>
  <c r="J888" i="16" s="1"/>
  <c r="E913" i="16"/>
  <c r="H913" i="16"/>
  <c r="C913" i="16"/>
  <c r="J879" i="16" l="1"/>
  <c r="D920" i="16"/>
  <c r="D894" i="16"/>
  <c r="I913" i="16"/>
  <c r="J913" i="16" s="1"/>
  <c r="I865" i="16"/>
  <c r="J865" i="16" s="1"/>
  <c r="I904" i="16"/>
  <c r="I853" i="16"/>
  <c r="H904" i="16"/>
  <c r="J904" i="16" l="1"/>
  <c r="K904" i="16" s="1"/>
  <c r="K879" i="16"/>
  <c r="K888" i="16"/>
  <c r="K913" i="16"/>
  <c r="J853" i="16"/>
  <c r="C920" i="16" l="1"/>
  <c r="C919" i="16"/>
  <c r="C917" i="16"/>
  <c r="C915" i="16"/>
  <c r="C914" i="16"/>
  <c r="C912" i="16"/>
  <c r="C911" i="16"/>
  <c r="C910" i="16"/>
  <c r="C909" i="16"/>
  <c r="C908" i="16"/>
  <c r="C907" i="16"/>
  <c r="C906" i="16"/>
  <c r="A906" i="16"/>
  <c r="A907" i="16" s="1"/>
  <c r="A908" i="16" s="1"/>
  <c r="A909" i="16" s="1"/>
  <c r="A910" i="16" s="1"/>
  <c r="A911" i="16" s="1"/>
  <c r="C905" i="16"/>
  <c r="A871" i="16"/>
  <c r="G867" i="16"/>
  <c r="F867" i="16"/>
  <c r="E867" i="16"/>
  <c r="D867" i="16"/>
  <c r="E890" i="16" s="1"/>
  <c r="F866" i="16"/>
  <c r="E866" i="16"/>
  <c r="E914" i="16"/>
  <c r="G864" i="16"/>
  <c r="F864" i="16"/>
  <c r="E864" i="16"/>
  <c r="G863" i="16"/>
  <c r="F863" i="16"/>
  <c r="E863" i="16"/>
  <c r="A863" i="16"/>
  <c r="G862" i="16"/>
  <c r="F862" i="16"/>
  <c r="E862" i="16"/>
  <c r="E910" i="16"/>
  <c r="A862" i="16"/>
  <c r="G861" i="16"/>
  <c r="F861" i="16"/>
  <c r="E861" i="16"/>
  <c r="E909" i="16"/>
  <c r="A861" i="16"/>
  <c r="G860" i="16"/>
  <c r="F860" i="16"/>
  <c r="E860" i="16"/>
  <c r="E908" i="16"/>
  <c r="A860" i="16"/>
  <c r="G859" i="16"/>
  <c r="F859" i="16"/>
  <c r="E859" i="16"/>
  <c r="A859" i="16"/>
  <c r="G858" i="16"/>
  <c r="F858" i="16"/>
  <c r="E858" i="16"/>
  <c r="E906" i="16"/>
  <c r="A858" i="16"/>
  <c r="G857" i="16"/>
  <c r="F857" i="16"/>
  <c r="E857" i="16"/>
  <c r="E905" i="16"/>
  <c r="A857" i="16"/>
  <c r="G856" i="16"/>
  <c r="D895" i="16" s="1"/>
  <c r="F856" i="16"/>
  <c r="E856" i="16"/>
  <c r="I895" i="16" s="1"/>
  <c r="A856" i="16"/>
  <c r="F855" i="16"/>
  <c r="E855" i="16"/>
  <c r="A855" i="16"/>
  <c r="F854" i="16"/>
  <c r="H880" i="16" s="1"/>
  <c r="E854" i="16"/>
  <c r="I880" i="16" s="1"/>
  <c r="A854" i="16"/>
  <c r="H920" i="16" l="1"/>
  <c r="H894" i="16"/>
  <c r="H905" i="16"/>
  <c r="H892" i="16"/>
  <c r="I906" i="16"/>
  <c r="I881" i="16"/>
  <c r="I907" i="16"/>
  <c r="I882" i="16"/>
  <c r="J880" i="16"/>
  <c r="I920" i="16"/>
  <c r="I894" i="16"/>
  <c r="H917" i="16"/>
  <c r="H895" i="16"/>
  <c r="J895" i="16" s="1"/>
  <c r="I905" i="16"/>
  <c r="I892" i="16"/>
  <c r="I857" i="16"/>
  <c r="J857" i="16" s="1"/>
  <c r="H906" i="16"/>
  <c r="J906" i="16" s="1"/>
  <c r="H881" i="16"/>
  <c r="J881" i="16" s="1"/>
  <c r="H907" i="16"/>
  <c r="H882" i="16"/>
  <c r="J882" i="16" s="1"/>
  <c r="I908" i="16"/>
  <c r="I883" i="16"/>
  <c r="H909" i="16"/>
  <c r="H884" i="16"/>
  <c r="I910" i="16"/>
  <c r="I885" i="16"/>
  <c r="I911" i="16"/>
  <c r="I886" i="16"/>
  <c r="H912" i="16"/>
  <c r="H887" i="16"/>
  <c r="H914" i="16"/>
  <c r="H889" i="16"/>
  <c r="I915" i="16"/>
  <c r="I890" i="16"/>
  <c r="H908" i="16"/>
  <c r="H883" i="16"/>
  <c r="I909" i="16"/>
  <c r="I884" i="16"/>
  <c r="H910" i="16"/>
  <c r="H885" i="16"/>
  <c r="H911" i="16"/>
  <c r="H886" i="16"/>
  <c r="I912" i="16"/>
  <c r="I887" i="16"/>
  <c r="I914" i="16"/>
  <c r="I889" i="16"/>
  <c r="H915" i="16"/>
  <c r="H890" i="16"/>
  <c r="A912" i="16"/>
  <c r="A914" i="16" s="1"/>
  <c r="A915" i="16" s="1"/>
  <c r="A917" i="16" s="1"/>
  <c r="A919" i="16" s="1"/>
  <c r="A920" i="16" s="1"/>
  <c r="A913" i="16"/>
  <c r="I917" i="16"/>
  <c r="I856" i="16"/>
  <c r="J856" i="16" s="1"/>
  <c r="E915" i="16"/>
  <c r="D868" i="16"/>
  <c r="F868" i="16"/>
  <c r="I919" i="16"/>
  <c r="E868" i="16"/>
  <c r="C871" i="16" s="1"/>
  <c r="G868" i="16"/>
  <c r="B871" i="16" s="1"/>
  <c r="E917" i="16"/>
  <c r="C921" i="16"/>
  <c r="I854" i="16"/>
  <c r="I855" i="16"/>
  <c r="J855" i="16" s="1"/>
  <c r="I859" i="16"/>
  <c r="J859" i="16" s="1"/>
  <c r="I863" i="16"/>
  <c r="J863" i="16" s="1"/>
  <c r="I864" i="16"/>
  <c r="J864" i="16" s="1"/>
  <c r="I866" i="16"/>
  <c r="J866" i="16" s="1"/>
  <c r="I861" i="16"/>
  <c r="J861" i="16" s="1"/>
  <c r="I860" i="16"/>
  <c r="J860" i="16" s="1"/>
  <c r="I867" i="16"/>
  <c r="J867" i="16" s="1"/>
  <c r="E907" i="16"/>
  <c r="E911" i="16"/>
  <c r="E912" i="16"/>
  <c r="H919" i="16"/>
  <c r="I862" i="16"/>
  <c r="J862" i="16" s="1"/>
  <c r="I858" i="16"/>
  <c r="J858" i="16" s="1"/>
  <c r="C940" i="16"/>
  <c r="J907" i="16" l="1"/>
  <c r="K907" i="16" s="1"/>
  <c r="J914" i="16"/>
  <c r="K914" i="16" s="1"/>
  <c r="J910" i="16"/>
  <c r="K910" i="16" s="1"/>
  <c r="J908" i="16"/>
  <c r="K908" i="16" s="1"/>
  <c r="J890" i="16"/>
  <c r="J885" i="16"/>
  <c r="K885" i="16" s="1"/>
  <c r="J883" i="16"/>
  <c r="K883" i="16" s="1"/>
  <c r="J915" i="16"/>
  <c r="K915" i="16" s="1"/>
  <c r="J920" i="16"/>
  <c r="K920" i="16" s="1"/>
  <c r="J911" i="16"/>
  <c r="K911" i="16" s="1"/>
  <c r="J919" i="16"/>
  <c r="K919" i="16" s="1"/>
  <c r="J909" i="16"/>
  <c r="K909" i="16" s="1"/>
  <c r="J905" i="16"/>
  <c r="K905" i="16" s="1"/>
  <c r="J886" i="16"/>
  <c r="J912" i="16"/>
  <c r="K912" i="16" s="1"/>
  <c r="I896" i="16"/>
  <c r="D871" i="16"/>
  <c r="I921" i="16"/>
  <c r="K895" i="16"/>
  <c r="K880" i="16"/>
  <c r="K890" i="16"/>
  <c r="K886" i="16"/>
  <c r="J889" i="16"/>
  <c r="K889" i="16" s="1"/>
  <c r="J887" i="16"/>
  <c r="K887" i="16" s="1"/>
  <c r="J884" i="16"/>
  <c r="K884" i="16" s="1"/>
  <c r="K882" i="16"/>
  <c r="K881" i="16"/>
  <c r="J892" i="16"/>
  <c r="K892" i="16" s="1"/>
  <c r="J894" i="16"/>
  <c r="K894" i="16" s="1"/>
  <c r="G870" i="16"/>
  <c r="J917" i="16"/>
  <c r="K917" i="16" s="1"/>
  <c r="J854" i="16"/>
  <c r="I868" i="16"/>
  <c r="K906" i="16"/>
  <c r="E931" i="16"/>
  <c r="E930" i="16"/>
  <c r="E929" i="16"/>
  <c r="J921" i="16" l="1"/>
  <c r="K921" i="16" s="1"/>
  <c r="I869" i="16"/>
  <c r="J896" i="16"/>
  <c r="K896" i="16" s="1"/>
  <c r="E871" i="16"/>
  <c r="J868" i="16"/>
  <c r="A930" i="16" l="1"/>
  <c r="A931" i="16" s="1"/>
  <c r="A932" i="16" s="1"/>
  <c r="A933" i="16" s="1"/>
  <c r="A934" i="16" s="1"/>
  <c r="A935" i="16" s="1"/>
  <c r="A936" i="16" s="1"/>
  <c r="A937" i="16" s="1"/>
  <c r="C943" i="16"/>
  <c r="C942" i="16"/>
  <c r="C938" i="16"/>
  <c r="C937" i="16"/>
  <c r="C936" i="16"/>
  <c r="C935" i="16"/>
  <c r="C934" i="16"/>
  <c r="C933" i="16"/>
  <c r="C932" i="16"/>
  <c r="C931" i="16"/>
  <c r="C930" i="16"/>
  <c r="C929" i="16"/>
  <c r="H938" i="16"/>
  <c r="I938" i="16"/>
  <c r="E938" i="16"/>
  <c r="H937" i="16"/>
  <c r="I937" i="16"/>
  <c r="H936" i="16"/>
  <c r="I936" i="16"/>
  <c r="E936" i="16"/>
  <c r="H935" i="16"/>
  <c r="I935" i="16"/>
  <c r="E935" i="16"/>
  <c r="H934" i="16"/>
  <c r="I934" i="16"/>
  <c r="H933" i="16"/>
  <c r="I933" i="16"/>
  <c r="E933" i="16"/>
  <c r="H932" i="16"/>
  <c r="I932" i="16"/>
  <c r="E932" i="16"/>
  <c r="H931" i="16"/>
  <c r="I931" i="16"/>
  <c r="H930" i="16"/>
  <c r="I930" i="16"/>
  <c r="H929" i="16"/>
  <c r="I929" i="16"/>
  <c r="H940" i="16"/>
  <c r="I940" i="16"/>
  <c r="H943" i="16"/>
  <c r="I943" i="16"/>
  <c r="I942" i="16"/>
  <c r="A938" i="16" l="1"/>
  <c r="A940" i="16" s="1"/>
  <c r="A942" i="16" s="1"/>
  <c r="A943" i="16" s="1"/>
  <c r="J943" i="16"/>
  <c r="J935" i="16"/>
  <c r="J938" i="16"/>
  <c r="C944" i="16"/>
  <c r="J931" i="16"/>
  <c r="J929" i="16"/>
  <c r="J944" i="16" s="1"/>
  <c r="K944" i="16" s="1"/>
  <c r="J940" i="16"/>
  <c r="I944" i="16"/>
  <c r="J932" i="16"/>
  <c r="J936" i="16"/>
  <c r="J933" i="16"/>
  <c r="J930" i="16"/>
  <c r="E937" i="16"/>
  <c r="J937" i="16" s="1"/>
  <c r="E934" i="16"/>
  <c r="J934" i="16" s="1"/>
  <c r="H942" i="16"/>
  <c r="J942" i="16" s="1"/>
  <c r="K934" i="16" l="1"/>
  <c r="K937" i="16"/>
  <c r="K942" i="16"/>
  <c r="K938" i="16"/>
  <c r="K930" i="16"/>
  <c r="K940" i="16"/>
  <c r="K936" i="16"/>
  <c r="K931" i="16"/>
  <c r="K943" i="16"/>
  <c r="K933" i="16"/>
  <c r="K935" i="16"/>
  <c r="K929" i="16"/>
  <c r="K932" i="16"/>
  <c r="C966" i="16" l="1"/>
  <c r="C952" i="16"/>
  <c r="C961" i="16"/>
  <c r="I957" i="16" l="1"/>
  <c r="I958" i="16"/>
  <c r="I959" i="16"/>
  <c r="I960" i="16"/>
  <c r="I961" i="16"/>
  <c r="I962" i="16"/>
  <c r="I956" i="16"/>
  <c r="I955" i="16"/>
  <c r="I966" i="16"/>
  <c r="H961" i="16"/>
  <c r="E961" i="16"/>
  <c r="J961" i="16" l="1"/>
  <c r="K961" i="16" l="1"/>
  <c r="C967" i="16" l="1"/>
  <c r="C964" i="16"/>
  <c r="C962" i="16"/>
  <c r="C960" i="16"/>
  <c r="C959" i="16"/>
  <c r="C958" i="16"/>
  <c r="C957" i="16"/>
  <c r="C956" i="16"/>
  <c r="C955" i="16"/>
  <c r="C954" i="16"/>
  <c r="C953" i="16"/>
  <c r="H966" i="16"/>
  <c r="J966" i="16" s="1"/>
  <c r="C987" i="16"/>
  <c r="K966" i="16" l="1"/>
  <c r="C968" i="16"/>
  <c r="C990" i="16"/>
  <c r="J990" i="16" s="1"/>
  <c r="K990" i="16" s="1"/>
  <c r="C989" i="16"/>
  <c r="J989" i="16" s="1"/>
  <c r="K989" i="16" s="1"/>
  <c r="J987" i="16"/>
  <c r="C977" i="16"/>
  <c r="J977" i="16" s="1"/>
  <c r="C978" i="16"/>
  <c r="J978" i="16" s="1"/>
  <c r="C979" i="16"/>
  <c r="J979" i="16" s="1"/>
  <c r="C980" i="16"/>
  <c r="J980" i="16" s="1"/>
  <c r="C981" i="16"/>
  <c r="J981" i="16" s="1"/>
  <c r="C982" i="16"/>
  <c r="J982" i="16" s="1"/>
  <c r="C983" i="16"/>
  <c r="J983" i="16" s="1"/>
  <c r="C984" i="16"/>
  <c r="C985" i="16"/>
  <c r="J985" i="16" s="1"/>
  <c r="C976" i="16"/>
  <c r="J976" i="16" s="1"/>
  <c r="I991" i="16"/>
  <c r="J984" i="16"/>
  <c r="C991" i="16" l="1"/>
  <c r="J991" i="16"/>
  <c r="G992" i="16" s="1"/>
  <c r="K982" i="16" l="1"/>
  <c r="K978" i="16"/>
  <c r="K987" i="16"/>
  <c r="K985" i="16" l="1"/>
  <c r="K977" i="16"/>
  <c r="K976" i="16"/>
  <c r="K983" i="16"/>
  <c r="K979" i="16"/>
  <c r="K980" i="16"/>
  <c r="K981" i="16"/>
  <c r="K984" i="16"/>
  <c r="K991" i="16" l="1"/>
  <c r="F1003" i="16" l="1"/>
  <c r="H1002" i="16"/>
  <c r="F1001" i="16"/>
  <c r="C1011" i="16" l="1"/>
  <c r="J1011" i="16" s="1"/>
  <c r="C1010" i="16"/>
  <c r="J1010" i="16" s="1"/>
  <c r="C1009" i="16"/>
  <c r="J1009" i="16" s="1"/>
  <c r="C1008" i="16"/>
  <c r="J1008" i="16" s="1"/>
  <c r="C1007" i="16"/>
  <c r="J1007" i="16" s="1"/>
  <c r="C1006" i="16"/>
  <c r="J1006" i="16" s="1"/>
  <c r="C1005" i="16"/>
  <c r="J1005" i="16" s="1"/>
  <c r="C1004" i="16"/>
  <c r="J1004" i="16" s="1"/>
  <c r="C1003" i="16"/>
  <c r="J1003" i="16" s="1"/>
  <c r="C1002" i="16"/>
  <c r="J1002" i="16" s="1"/>
  <c r="C1001" i="16"/>
  <c r="J1001" i="16" s="1"/>
  <c r="C1000" i="16"/>
  <c r="J1000" i="16" s="1"/>
  <c r="C1013" i="16"/>
  <c r="J1013" i="16" s="1"/>
  <c r="C1016" i="16"/>
  <c r="J1016" i="16" s="1"/>
  <c r="I1017" i="16"/>
  <c r="C1043" i="16"/>
  <c r="C1015" i="16" l="1"/>
  <c r="J1015" i="16" s="1"/>
  <c r="J1017" i="16" s="1"/>
  <c r="C1017" i="16" l="1"/>
  <c r="I1043" i="16" l="1"/>
  <c r="J1042" i="16" l="1"/>
  <c r="J1041" i="16"/>
  <c r="J1039" i="16"/>
  <c r="J1037" i="16"/>
  <c r="J1036" i="16"/>
  <c r="J1035" i="16"/>
  <c r="J1034" i="16"/>
  <c r="J1033" i="16"/>
  <c r="J1032" i="16"/>
  <c r="J1031" i="16"/>
  <c r="J1030" i="16"/>
  <c r="J1029" i="16"/>
  <c r="J1028" i="16"/>
  <c r="J1027" i="16"/>
  <c r="J1026" i="16"/>
  <c r="J1025" i="16"/>
  <c r="J1043" i="16" l="1"/>
  <c r="J1062" i="16" l="1"/>
  <c r="J1061" i="16"/>
  <c r="J1060" i="16"/>
  <c r="J1059" i="16"/>
  <c r="J1058" i="16"/>
  <c r="J1057" i="16"/>
  <c r="J1056" i="16"/>
  <c r="J1054" i="16"/>
  <c r="J1051" i="16"/>
  <c r="J1065" i="16"/>
  <c r="J1068" i="16"/>
  <c r="J1067" i="16"/>
  <c r="I1069" i="16"/>
  <c r="J1055" i="16"/>
  <c r="C1069" i="16" l="1"/>
  <c r="J1053" i="16"/>
  <c r="J1052" i="16"/>
  <c r="J1063" i="16"/>
  <c r="J1069" i="16" l="1"/>
  <c r="F1089" i="16" l="1"/>
  <c r="H1089" i="16"/>
  <c r="F1080" i="16"/>
  <c r="H1079" i="16"/>
  <c r="F1078" i="16"/>
  <c r="I1095" i="16"/>
  <c r="J1089" i="16" l="1"/>
  <c r="J1088" i="16"/>
  <c r="J1087" i="16"/>
  <c r="J1086" i="16"/>
  <c r="J1085" i="16"/>
  <c r="J1084" i="16"/>
  <c r="J1083" i="16"/>
  <c r="J1082" i="16"/>
  <c r="J1081" i="16"/>
  <c r="J1080" i="16"/>
  <c r="J1079" i="16"/>
  <c r="J1078" i="16"/>
  <c r="J1091" i="16"/>
  <c r="J1094" i="16"/>
  <c r="J1093" i="16"/>
  <c r="J1077" i="16" l="1"/>
  <c r="J1095" i="16" s="1"/>
  <c r="C1095" i="16"/>
  <c r="I1124" i="16" l="1"/>
  <c r="J1118" i="16"/>
  <c r="J1104" i="16" l="1"/>
  <c r="J1117" i="16" l="1"/>
  <c r="J1116" i="16"/>
  <c r="J1115" i="16"/>
  <c r="J1114" i="16"/>
  <c r="J1113" i="16"/>
  <c r="J1112" i="16"/>
  <c r="J1111" i="16"/>
  <c r="J1110" i="16"/>
  <c r="J1109" i="16"/>
  <c r="J1108" i="16"/>
  <c r="J1107" i="16"/>
  <c r="J1106" i="16"/>
  <c r="C1120" i="16"/>
  <c r="J1120" i="16" s="1"/>
  <c r="C1123" i="16"/>
  <c r="J1123" i="16" s="1"/>
  <c r="C1122" i="16"/>
  <c r="J1122" i="16" s="1"/>
  <c r="C1151" i="16"/>
  <c r="J1105" i="16" l="1"/>
  <c r="J1124" i="16" s="1"/>
  <c r="C1124" i="16"/>
  <c r="J1164" i="16" l="1"/>
  <c r="J1145" i="16" l="1"/>
  <c r="J1144" i="16"/>
  <c r="J1143" i="16"/>
  <c r="J1142" i="16"/>
  <c r="J1141" i="16"/>
  <c r="J1140" i="16"/>
  <c r="J1139" i="16"/>
  <c r="J1138" i="16"/>
  <c r="J1137" i="16"/>
  <c r="J1136" i="16"/>
  <c r="J1135" i="16"/>
  <c r="J1134" i="16"/>
  <c r="J1133" i="16"/>
  <c r="J1147" i="16"/>
  <c r="J1150" i="16"/>
  <c r="J1149" i="16"/>
  <c r="I1151" i="16"/>
  <c r="J1132" i="16" l="1"/>
  <c r="J1151" i="16" s="1"/>
  <c r="I1179" i="16" l="1"/>
  <c r="J1172" i="16" l="1"/>
  <c r="J1169" i="16" l="1"/>
  <c r="J1165" i="16"/>
  <c r="J1161" i="16"/>
  <c r="J1175" i="16"/>
  <c r="J1177" i="16"/>
  <c r="J1178" i="16"/>
  <c r="J1171" i="16"/>
  <c r="J1170" i="16"/>
  <c r="J1168" i="16"/>
  <c r="J1167" i="16"/>
  <c r="J1166" i="16"/>
  <c r="J1163" i="16"/>
  <c r="J1162" i="16"/>
  <c r="J1160" i="16"/>
  <c r="J1173" i="16" l="1"/>
  <c r="J1179" i="16" s="1"/>
  <c r="K1179" i="16" s="1"/>
  <c r="C1096" i="16" l="1"/>
  <c r="C1070" i="16"/>
  <c r="J1196" i="16"/>
  <c r="J1197" i="16" l="1"/>
  <c r="J1195" i="16"/>
  <c r="J1194" i="16"/>
  <c r="J1193" i="16"/>
  <c r="J1192" i="16"/>
  <c r="J1191" i="16"/>
  <c r="J1190" i="16"/>
  <c r="J1189" i="16"/>
  <c r="J1188" i="16"/>
  <c r="J1187" i="16"/>
  <c r="J1201" i="16"/>
  <c r="J1204" i="16"/>
  <c r="J1203" i="16"/>
  <c r="J1199" i="16" l="1"/>
  <c r="J1198" i="16"/>
  <c r="J1205" i="16" l="1"/>
  <c r="J1223" i="16" l="1"/>
  <c r="F1213" i="16" l="1"/>
  <c r="J1247" i="16"/>
  <c r="J1250" i="16"/>
  <c r="J1231" i="16"/>
  <c r="J1230" i="16"/>
  <c r="J1229" i="16"/>
  <c r="C1222" i="16" l="1"/>
  <c r="J1222" i="16" s="1"/>
  <c r="C1221" i="16"/>
  <c r="J1221" i="16" s="1"/>
  <c r="C1220" i="16"/>
  <c r="J1220" i="16" s="1"/>
  <c r="C1219" i="16"/>
  <c r="J1219" i="16" s="1"/>
  <c r="C1218" i="16"/>
  <c r="J1218" i="16" s="1"/>
  <c r="J1217" i="16"/>
  <c r="C1216" i="16"/>
  <c r="J1216" i="16" s="1"/>
  <c r="C1215" i="16"/>
  <c r="J1215" i="16" s="1"/>
  <c r="C1214" i="16"/>
  <c r="J1214" i="16" s="1"/>
  <c r="C1213" i="16"/>
  <c r="J1213" i="16" s="1"/>
  <c r="C1225" i="16"/>
  <c r="J1225" i="16" s="1"/>
  <c r="C1228" i="16"/>
  <c r="J1228" i="16" s="1"/>
  <c r="C1227" i="16" l="1"/>
  <c r="J1227" i="16" s="1"/>
  <c r="J1232" i="16" s="1"/>
  <c r="J1258" i="16" l="1"/>
  <c r="J1257" i="16"/>
  <c r="J1256" i="16"/>
  <c r="J1309" i="16"/>
  <c r="J1282" i="16"/>
  <c r="J1281" i="16"/>
  <c r="J1279" i="16"/>
  <c r="E1277" i="16"/>
  <c r="J1277" i="16" s="1"/>
  <c r="E1276" i="16"/>
  <c r="J1276" i="16" s="1"/>
  <c r="E1274" i="16"/>
  <c r="J1274" i="16" s="1"/>
  <c r="H1273" i="16"/>
  <c r="E1273" i="16"/>
  <c r="F1272" i="16"/>
  <c r="E1272" i="16"/>
  <c r="E1271" i="16"/>
  <c r="J1271" i="16" s="1"/>
  <c r="I1270" i="16"/>
  <c r="H1270" i="16"/>
  <c r="E1270" i="16"/>
  <c r="I1269" i="16"/>
  <c r="E1269" i="16"/>
  <c r="H1268" i="16"/>
  <c r="E1268" i="16"/>
  <c r="I1267" i="16"/>
  <c r="J1259" i="16"/>
  <c r="J1243" i="16"/>
  <c r="J1255" i="16"/>
  <c r="B1243" i="16" l="1"/>
  <c r="B1247" i="16"/>
  <c r="B1248" i="16"/>
  <c r="B1241" i="16"/>
  <c r="B1244" i="16"/>
  <c r="B1245" i="16"/>
  <c r="B1242" i="16"/>
  <c r="B1246" i="16"/>
  <c r="J1242" i="16"/>
  <c r="I1284" i="16"/>
  <c r="J1269" i="16"/>
  <c r="J1252" i="16"/>
  <c r="J1268" i="16"/>
  <c r="J1240" i="16"/>
  <c r="J1246" i="16"/>
  <c r="J1241" i="16"/>
  <c r="J1254" i="16"/>
  <c r="J1249" i="16"/>
  <c r="J1272" i="16"/>
  <c r="J1270" i="16"/>
  <c r="J1273" i="16"/>
  <c r="J1267" i="16"/>
  <c r="J1245" i="16" l="1"/>
  <c r="J1244" i="16"/>
  <c r="J1248" i="16"/>
  <c r="C1275" i="16"/>
  <c r="J1260" i="16" l="1"/>
  <c r="C1284" i="16"/>
  <c r="J1275" i="16"/>
  <c r="J1284" i="16" s="1"/>
  <c r="K1013" i="16" l="1"/>
  <c r="K1000" i="16"/>
  <c r="K1016" i="16"/>
  <c r="K1006" i="16"/>
  <c r="K1011" i="16"/>
  <c r="K1010" i="16"/>
  <c r="K1082" i="16" l="1"/>
  <c r="K1004" i="16"/>
  <c r="K1033" i="16"/>
  <c r="K1007" i="16"/>
  <c r="K1002" i="16"/>
  <c r="K1034" i="16"/>
  <c r="K1008" i="16"/>
  <c r="K1003" i="16"/>
  <c r="K1001" i="16"/>
  <c r="K1031" i="16"/>
  <c r="K1005" i="16"/>
  <c r="K1035" i="16"/>
  <c r="K1030" i="16"/>
  <c r="K1083" i="16"/>
  <c r="K1079" i="16"/>
  <c r="K1094" i="16"/>
  <c r="K1042" i="16"/>
  <c r="K1029" i="16"/>
  <c r="K1081" i="16"/>
  <c r="K1036" i="16"/>
  <c r="K1088" i="16"/>
  <c r="K1037" i="16"/>
  <c r="K1089" i="16"/>
  <c r="K1084" i="16"/>
  <c r="K1032" i="16"/>
  <c r="K1091" i="16"/>
  <c r="K1039" i="16"/>
  <c r="K1015" i="16"/>
  <c r="K1078" i="16"/>
  <c r="K1086" i="16"/>
  <c r="K1077" i="16"/>
  <c r="K1085" i="16"/>
  <c r="K1028" i="16"/>
  <c r="K1026" i="16"/>
  <c r="K1027" i="16"/>
  <c r="K1080" i="16"/>
  <c r="K1025" i="16"/>
  <c r="K1087" i="16" l="1"/>
  <c r="K1009" i="16"/>
  <c r="K1093" i="16"/>
  <c r="K1041" i="16"/>
  <c r="K1017" i="16" l="1"/>
  <c r="K1095" i="16"/>
  <c r="K1232" i="16"/>
  <c r="K1043" i="16"/>
  <c r="H952" i="16" l="1"/>
  <c r="H953" i="16"/>
  <c r="H964" i="16"/>
  <c r="H954" i="16"/>
  <c r="I964" i="16"/>
  <c r="H967" i="16"/>
  <c r="H958" i="16"/>
  <c r="H957" i="16"/>
  <c r="H955" i="16"/>
  <c r="H959" i="16"/>
  <c r="J959" i="16" s="1"/>
  <c r="I952" i="16"/>
  <c r="H956" i="16"/>
  <c r="I967" i="16"/>
  <c r="H960" i="16"/>
  <c r="H962" i="16"/>
  <c r="I954" i="16"/>
  <c r="E958" i="16"/>
  <c r="E957" i="16"/>
  <c r="E956" i="16"/>
  <c r="I953" i="16"/>
  <c r="E960" i="16"/>
  <c r="K959" i="16" l="1"/>
  <c r="J967" i="16"/>
  <c r="K967" i="16" s="1"/>
  <c r="J954" i="16"/>
  <c r="K954" i="16" s="1"/>
  <c r="E955" i="16"/>
  <c r="J955" i="16" s="1"/>
  <c r="K955" i="16" s="1"/>
  <c r="E953" i="16"/>
  <c r="J953" i="16" s="1"/>
  <c r="E962" i="16"/>
  <c r="J962" i="16" s="1"/>
  <c r="K962" i="16" s="1"/>
  <c r="I968" i="16"/>
  <c r="J957" i="16"/>
  <c r="J960" i="16"/>
  <c r="J956" i="16"/>
  <c r="E952" i="16"/>
  <c r="J952" i="16" s="1"/>
  <c r="J958" i="16"/>
  <c r="J964" i="16"/>
  <c r="K957" i="16" l="1"/>
  <c r="K964" i="16"/>
  <c r="K953" i="16"/>
  <c r="K952" i="16"/>
  <c r="J968" i="16"/>
  <c r="K956" i="16"/>
  <c r="K958" i="16"/>
  <c r="K960" i="16"/>
  <c r="G969" i="16" l="1"/>
  <c r="K968" i="16"/>
  <c r="G28" i="153"/>
  <c r="G29" i="153" s="1"/>
  <c r="G30" i="153" s="1"/>
  <c r="G31" i="153" s="1"/>
  <c r="G32" i="153" s="1"/>
  <c r="G33" i="153" s="1"/>
  <c r="G34" i="153" s="1"/>
  <c r="G35" i="153" s="1"/>
  <c r="G36" i="153" s="1"/>
  <c r="G37" i="153" s="1"/>
  <c r="G38" i="153" s="1"/>
  <c r="G39" i="153" s="1"/>
  <c r="G40" i="153" s="1"/>
  <c r="G41" i="153" s="1"/>
  <c r="G42" i="153" s="1"/>
  <c r="G43" i="153" s="1"/>
  <c r="G44" i="153" s="1"/>
  <c r="G45" i="153" s="1"/>
  <c r="G46" i="153" s="1"/>
  <c r="G47" i="153" s="1"/>
  <c r="G48" i="153" s="1"/>
  <c r="G49" i="153" s="1"/>
  <c r="G50" i="153" s="1"/>
  <c r="G51" i="153" s="1"/>
  <c r="G52" i="153" s="1"/>
  <c r="G53" i="153" s="1"/>
  <c r="G54" i="153" s="1"/>
  <c r="G55" i="153" s="1"/>
  <c r="G56" i="153" s="1"/>
  <c r="G57" i="153" s="1"/>
  <c r="G58" i="153" s="1"/>
  <c r="G59" i="153" s="1"/>
  <c r="G60" i="153" s="1"/>
  <c r="G61" i="153" s="1"/>
  <c r="G62" i="153" s="1"/>
  <c r="G63" i="153" s="1"/>
  <c r="G64" i="153" s="1"/>
  <c r="G65" i="153" s="1"/>
  <c r="G66" i="153" s="1"/>
  <c r="G67" i="153" s="1"/>
  <c r="G68" i="153" s="1"/>
  <c r="G69" i="153" s="1"/>
  <c r="G70" i="153" s="1"/>
  <c r="G71" i="153" s="1"/>
  <c r="G72" i="153" s="1"/>
  <c r="G73" i="153" s="1"/>
  <c r="G74" i="153" s="1"/>
  <c r="G75" i="153" s="1"/>
  <c r="G76" i="153" s="1"/>
  <c r="G77" i="153" s="1"/>
  <c r="G78" i="153" s="1"/>
  <c r="G79" i="153" s="1"/>
  <c r="G89" i="153" s="1"/>
  <c r="G80" i="153" s="1"/>
  <c r="G81" i="153" s="1"/>
  <c r="G82" i="153" s="1"/>
  <c r="G83" i="153" s="1"/>
  <c r="G84" i="153" s="1"/>
  <c r="G85" i="153" s="1"/>
  <c r="G86" i="153" s="1"/>
  <c r="G87" i="153" s="1"/>
  <c r="G88" i="153" s="1"/>
  <c r="G90" i="153" s="1"/>
  <c r="G91" i="153" s="1"/>
  <c r="G92" i="153" s="1"/>
  <c r="G93" i="153" s="1"/>
  <c r="G94" i="153" s="1"/>
  <c r="G95" i="153" s="1"/>
  <c r="G96" i="153" s="1"/>
  <c r="G97" i="153" s="1"/>
  <c r="G98" i="153" s="1"/>
  <c r="G99" i="153" s="1"/>
  <c r="G100" i="153" s="1"/>
  <c r="G101" i="153" s="1"/>
  <c r="G102" i="153" s="1"/>
  <c r="G103" i="153" s="1"/>
  <c r="G104" i="153" s="1"/>
  <c r="G105" i="153" s="1"/>
  <c r="G106" i="153" s="1"/>
  <c r="G107" i="153" s="1"/>
  <c r="G108" i="153" s="1"/>
  <c r="G109" i="153" s="1"/>
  <c r="G110" i="153" s="1"/>
  <c r="G111" i="153" s="1"/>
  <c r="G112" i="153" s="1"/>
  <c r="G113" i="153" s="1"/>
  <c r="G114" i="153" s="1"/>
  <c r="G115" i="153" s="1"/>
  <c r="G116" i="153" s="1"/>
  <c r="G117" i="153" s="1"/>
  <c r="G118" i="153" s="1"/>
  <c r="G119" i="153" s="1"/>
  <c r="G120" i="153" s="1"/>
  <c r="G121" i="153" s="1"/>
  <c r="G122" i="153" s="1"/>
  <c r="G123" i="153" s="1"/>
  <c r="G124" i="153" s="1"/>
  <c r="G125" i="153" s="1"/>
  <c r="G126" i="153" s="1"/>
  <c r="G127" i="153" s="1"/>
  <c r="G128" i="153" s="1"/>
  <c r="G129" i="153" s="1"/>
  <c r="G130" i="153" s="1"/>
  <c r="G131" i="153" s="1"/>
  <c r="G132" i="153" s="1"/>
  <c r="G133" i="153" s="1"/>
  <c r="G134" i="153" s="1"/>
  <c r="G135" i="153" s="1"/>
  <c r="G136" i="153" s="1"/>
  <c r="G137" i="153" s="1"/>
  <c r="G138" i="153" s="1"/>
  <c r="G139" i="153" s="1"/>
  <c r="G140" i="153" s="1"/>
  <c r="G141" i="153" s="1"/>
  <c r="G142" i="153" s="1"/>
  <c r="G143" i="153" s="1"/>
  <c r="G144" i="153" s="1"/>
  <c r="G145" i="153" s="1"/>
  <c r="G146" i="153" s="1"/>
  <c r="G147" i="153" s="1"/>
  <c r="G148" i="153" s="1"/>
  <c r="G149" i="153" s="1"/>
  <c r="G150" i="153" s="1"/>
  <c r="G151" i="153" s="1"/>
  <c r="G152" i="153" s="1"/>
  <c r="G153" i="153" s="1"/>
  <c r="G154" i="153" s="1"/>
  <c r="G155" i="153" s="1"/>
  <c r="G156" i="153" s="1"/>
  <c r="G157" i="153" s="1"/>
  <c r="G158" i="153" s="1"/>
  <c r="G159" i="153" s="1"/>
  <c r="G160" i="153" s="1"/>
  <c r="G161" i="153" s="1"/>
  <c r="G162" i="153" s="1"/>
  <c r="G163" i="153" s="1"/>
  <c r="G164" i="153" s="1"/>
  <c r="G165" i="153" s="1"/>
  <c r="G166" i="153" s="1"/>
  <c r="G167" i="153" s="1"/>
  <c r="G168" i="153" s="1"/>
  <c r="G169" i="153" s="1"/>
  <c r="G170" i="153" s="1"/>
  <c r="G171" i="153" s="1"/>
  <c r="G172" i="153" s="1"/>
  <c r="G173" i="153" s="1"/>
  <c r="G174" i="153" s="1"/>
  <c r="G175" i="153" s="1"/>
  <c r="G176" i="153" s="1"/>
  <c r="G177" i="153" s="1"/>
  <c r="G178" i="153" s="1"/>
  <c r="G179" i="153" s="1"/>
  <c r="G180" i="153" s="1"/>
  <c r="G181" i="153" s="1"/>
  <c r="G182" i="153" s="1"/>
  <c r="G183" i="153" s="1"/>
  <c r="G184" i="153" s="1"/>
  <c r="G185" i="153" s="1"/>
  <c r="G186" i="153" s="1"/>
  <c r="G187" i="153" s="1"/>
  <c r="G188" i="153" s="1"/>
  <c r="G189" i="153" s="1"/>
  <c r="G190" i="153" s="1"/>
  <c r="G191" i="153" s="1"/>
  <c r="G192" i="153" s="1"/>
  <c r="G193" i="153" s="1"/>
  <c r="G194" i="153" s="1"/>
  <c r="G195" i="153" s="1"/>
  <c r="G196" i="153" s="1"/>
  <c r="G197" i="153" s="1"/>
  <c r="G198" i="153" s="1"/>
  <c r="G199" i="153" s="1"/>
  <c r="G200" i="153" s="1"/>
  <c r="G201" i="153" s="1"/>
  <c r="G202" i="153" s="1"/>
  <c r="G203" i="153" s="1"/>
  <c r="G204" i="153" s="1"/>
  <c r="G205" i="153" s="1"/>
  <c r="G206" i="153" s="1"/>
  <c r="G207" i="153" s="1"/>
  <c r="G208" i="153" s="1"/>
  <c r="G209" i="153" s="1"/>
  <c r="G210" i="153" s="1"/>
  <c r="G211" i="153" s="1"/>
  <c r="G212" i="153" s="1"/>
  <c r="G213" i="153" s="1"/>
  <c r="G214" i="153" s="1"/>
  <c r="G215" i="153" s="1"/>
  <c r="G216" i="153" s="1"/>
  <c r="G217" i="153" s="1"/>
  <c r="G218" i="153" s="1"/>
  <c r="G219" i="153" s="1"/>
  <c r="G220" i="153" s="1"/>
  <c r="G221" i="153" s="1"/>
  <c r="G222" i="153" s="1"/>
  <c r="G223" i="153" s="1"/>
  <c r="G224" i="153" s="1"/>
  <c r="G225" i="153" s="1"/>
  <c r="G226" i="153" s="1"/>
  <c r="G227" i="153" s="1"/>
  <c r="G228" i="153" s="1"/>
  <c r="G229" i="153" s="1"/>
  <c r="G230" i="153" s="1"/>
  <c r="G231" i="153" s="1"/>
  <c r="G232" i="153" s="1"/>
  <c r="G233" i="153" s="1"/>
  <c r="G234" i="153" s="1"/>
  <c r="G235" i="153" s="1"/>
  <c r="G236" i="153" s="1"/>
  <c r="G237" i="153" s="1"/>
  <c r="G238" i="153" s="1"/>
  <c r="G239" i="153" s="1"/>
  <c r="G240" i="153" s="1"/>
  <c r="G241" i="153" s="1"/>
  <c r="G242" i="153" s="1"/>
  <c r="G243" i="153" s="1"/>
  <c r="G244" i="153" s="1"/>
  <c r="G246" i="153" l="1"/>
  <c r="G247" i="153" s="1"/>
  <c r="G248" i="153" s="1"/>
  <c r="G249" i="153" s="1"/>
  <c r="G250" i="153" s="1"/>
  <c r="G251" i="153" s="1"/>
  <c r="G252" i="153" s="1"/>
  <c r="G253" i="153" s="1"/>
  <c r="G254" i="153" s="1"/>
  <c r="G255" i="153" s="1"/>
  <c r="G256" i="153" s="1"/>
  <c r="G257" i="153" s="1"/>
  <c r="G258" i="153" s="1"/>
  <c r="G259" i="153" s="1"/>
  <c r="G260" i="153" s="1"/>
  <c r="G261" i="153" s="1"/>
  <c r="G262" i="153" s="1"/>
  <c r="G263" i="153" s="1"/>
  <c r="G264" i="153" s="1"/>
  <c r="G265" i="153" s="1"/>
  <c r="G245" i="153"/>
</calcChain>
</file>

<file path=xl/sharedStrings.xml><?xml version="1.0" encoding="utf-8"?>
<sst xmlns="http://schemas.openxmlformats.org/spreadsheetml/2006/main" count="4061" uniqueCount="635">
  <si>
    <t>Date</t>
  </si>
  <si>
    <t>Département</t>
  </si>
  <si>
    <t>Management</t>
  </si>
  <si>
    <t>Services</t>
  </si>
  <si>
    <t>Investigation</t>
  </si>
  <si>
    <t>Perrine ODIER</t>
  </si>
  <si>
    <t>Rubriques</t>
  </si>
  <si>
    <t xml:space="preserve">Montant en FCFA </t>
  </si>
  <si>
    <t>Total montant reçu</t>
  </si>
  <si>
    <t>Total montant dépensé</t>
  </si>
  <si>
    <t>Solde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</si>
  <si>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</si>
  <si>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</si>
  <si>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</si>
  <si>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</si>
  <si>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</si>
  <si>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</si>
  <si>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</si>
  <si>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</si>
  <si>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</si>
  <si>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Project</t>
  </si>
  <si>
    <t>Country</t>
  </si>
  <si>
    <t>Contrôle</t>
  </si>
  <si>
    <t>Code budgetaire</t>
  </si>
  <si>
    <t>BCI</t>
  </si>
  <si>
    <t>Caisse</t>
  </si>
  <si>
    <t>Herick</t>
  </si>
  <si>
    <t>Jospin</t>
  </si>
  <si>
    <t>Dalia</t>
  </si>
  <si>
    <t>P29</t>
  </si>
  <si>
    <t>I23C</t>
  </si>
  <si>
    <t>Evariste</t>
  </si>
  <si>
    <t>Ted</t>
  </si>
  <si>
    <t>Shely</t>
  </si>
  <si>
    <t>Transport</t>
  </si>
  <si>
    <t>Jack-Bénisson</t>
  </si>
  <si>
    <t>Noms &amp; Prénoms</t>
  </si>
  <si>
    <t>Total reçu</t>
  </si>
  <si>
    <t>Total Dépenses</t>
  </si>
  <si>
    <t>Total versement</t>
  </si>
  <si>
    <t>Fonds Exterieur pour le projet</t>
  </si>
  <si>
    <t>Balance calculée</t>
  </si>
  <si>
    <t>Versement reçu</t>
  </si>
  <si>
    <t>Versements faits</t>
  </si>
  <si>
    <t>Dépenses</t>
  </si>
  <si>
    <t>Donations</t>
  </si>
  <si>
    <t>Banque</t>
  </si>
  <si>
    <t>Crépin</t>
  </si>
  <si>
    <t>i23c</t>
  </si>
  <si>
    <t>Perrine Odier</t>
  </si>
  <si>
    <t>TOTAL</t>
  </si>
  <si>
    <t>DIFFERENCE</t>
  </si>
  <si>
    <r>
      <t xml:space="preserve">Monnaie de tenue de compte: </t>
    </r>
    <r>
      <rPr>
        <b/>
        <sz val="10"/>
        <color theme="5"/>
        <rFont val="Arial Narrow"/>
        <family val="2"/>
      </rPr>
      <t>XAF</t>
    </r>
  </si>
  <si>
    <t>Mois</t>
  </si>
  <si>
    <t>Noms &amp; prénoms</t>
  </si>
  <si>
    <t>MONTANT RECU DE</t>
  </si>
  <si>
    <t>Transféré</t>
  </si>
  <si>
    <t>Dépensé</t>
  </si>
  <si>
    <t xml:space="preserve">Remboursement </t>
  </si>
  <si>
    <t>Caisses</t>
  </si>
  <si>
    <t>CAISSE</t>
  </si>
  <si>
    <t>CAISSE PALF</t>
  </si>
  <si>
    <t>BANQUES</t>
  </si>
  <si>
    <t>BCI-Compte principal</t>
  </si>
  <si>
    <t>BCI-sous compte</t>
  </si>
  <si>
    <t>BALANCE CAISSES ET BANQUE AU 31 AOÜT 2020</t>
  </si>
  <si>
    <t>AOÜT</t>
  </si>
  <si>
    <t>Balance au          01 AOÜT 2020</t>
  </si>
  <si>
    <t>Balance au 31 AOÜT  2020</t>
  </si>
  <si>
    <t>Hérick</t>
  </si>
  <si>
    <t>Monnaie de tenue de compte: XAF</t>
  </si>
  <si>
    <t>BALANCE CAISSES ET BANQUE AU 31 JUILLET 2020</t>
  </si>
  <si>
    <t>JUILLET</t>
  </si>
  <si>
    <t>Balance au 01
 JUILLET 2020</t>
  </si>
  <si>
    <t>Balance au 31
 JUILLET 2020</t>
  </si>
  <si>
    <t>Versement</t>
  </si>
  <si>
    <t>Christian</t>
  </si>
  <si>
    <t>Geisner</t>
  </si>
  <si>
    <t>BALANCE CAISSES ET BANQUE AU 30 Septembre  2020</t>
  </si>
  <si>
    <t>SEPTEMBRE</t>
  </si>
  <si>
    <t>Balance au          01 Septembre 2020</t>
  </si>
  <si>
    <t>N°Pièce</t>
  </si>
  <si>
    <t>Naftalie</t>
  </si>
  <si>
    <t>I73X</t>
  </si>
  <si>
    <t>I55S</t>
  </si>
  <si>
    <t>Ecart à régulariser</t>
  </si>
  <si>
    <t>Balance au 30 Septembre 2020</t>
  </si>
  <si>
    <t>BALANCE CAISSES ET BANQUE AU 31 Octobre 2020</t>
  </si>
  <si>
    <t>Balance au          01 Octobre 2020</t>
  </si>
  <si>
    <t>Balance au 31 Octobre 2020</t>
  </si>
  <si>
    <t>OCTOBRE</t>
  </si>
  <si>
    <t>Jack/Crépin</t>
  </si>
  <si>
    <t>Naftali</t>
  </si>
  <si>
    <t>Merveille</t>
  </si>
  <si>
    <t>Perrine</t>
  </si>
  <si>
    <t>BALANCE CAISSES ET BANQUE AU 30 Novembre 2020</t>
  </si>
  <si>
    <t>Balance au          01 Novembre 2020</t>
  </si>
  <si>
    <t>Balance au 30 Novembre 2020</t>
  </si>
  <si>
    <t>NOVEMBRE</t>
  </si>
  <si>
    <t>Hérick/Christian</t>
  </si>
  <si>
    <t xml:space="preserve">Ecart </t>
  </si>
  <si>
    <t>T44</t>
  </si>
  <si>
    <t>UE</t>
  </si>
  <si>
    <t>DECEMBRE</t>
  </si>
  <si>
    <t>Balance au          01 Décembre 2020</t>
  </si>
  <si>
    <t>Balance au 31 Décembre 2020</t>
  </si>
  <si>
    <t>BALANCE CAISSES ET BANQUE AU 31 Décembre 2020</t>
  </si>
  <si>
    <t>Hérick/Geisner</t>
  </si>
  <si>
    <t>JANVIER</t>
  </si>
  <si>
    <t>BALANCE CAISSES ET BANQUE AU 31 JANVIER 2021</t>
  </si>
  <si>
    <t>Balance au          01 Janvier 2021</t>
  </si>
  <si>
    <t>Balance au 31 Janvier 2021</t>
  </si>
  <si>
    <t>Hérick/Crépin</t>
  </si>
  <si>
    <t>Tiffany</t>
  </si>
  <si>
    <t>BALANCE CAISSES ET BANQUE AU 28 FEVRIER  2021</t>
  </si>
  <si>
    <t>FEVRIER</t>
  </si>
  <si>
    <t>Balance au          01 Février  2021</t>
  </si>
  <si>
    <t>Balance au 28 Février 2021</t>
  </si>
  <si>
    <t>Hérick/Geis</t>
  </si>
  <si>
    <t>BALANCE CAISSES ET BANQUE AU 31 Mars  2021</t>
  </si>
  <si>
    <t>MARS</t>
  </si>
  <si>
    <t>Balance au          01 Mars  2021</t>
  </si>
  <si>
    <t>Balance au 31 Mars 2021</t>
  </si>
  <si>
    <t>Activiste</t>
  </si>
  <si>
    <t>BALANCE CAISSES ET BANQUE AU 30 AVRIL  2021</t>
  </si>
  <si>
    <t>Balance au          01 Avril  2021</t>
  </si>
  <si>
    <t>Balance au 30 Avril 2021</t>
  </si>
  <si>
    <t>AVRIL</t>
  </si>
  <si>
    <t>Étiquettes de lignes</t>
  </si>
  <si>
    <t>Total général</t>
  </si>
  <si>
    <t>Étiquettes de colonnes</t>
  </si>
  <si>
    <t>BALANCE CAISSES ET BANQUE AU 30  Mai  2021</t>
  </si>
  <si>
    <t>Balance au          01 Mai  2021</t>
  </si>
  <si>
    <t>Balance au 30 Mai 2021</t>
  </si>
  <si>
    <t>MAI</t>
  </si>
  <si>
    <t>Somme de Spent</t>
  </si>
  <si>
    <t>Total Somme de Received</t>
  </si>
  <si>
    <t>Somme de Received</t>
  </si>
  <si>
    <t>Total Somme de Spent</t>
  </si>
  <si>
    <t>BALANCE CAISSES ET BANQUE AU 30  Juin  2021</t>
  </si>
  <si>
    <t>Balance au 30 Juin  2021</t>
  </si>
  <si>
    <t>Balance au          01 Juin  2021</t>
  </si>
  <si>
    <t>JUIN</t>
  </si>
  <si>
    <t>BALANCE CAISSES ET BANQUE AU 31 Juillet  2021</t>
  </si>
  <si>
    <t>Balance au          01 Juillet  2021</t>
  </si>
  <si>
    <t>Balance au 31 Juillet  2021</t>
  </si>
  <si>
    <t>AOUT</t>
  </si>
  <si>
    <t>Balance au          01 Août 2021</t>
  </si>
  <si>
    <t>BALANCE CAISSES ET BANQUE AU 31 Août  2021</t>
  </si>
  <si>
    <t>Balance au 31 Août 2021</t>
  </si>
  <si>
    <t>Grace</t>
  </si>
  <si>
    <t>Godfré</t>
  </si>
  <si>
    <t>BALANCE CAISSES ET BANQUE AU 30 Septembre 2021</t>
  </si>
  <si>
    <t>Balance a   01 Septembre 2021</t>
  </si>
  <si>
    <t>Serdroque</t>
  </si>
  <si>
    <t>BCI-Sous Compte</t>
  </si>
  <si>
    <t>Balance a   01 Octobre 2021</t>
  </si>
  <si>
    <t>Balance au 31 Octobre 2021</t>
  </si>
  <si>
    <t>Balance au 31 Septembre 2021</t>
  </si>
  <si>
    <t>BALANCE CAISSES ET BANQUE AU 31 Octobre 2021</t>
  </si>
  <si>
    <t>Axel</t>
  </si>
  <si>
    <t>Legal</t>
  </si>
  <si>
    <t>Media</t>
  </si>
  <si>
    <t>BCI-</t>
  </si>
  <si>
    <t>BALANCE 30 Novembre 2021</t>
  </si>
  <si>
    <t>BALANCE 01 Novembre 2021</t>
  </si>
  <si>
    <t>BALANCE CAISSES ET BANQUE AU 30 Novembre 2021</t>
  </si>
  <si>
    <t>TOTAL RECU EN Novembre</t>
  </si>
  <si>
    <t>Balance a   01 Novembre 2021</t>
  </si>
  <si>
    <t>B52</t>
  </si>
  <si>
    <t>TOTAL DEPENSE EN NOVEMBRE</t>
  </si>
  <si>
    <t>BALANCE 01 Décembre 2021</t>
  </si>
  <si>
    <t>TOTAL RECU EN DECEMBRE</t>
  </si>
  <si>
    <t>TOTAL DEPENSE EN DECEMBRE</t>
  </si>
  <si>
    <t>Balance a   01 Décembre 2021</t>
  </si>
  <si>
    <t>Balance au 31 Décembre 2021</t>
  </si>
  <si>
    <t>Balance au 30 Novembre 2021</t>
  </si>
  <si>
    <t>Personnel</t>
  </si>
  <si>
    <t>Telephone</t>
  </si>
  <si>
    <t>BALANCE CAISSES ET BANQUE AU 31 Décembre 2021</t>
  </si>
  <si>
    <t>BALANCE 31 Décembre 2021</t>
  </si>
  <si>
    <t>Rent &amp; Utilities</t>
  </si>
  <si>
    <t>BALANCE 01 Janvier 2022</t>
  </si>
  <si>
    <t>TOTAL DEPENSE EN JANVIER</t>
  </si>
  <si>
    <t>TOTAL RECU EN JANVIER</t>
  </si>
  <si>
    <t>BALANCE 31 Janvier 2022</t>
  </si>
  <si>
    <t>BALANCE CAISSES ET BANQUE AU 31 Janvier 2022</t>
  </si>
  <si>
    <t>Balance au 31 Janvier 2022</t>
  </si>
  <si>
    <t>Balance a   01 Janvier 2022</t>
  </si>
  <si>
    <t>BALANCE 01 Février 2022</t>
  </si>
  <si>
    <t>TOTAL RECU EN FEVRIER</t>
  </si>
  <si>
    <t>TOTAL DEPENSE EN FEVRIER</t>
  </si>
  <si>
    <t>Balance a   01 Février 2022</t>
  </si>
  <si>
    <t>BALANCE CAISSES ET BANQUE AU 28 Février 2022</t>
  </si>
  <si>
    <t>Balance au 28 Février 2022</t>
  </si>
  <si>
    <t>Balance au 31 Mars 2022</t>
  </si>
  <si>
    <t>BALANCE 01 Mars 2022</t>
  </si>
  <si>
    <t>TOTAL RECU EN MARS</t>
  </si>
  <si>
    <t>BALANCE 31 MARS 2022</t>
  </si>
  <si>
    <t>BALANCE CAISSES ET BANQUE AU 31 Mars 2022</t>
  </si>
  <si>
    <t>Balance a   01 Mars 2022</t>
  </si>
  <si>
    <t xml:space="preserve">TOTAL DEPENSE EN MARS </t>
  </si>
  <si>
    <t>BALANCE 28 FEVRIER 2022</t>
  </si>
  <si>
    <t>Paule</t>
  </si>
  <si>
    <t>Hurielle</t>
  </si>
  <si>
    <t>PALF</t>
  </si>
  <si>
    <t>RALFF</t>
  </si>
  <si>
    <t>RALFF/UE</t>
  </si>
  <si>
    <t>BALANCE 01 Avril 2022</t>
  </si>
  <si>
    <t>TOTAL RECU EN AVRIL</t>
  </si>
  <si>
    <t>TOTAL DEPENSE EN AVRIL</t>
  </si>
  <si>
    <t>BALANCE 30 AVRIL 2022</t>
  </si>
  <si>
    <t>BALANCE CAISSES ET BANQUE AU 30 Avril 2022</t>
  </si>
  <si>
    <t>Balance a   01 Avril 2022</t>
  </si>
  <si>
    <t>Balance au 30 Avril 2022</t>
  </si>
  <si>
    <t>TOTAL DEPENSE EN MAI</t>
  </si>
  <si>
    <t>TOTAL RECU EN MAI</t>
  </si>
  <si>
    <t>BALANCE 01 MAI 2022</t>
  </si>
  <si>
    <t>Balance a   01 MAI 2022</t>
  </si>
  <si>
    <t>Yan</t>
  </si>
  <si>
    <t>Transfer fees</t>
  </si>
  <si>
    <t>Balance au 31 MAI 2022</t>
  </si>
  <si>
    <t>BALANCE 31 MAI 2022</t>
  </si>
  <si>
    <t>BALANCE CAISSES ET BANQUE AU 31 MAI 2022</t>
  </si>
  <si>
    <t>BALANCE 01 JUIN 2022</t>
  </si>
  <si>
    <t>TOTAL RECU EN JUIN</t>
  </si>
  <si>
    <t>TOTAL DEPENSE EN JUIN</t>
  </si>
  <si>
    <t>BALANCE CAISSES ET BANQUE AU 30 JUIN 2022</t>
  </si>
  <si>
    <t>BALANCE 30 JUIN 2022</t>
  </si>
  <si>
    <t>Balance a   01 JUIN 2022</t>
  </si>
  <si>
    <t>Balance au 30 JUIN 2022</t>
  </si>
  <si>
    <t>Balance a   01 JUILLET 2022</t>
  </si>
  <si>
    <t>Balance au 31JUILLET 2022</t>
  </si>
  <si>
    <t>BALANCE CAISSES ET BANQUE AU 31 JUILLET 2022</t>
  </si>
  <si>
    <t>BALANCE 01 JUILLET 2022</t>
  </si>
  <si>
    <t>TOTAL DEPENSE EN JUILLET</t>
  </si>
  <si>
    <t>BALANCE 31 JUILLET 2022</t>
  </si>
  <si>
    <t>Bonus</t>
  </si>
  <si>
    <t>BALANCE 01 AOUT 2022</t>
  </si>
  <si>
    <t>TOTAL RECU EN AOUT</t>
  </si>
  <si>
    <t>TOTAL DEPENSE EN AOUT</t>
  </si>
  <si>
    <t>BALANCE 31 AOUT 2022</t>
  </si>
  <si>
    <t>TOTAL RECU EN JUILLET</t>
  </si>
  <si>
    <t>BALANCE CAISSES ET BANQUE AU 31 AOUT 2022</t>
  </si>
  <si>
    <t>Balance a   01 AOUT 2022</t>
  </si>
  <si>
    <t>Balance au 31 AOUT 2022</t>
  </si>
  <si>
    <t>Office Materials</t>
  </si>
  <si>
    <t>31/09/2022</t>
  </si>
  <si>
    <t>BALANCE 30 SEPTEMBRE 2022</t>
  </si>
  <si>
    <t>TOTAL DEPENSE EN SEPTEMBRE</t>
  </si>
  <si>
    <t>TOTAL RECU EN SEPTEMBRE</t>
  </si>
  <si>
    <t>BALANCE 01 SEPTEMBRE 2022</t>
  </si>
  <si>
    <t>BALANCE CAISSES ET BANQUE AU 30 SEPTEMBRE 2022</t>
  </si>
  <si>
    <t>BALANCE AU  01 SEPTEMBRE 2022</t>
  </si>
  <si>
    <t>Balance au 30 SEPTEMBRE 2022</t>
  </si>
  <si>
    <t>BALANCE 01 OCTOBRE 2022</t>
  </si>
  <si>
    <t>TOTAL RECU EN OCTOBRE</t>
  </si>
  <si>
    <t>TOTAL DEPENSE EN OCTOBRE</t>
  </si>
  <si>
    <t>BALANCE 31 OCTOBRE 2022</t>
  </si>
  <si>
    <t>BALANCE AU  01 OCTOBRE 2022</t>
  </si>
  <si>
    <t>Balance au 31 OCTOBRE 2022</t>
  </si>
  <si>
    <t>BALANCE CAISSES ET BANQUE AU 31 OCTOBRE 2022</t>
  </si>
  <si>
    <t>P10</t>
  </si>
  <si>
    <t>Donald</t>
  </si>
  <si>
    <t>BALANCE 01 NOVEMBRE 2022</t>
  </si>
  <si>
    <t>TOTAL RECU EN NOVEMBRE</t>
  </si>
  <si>
    <t>BALANCE 30 NOVEMBRE 2022</t>
  </si>
  <si>
    <t>Balance au 30 NOVEMBRE 2022</t>
  </si>
  <si>
    <t>BALANCE AU  01 NOVEMBRE 2022</t>
  </si>
  <si>
    <t>BALANCE CAISSES ET BANQUE AU 30 NOVEMBRE 2022</t>
  </si>
  <si>
    <t>BALANCE 01 DECEMBRE 2022</t>
  </si>
  <si>
    <t>BALANCE 31 DECEMBRE 2022</t>
  </si>
  <si>
    <t>BALANCE CAISSES ET BANQUE AU 31 DECEMBRE 2022</t>
  </si>
  <si>
    <t>BALANCE AU  01 DECEMBRE 2022</t>
  </si>
  <si>
    <t>Balance au 31 DECEMBRE 2022</t>
  </si>
  <si>
    <t>Internet</t>
  </si>
  <si>
    <t>T73</t>
  </si>
  <si>
    <t>D58</t>
  </si>
  <si>
    <t>Man Love</t>
  </si>
  <si>
    <t>BALANCE 01 JANVIER 2023</t>
  </si>
  <si>
    <t>BALANCE 31 JANVIER 2023</t>
  </si>
  <si>
    <t>BALANCE CAISSES ET BANQUE AU 31 JANVIER 2023</t>
  </si>
  <si>
    <t>BALANCE AU  01 JANVIER 2023</t>
  </si>
  <si>
    <t>Balance au 31 JANVIER 2023</t>
  </si>
  <si>
    <t>BALANCE 01 FEVRIER 2023</t>
  </si>
  <si>
    <t>BALANCE 28 FEVRIER 2023</t>
  </si>
  <si>
    <t>Balance au 28 FEVRIER 2023</t>
  </si>
  <si>
    <t>BALANCE AU  01 FEVRIER 2023</t>
  </si>
  <si>
    <t>Lawyer fees</t>
  </si>
  <si>
    <t>Solde au 28/02/2023</t>
  </si>
  <si>
    <t>BALANCE 01 MARS 2023</t>
  </si>
  <si>
    <t>TOTAL DEPENSE EN MARS</t>
  </si>
  <si>
    <t>BALANCE 31 MARS 2023</t>
  </si>
  <si>
    <t>BALANCE CAISSES ET BANQUE AU 31 MARS 2023</t>
  </si>
  <si>
    <t>BALANCE AU  01 MARS 2023</t>
  </si>
  <si>
    <t>Balance au 31 MARS 2023</t>
  </si>
  <si>
    <t>BALANCE CAISSES ET BANQUE AU 28 FEVRIER 2023</t>
  </si>
  <si>
    <t>Wildcat</t>
  </si>
  <si>
    <t>BALANCE 01 AVRIL 2023</t>
  </si>
  <si>
    <t>BALANCE 30 AVRIL2023</t>
  </si>
  <si>
    <t>BALANCE CAISSES ET BANQUE AU 30 AVRIL 2023</t>
  </si>
  <si>
    <t>BALANCE AU  01 AVRIL 2023</t>
  </si>
  <si>
    <t>Balance au 30 AVRIL 2023</t>
  </si>
  <si>
    <t>RALFF/wildcat</t>
  </si>
  <si>
    <t>Solde au 01/05/2023</t>
  </si>
  <si>
    <t>RAPPORT FINANCIER MAI 2023</t>
  </si>
  <si>
    <t>BALANCE 01 MAI 2023</t>
  </si>
  <si>
    <t>BALANCE 31 MAI 2023</t>
  </si>
  <si>
    <t>BALANCE CAISSES ET BANQUE AU 31 MAI 2023</t>
  </si>
  <si>
    <t>BALANCE AU  01  MAI 2023</t>
  </si>
  <si>
    <t>Balance au 31 Mai 2023</t>
  </si>
  <si>
    <t>Achat ampoule pour bureau/PALF</t>
  </si>
  <si>
    <t>Office</t>
  </si>
  <si>
    <t>OUI</t>
  </si>
  <si>
    <t>Achat credit  teléphonique MTN/PALF/Prémière partie Mai 2023/Management</t>
  </si>
  <si>
    <t>Achat credit  teléphonique MTN/PALF/Prémière partie Mai 2023/Legal</t>
  </si>
  <si>
    <t>Achat credit  teléphonique MTN/PALF/Prémière partie Mai 2023/Investigation</t>
  </si>
  <si>
    <t>Achat credit  teléphonique MTN/PALF/Prémière partie Mai 2023/Media</t>
  </si>
  <si>
    <t>Achat credit  teléphonique Airtel/PALF/Prémière partie Mai 2023/Management</t>
  </si>
  <si>
    <t>Achat credit  teléphonique Airtel/PALF/Prémière partie Mai 2023/Legal</t>
  </si>
  <si>
    <t>Achat credit  teléphonique Airtel/PALF/Prémière partie Mai 2023/Investigation</t>
  </si>
  <si>
    <t>Achat credit  teléphonique Airtel/PALF/Prémière partie MaI 2023/Media</t>
  </si>
  <si>
    <t>Bonus media portant sur la formation CARE des agents PALF</t>
  </si>
  <si>
    <t>Achat 02 Cartouches d'encre imprimante RICOH et un paquet de chemise cartonnée</t>
  </si>
  <si>
    <t>Frais de transfert charden farell à Crépin</t>
  </si>
  <si>
    <t>Achat produits d'entretien bureau/Javel,sucre,papier toilette,café,lait,nescafé,lipton et sac poubelle</t>
  </si>
  <si>
    <t>Achat eau Minerale (4 Bobonnes)/PALF</t>
  </si>
  <si>
    <t>Frais de transfert charden farell à D58/P29/T73</t>
  </si>
  <si>
    <t>Donald-Roméo</t>
  </si>
  <si>
    <t>Remboursement frais de loyer mois de MaI 2023 /Appartement Tiffany GOBERT</t>
  </si>
  <si>
    <t>Achat credit  teléphonique Airtel/PALF/Deuxième partie Mai 2023/Investigation</t>
  </si>
  <si>
    <t>Frais de transfert charden farell à Donald et P29</t>
  </si>
  <si>
    <t>Achat credit  teléphonique MTN/PALF/Deuxième partie Mai 2023/Management</t>
  </si>
  <si>
    <t>Achat credit  teléphonique MTN/PALF/Deuxième partie Mai 2023/Legal</t>
  </si>
  <si>
    <t>Achat credit  teléphonique MTN/PALF/Deuxième partie Mai 2023/Investigation</t>
  </si>
  <si>
    <t>Achat credit  teléphonique MTN/PALF/Deuxième partie Mai 2023/Media</t>
  </si>
  <si>
    <t>Achat credit  teléphonique Airtel/PALF/Deuxième partie Mai 2023/Management</t>
  </si>
  <si>
    <t>Achat credit  teléphonique Airtel/PALF/Deuxième partie Mai 2023/Legal</t>
  </si>
  <si>
    <t>Frais de transfert à T73</t>
  </si>
  <si>
    <t>Reglement electricité periode mars avril 2023</t>
  </si>
  <si>
    <t>Frais taxe sur Reglement electricité periode mars avril 2023</t>
  </si>
  <si>
    <t>Bonus du mois d'Avril 2023/Evariste</t>
  </si>
  <si>
    <t>Bonus du mois d'Avril 2023/Merveille</t>
  </si>
  <si>
    <t>Bonus du mois d'Avril 2023/Hurielle</t>
  </si>
  <si>
    <t>Bonus du mois d'Avril 2023/Donald</t>
  </si>
  <si>
    <t>Bonus du mois d'Avril 2023/Crépin</t>
  </si>
  <si>
    <t>Oracle</t>
  </si>
  <si>
    <t>Frais de transfert charden farell à P29 et T73</t>
  </si>
  <si>
    <t xml:space="preserve">Paiement attestation d'hebergement pour Mr Luc </t>
  </si>
  <si>
    <t>Travel Expenses</t>
  </si>
  <si>
    <t>CCU</t>
  </si>
  <si>
    <t>Achat crédit MTN /Legal Volontaire/Oracle</t>
  </si>
  <si>
    <t>Bonus du mois d'avril 2023/Grace</t>
  </si>
  <si>
    <t xml:space="preserve">Paiement Certificat d'hebergement pour Mr Luc </t>
  </si>
  <si>
    <t>BCI-36545457-34</t>
  </si>
  <si>
    <t>Frais de transfert charden farell à Crépin, Hurielle et Donald</t>
  </si>
  <si>
    <t>Frais de mission maitre Marie Hélène MALONGA à Dolisie du 31 Mai et 02 Juin 2023</t>
  </si>
  <si>
    <t>Entretretien général Jardin, Bureau PALF Mois de Mai 2023</t>
  </si>
  <si>
    <t>Frais de transfert charden farell à Hurielle</t>
  </si>
  <si>
    <t>Règlement prestation technicienne de surface (mois de Mai  2023)</t>
  </si>
  <si>
    <t>Reglemeent Facture Internet (Canal Box_Periode du 31/05 au 01/07 2023)</t>
  </si>
  <si>
    <t>Oui</t>
  </si>
  <si>
    <t>Relevé</t>
  </si>
  <si>
    <t>Frais bancaire/Compte 34</t>
  </si>
  <si>
    <t>bank fees</t>
  </si>
  <si>
    <t>Retrait especes/appro caisse/bord n°3654548</t>
  </si>
  <si>
    <t>Lawyer Fees</t>
  </si>
  <si>
    <t>Reglement Facture Gardiennage Mois de Mai 2023/3654549</t>
  </si>
  <si>
    <t>Reglement Facture Honoraire Me LOCKO Christian Mois de Mai 2023/3654550</t>
  </si>
  <si>
    <t>Cumul frais de transport local mois de Mai 2023/Tiffany</t>
  </si>
  <si>
    <t>Décharge</t>
  </si>
  <si>
    <t>Reçu Caisse/Grace MOLENDE</t>
  </si>
  <si>
    <t>Achat Billet Brazzaville - Dolisie /GRACE MOLENDE</t>
  </si>
  <si>
    <t>Transfert à Crépin/Grace MOLENDE</t>
  </si>
  <si>
    <t>Transfert à P29/Grace MOLENDE</t>
  </si>
  <si>
    <t>Transfert à T73/Grace MOLENDE</t>
  </si>
  <si>
    <t>Achat Raffraichissement Divers (Biscuits et Jus)/Autorité OPJ et EF</t>
  </si>
  <si>
    <t>Operation</t>
  </si>
  <si>
    <t>Retour Caisse / Grace MOLENDE</t>
  </si>
  <si>
    <t>GRACE MOLENDE - CONGO Food Allowance du 25 au 27/05/23 (02 Nuitées) à Dolisie</t>
  </si>
  <si>
    <t>GRACE MOLENDE - CONGO Frais d'Hotel 25 au 28/05/23 (03 Nuitées) à Dolisie OP</t>
  </si>
  <si>
    <t>Cumul frais de transfert mois de  Mai 2023 / GRACE MOLENDE</t>
  </si>
  <si>
    <t>Achat billet Brazzaville - Dolisie/Merveille</t>
  </si>
  <si>
    <t>MERVEILLE-CONGO Food allowance mission du 25 au 27 Mai 2023 ( 03 Nuitées) à Dolisie</t>
  </si>
  <si>
    <t>Travel Subsistence</t>
  </si>
  <si>
    <t>Frais Location taxi  extraction P29 et T73/ Dolisie - Brazzaville</t>
  </si>
  <si>
    <t>MERVEILLE-CONGO Frais d'hotel du 25 au 28 Mai 2023 ( 03 Nuitées) à Dolisie,op</t>
  </si>
  <si>
    <t>Cumul frais de transport local mois de Mai 2023/Merveille</t>
  </si>
  <si>
    <t>Reçu caisse/Merveille</t>
  </si>
  <si>
    <t>Frais bancaire/Compte 56</t>
  </si>
  <si>
    <t>Paiement salaire mois de Mai 2023/ Crépin IBOUILI IBOUILI/ CH N°3667300</t>
  </si>
  <si>
    <t>Paiement salaire mois de Mai 2023/ Tiffany GOBERT/ CH N°3667328</t>
  </si>
  <si>
    <t>Paiement salaire mois de Mai 2023/ MFOULOU Hurielle/ CH N°3667339</t>
  </si>
  <si>
    <t>Paiement salaire mois de Mai 2023/ PINDI BINGA/ CH N°3667340</t>
  </si>
  <si>
    <t>Paiement salaire mois de Mai 2023/ MOLENDE Grace/ CH N°3667341</t>
  </si>
  <si>
    <t>Paiement salaire mois de Mai 2023/ MAHANGA Merveille/ CH N°3667342</t>
  </si>
  <si>
    <t>Paiement salaire mois de Mai 2023/ LELOUSSI Evariste/ CH N°3667344</t>
  </si>
  <si>
    <t>Reglement loyer mois d'Avril 2023/Pluriel solution ch N°3667298</t>
  </si>
  <si>
    <t>Reglement loyer mois de Mai 2023/Pluriel solution ch N°3667321</t>
  </si>
  <si>
    <t>Reglement Facture Honoraire mois de Mai 2023/P29</t>
  </si>
  <si>
    <t>Reglement Facture Honoraire mois de Mai 2023/T73</t>
  </si>
  <si>
    <t>Reçu caisse/Oracle</t>
  </si>
  <si>
    <t>Cumul ris de ration journalière mois de Mai 2023/Oracle</t>
  </si>
  <si>
    <t>Cumul frais de transport local mois de Mai 2023/Oracle</t>
  </si>
  <si>
    <t>Recu caisse/D58</t>
  </si>
  <si>
    <t>Achat billet  Brazzaville - Pointe Noire  /D58</t>
  </si>
  <si>
    <t>D58 - CONGO Food Alloance du 10 au 15/05/2023 (05 nuitées)</t>
  </si>
  <si>
    <t>D58 - CONGO Frais d'hotel du 10 au 13/05/2023 à Pointe Noire (03 nuitées)</t>
  </si>
  <si>
    <t>Achat billet  Pointe Noire - Dolisie  /D58</t>
  </si>
  <si>
    <t>D58 - CONGO Frais d'hotel du 13 au 15/05/2023 à Dolisie (02 nuitées)</t>
  </si>
  <si>
    <t>Achat billet  Dolisie - Brazzaville  /D58</t>
  </si>
  <si>
    <t>Achat billet  Brazzaville - Pointe Noire /D58</t>
  </si>
  <si>
    <t>D58 - CONGO Food Allowance du 19 au 24/05/2023 (05 nuitées)</t>
  </si>
  <si>
    <t>D58 - CONGO Frais d'hotel du 19  au 22/05/2023 à Pointe Noire (03 nuitées)</t>
  </si>
  <si>
    <t>Achat billet  Pointe Noire- Loudima  /D58</t>
  </si>
  <si>
    <t>Achat billet Loudima- Sibiti  /D58</t>
  </si>
  <si>
    <t>D58 - CONGO Frais d'hotel du 22 au 24/05/2023 à Sibiti (02nuitées)</t>
  </si>
  <si>
    <t>Achat billet Sibiti - Loudima  /D58</t>
  </si>
  <si>
    <t>Achat billet Loudima- Brazzaville  /D58</t>
  </si>
  <si>
    <t>Cumul frais de Trust Building du mois de Mai 2023 / D58</t>
  </si>
  <si>
    <t>Trust Building</t>
  </si>
  <si>
    <t>Cumul frais de transport local du mois de Mai 2023 / D58</t>
  </si>
  <si>
    <t xml:space="preserve">Reçu caisse/T73 </t>
  </si>
  <si>
    <t>achat billet ( brazzaville  - pointe noire)/T73</t>
  </si>
  <si>
    <t>T73 - CONGO Food Allowance du 10 au 27/05/2023 (17 nuitées)</t>
  </si>
  <si>
    <t>T73 - CONGO Frais d'Hotel du 10 au 13/05/2023 (03 nuitées) à Pointe-Noire</t>
  </si>
  <si>
    <t>achat billet ( pointe noire - loudima)/T73</t>
  </si>
  <si>
    <t>achat billet ( loudima - sibiti )/T73</t>
  </si>
  <si>
    <t>T73 - CONGO Frais d'Hotel du 13 au 15/05/2023 (02 nuitées) à sibiti</t>
  </si>
  <si>
    <t>achat billet (sibiti - dolisie)/T73</t>
  </si>
  <si>
    <t>T73 - CONGO Frais d'Hotel du 15 au 25/05/2023 (10 nuitées) à dolisie</t>
  </si>
  <si>
    <t>Cumul frais de transport local du mois de Mai 2023/T73</t>
  </si>
  <si>
    <t>Cumul frais de Trust Building mois de Mai 2023/T73</t>
  </si>
  <si>
    <t xml:space="preserve">Reçu de Grace/T73 </t>
  </si>
  <si>
    <t>Reçu de caisse/P29</t>
  </si>
  <si>
    <t>Recu de caisse/P29</t>
  </si>
  <si>
    <t xml:space="preserve">P29 - CONGO Food allowance mission du 10 au 15/05/2023 (05 nuitées) </t>
  </si>
  <si>
    <t>Achat billet,brazzaville-Oyo/P29</t>
  </si>
  <si>
    <t>oui</t>
  </si>
  <si>
    <t>P29 - CONGO Frais d'hotel du 10  au 13/05/2023 (03 nuitées) à oyo</t>
  </si>
  <si>
    <t>Achat billet ,oyo-owando/P29</t>
  </si>
  <si>
    <t>Achat billet Owando - Brazzaville /P29</t>
  </si>
  <si>
    <t>P29 - CONGO Frais d'hotel du 13  au 15/05/2023 (02 nuitées) à owando</t>
  </si>
  <si>
    <t>Achat billet brazzaville-dolisie/P29</t>
  </si>
  <si>
    <t xml:space="preserve">P29 - CONGO Food allowance mission du 20 au 27/05/2023 (07 nuitées) </t>
  </si>
  <si>
    <t xml:space="preserve">P29 - CONGO Frais d'hotel du 20  au 25/05/2023  à Dolisie (05 nuitées) </t>
  </si>
  <si>
    <t>P29 - CONGO Frais d'hotel du 25  au 27/05/2023  dans la suite à Dolisie lieu op (02 nuitées)</t>
  </si>
  <si>
    <t>Cumul frais de Transport local mois de Mai 2023/P29</t>
  </si>
  <si>
    <t>Cumul frais de Trust Bulding mois de Mai 2023/P29</t>
  </si>
  <si>
    <t>Recu caisse/Hurielle</t>
  </si>
  <si>
    <t>versement</t>
  </si>
  <si>
    <t>Rafraichissement de l'OP pour OPJ et agent EF</t>
  </si>
  <si>
    <t>HURIELLE - CONGO Frais d'Hôtel du 25 au 28/05/2023 à Dolisie OP</t>
  </si>
  <si>
    <t>Cumul Frais de Jail visit mois de Mai 2023/Hurielle</t>
  </si>
  <si>
    <t>Jail Visits</t>
  </si>
  <si>
    <t>Cumul Frais de transport local mois de Mai 2023/Hurielle</t>
  </si>
  <si>
    <t>HURIELLE - CONGO Frais d'hôtel du 27 au 31/05/2023 à Dolisie</t>
  </si>
  <si>
    <t>Achat billet aller Brazzaville-Dolisie/Hurielle</t>
  </si>
  <si>
    <t>Reçu de la caisse/Evariste</t>
  </si>
  <si>
    <t>Achat billet Brazzaville-Dolisie/Evariste</t>
  </si>
  <si>
    <t>EVARISTE - CONGO Food Allowance du 25 au 31 mai 2023 (06 nuitées) à Dolisie</t>
  </si>
  <si>
    <t>Frais d'Impression documents</t>
  </si>
  <si>
    <t>Rafraichissement (opération du 27 mai 2023 à Dolisie) OPJ et EF</t>
  </si>
  <si>
    <t>EVARISTE - CONGOFrais d'hôtel du 25 au 28 mai 2023 (03 nuitées) à Dolisie OP</t>
  </si>
  <si>
    <t>Reçu de Crépin/Evariste</t>
  </si>
  <si>
    <t>Reçu de Roméo/Evariste</t>
  </si>
  <si>
    <t>Achat Billet Dolisie-Brazzaville/Evariste</t>
  </si>
  <si>
    <t>EVARISTE - CONGO Frais d'hôtel du 27 au 31 mai 2023 (04 nuitées) à Dolisie</t>
  </si>
  <si>
    <t>Cumul frais de Transport local mois de Mai 2023/EVARISTE LELOUSSI</t>
  </si>
  <si>
    <t>Reçu caisse/Donald</t>
  </si>
  <si>
    <t>Achat billet Brazzaville-Dolisie/Donald</t>
  </si>
  <si>
    <t>Donald-CONGO Food Allowance Mission (04 nuitées) du 13 au 17/05/2023</t>
  </si>
  <si>
    <t>Frais d'Examens médicaux,détenue MANGUILA,(GERH,SDWF)</t>
  </si>
  <si>
    <t>Achat produit pharmaceutiques détenu MANGUILA</t>
  </si>
  <si>
    <t>Donald-CONGO Frais d'hôtel (04 Nuitées) du 13 au 17/05/2023 à Dolisie</t>
  </si>
  <si>
    <t>Achat billet Dolisie-Brazzalle/Donald</t>
  </si>
  <si>
    <t>Retour caisse/Donald</t>
  </si>
  <si>
    <t>Donald-CONGO Food Allowance Mission (09 Nuitées)  du 25 mai au 03/06/2023</t>
  </si>
  <si>
    <t>Fais produit pharmaceutiques du detenu KONDO MABIALA</t>
  </si>
  <si>
    <t>Donald-CONGO Frais d'hôtel (03 Nuitées) OP du 25 au 28/05/2023  à Dolisie</t>
  </si>
  <si>
    <t>Achat raffraichissement (10 biscuit, 05 Reaktor,05 jus coca-cola,16 bouiteille d'eau vival)</t>
  </si>
  <si>
    <t>Achat carburant BJ de la gendarmerie</t>
  </si>
  <si>
    <t>Remis à Evariste/Donald</t>
  </si>
  <si>
    <t>Cumul Frais de Jail visit du mois Mai 2023/Donald</t>
  </si>
  <si>
    <t>Cumul Frais de transport local du mois Mai 2023/Donald</t>
  </si>
  <si>
    <t>Frais d'Impression photos ( 28 photos *200fcfa)</t>
  </si>
  <si>
    <t>Reçu de caisse/Crépin</t>
  </si>
  <si>
    <t>CREPIN - CONGO Food-Allowance du 09 au 13/05/2023 à Pointe-Noire (04 nuitées)</t>
  </si>
  <si>
    <t>Billet: Brazzaville-Pointe-Noire/Crépin</t>
  </si>
  <si>
    <t>CREPIN - CONGO Frais d'hotel du 09 au 13/05/2023 à Pointe-Noire (04 nuitées)</t>
  </si>
  <si>
    <t>Billet: Pointe-Noire Brazzaville/Crépin</t>
  </si>
  <si>
    <t>Retour caisse/Crépin</t>
  </si>
  <si>
    <t>CREPIN - CONGO Food-Allowance du 25/05/ au 03/06/2023 à Dolisie (09 nuitées)</t>
  </si>
  <si>
    <t>Billet: Brazzaville-Dolisie/Crépin</t>
  </si>
  <si>
    <t>Reçu de Grâce /Crépin</t>
  </si>
  <si>
    <t>CREPIN - CONGO Frais d'hotel du 25 au 27/05/2023 suite à Dolisie (02 nuitées) pour OP</t>
  </si>
  <si>
    <t>Raffraichissement pendant l'attente de l'opération pour 02 gendarmes, 01 agent EF et moi (Grillades, manioc et bieres)</t>
  </si>
  <si>
    <t>Reçu de Grace/Crépin</t>
  </si>
  <si>
    <t>Moi à Evariste/Crépin</t>
  </si>
  <si>
    <t>Cumul frais de transport local mois de Mai 2023/Crépin IBOUILI</t>
  </si>
  <si>
    <t>Bonus pour 18 gendarmes ayant participé à l'opération du 27/05/2023 à Dolisie</t>
  </si>
  <si>
    <t>Bonus pour 04 EF ayant participé à l'opération du 27/05/2023 à Dolisie</t>
  </si>
  <si>
    <t>CONGO</t>
  </si>
  <si>
    <t>5.6</t>
  </si>
  <si>
    <t>4.5</t>
  </si>
  <si>
    <t>5.2.2</t>
  </si>
  <si>
    <t>4.3</t>
  </si>
  <si>
    <t>1.1.1.7</t>
  </si>
  <si>
    <t>1.1.1.1</t>
  </si>
  <si>
    <t>1.1.2.1</t>
  </si>
  <si>
    <t>1.1.1.4</t>
  </si>
  <si>
    <t>1.1.1.9</t>
  </si>
  <si>
    <t>4.4</t>
  </si>
  <si>
    <t>4.2</t>
  </si>
  <si>
    <t>4.6</t>
  </si>
  <si>
    <t>2.2</t>
  </si>
  <si>
    <t>1.3.2</t>
  </si>
  <si>
    <t>T73 - CONGO Frais d'Hotel du 25 au 27/05/2023 dans la suite (02 nuitées) à dolisie op</t>
  </si>
  <si>
    <t xml:space="preserve">CREPIN - CONGO Frais d'hotel du 27 au 28/05/2023 suite à Dolisie (01 nuitée) </t>
  </si>
  <si>
    <t>T73 - CONGO Frais d'Hotel du 27 au 28/05/2023 dans la suite (01 nuitée) à dolisie</t>
  </si>
  <si>
    <t>P29 - CONGO Frais d'hotel du 27  au 28/05/2023  dans la suite à Dolisie (01 nuitée)</t>
  </si>
  <si>
    <t>HURIELLE - CONGO Food Allowance du 25 au 03/09/2023 à Dolisie (09 nuitées)</t>
  </si>
  <si>
    <t>RALFF-CO4498</t>
  </si>
  <si>
    <t>RALFF-CO4499</t>
  </si>
  <si>
    <t>RALFF-CO4500</t>
  </si>
  <si>
    <t>RALFF-CO4501</t>
  </si>
  <si>
    <t>RALFF-CO4502</t>
  </si>
  <si>
    <t>RALFF-CO4503</t>
  </si>
  <si>
    <t>RALFF-CO4504</t>
  </si>
  <si>
    <t>RALFF-CO4505</t>
  </si>
  <si>
    <t>RALFF-CO4506</t>
  </si>
  <si>
    <t>RALFF-CO4507</t>
  </si>
  <si>
    <t>RALFF-CO4508</t>
  </si>
  <si>
    <t>RALFF-CO4509</t>
  </si>
  <si>
    <t>RALFF-CO4510</t>
  </si>
  <si>
    <t>RALFF-CO4511</t>
  </si>
  <si>
    <t>RALFF-CO4512</t>
  </si>
  <si>
    <t>RALFF-CO4513</t>
  </si>
  <si>
    <t>RALFF-CO4514</t>
  </si>
  <si>
    <t>RALFF-CO4515</t>
  </si>
  <si>
    <t>RALFF-CO4516</t>
  </si>
  <si>
    <t>RALFF-CO4517</t>
  </si>
  <si>
    <t>RALFF-CO4518</t>
  </si>
  <si>
    <t>RALFF-CO4519</t>
  </si>
  <si>
    <t>RALFF-CO4520</t>
  </si>
  <si>
    <t>RALFF-CO4521</t>
  </si>
  <si>
    <t>RALFF-CO4522</t>
  </si>
  <si>
    <t>RALFF-CO4523</t>
  </si>
  <si>
    <t>RALFF-CO4524</t>
  </si>
  <si>
    <t>RALFF-CO4525</t>
  </si>
  <si>
    <t>RALFF-CO4526</t>
  </si>
  <si>
    <t>RALFF-CO4527</t>
  </si>
  <si>
    <t>RALFF-CO4528</t>
  </si>
  <si>
    <t>RALFF-CO4529</t>
  </si>
  <si>
    <t>RALFF-CO4530</t>
  </si>
  <si>
    <t>RALFF-CO4531</t>
  </si>
  <si>
    <t>RALFF-CO4532</t>
  </si>
  <si>
    <t>RALFF-CO4533</t>
  </si>
  <si>
    <t>RALFF-CO4534</t>
  </si>
  <si>
    <t>RALFF-CO4535</t>
  </si>
  <si>
    <t>RALFF-CO4536</t>
  </si>
  <si>
    <t>RALFF-CO4537</t>
  </si>
  <si>
    <t>RALFF-CO4538</t>
  </si>
  <si>
    <t>RALFF-CO4539</t>
  </si>
  <si>
    <t>RALFF-CO4540</t>
  </si>
  <si>
    <t>RALFF-CO4541</t>
  </si>
  <si>
    <t>RALFF-CO4542</t>
  </si>
  <si>
    <t>RALFF-CO4543</t>
  </si>
  <si>
    <t>RALFF-CO4544</t>
  </si>
  <si>
    <t>RALFF-CO4545</t>
  </si>
  <si>
    <t>RALFF-CO4546</t>
  </si>
  <si>
    <t>RALFF-CO4547</t>
  </si>
  <si>
    <t>RALFF-CO4548</t>
  </si>
  <si>
    <t>RALFF-CO4549</t>
  </si>
  <si>
    <t>RALFF-CO4550</t>
  </si>
  <si>
    <t>RALFF-CO4551</t>
  </si>
  <si>
    <t>RALFF-CO4552</t>
  </si>
  <si>
    <t>RALFF-CO4553</t>
  </si>
  <si>
    <t>RALFF-CO4554</t>
  </si>
  <si>
    <t>RALFF-CO4555</t>
  </si>
  <si>
    <t>RALFF-CO4556</t>
  </si>
  <si>
    <t>RALFF-CO4557</t>
  </si>
  <si>
    <t>RALFF-CO4558</t>
  </si>
  <si>
    <t>RALFF-CO4559</t>
  </si>
  <si>
    <t>RALFF-CO4560</t>
  </si>
  <si>
    <t>RALFF-CO4561</t>
  </si>
  <si>
    <t>RALFF-CO4562</t>
  </si>
  <si>
    <t>RALFF-CO4563</t>
  </si>
  <si>
    <t>RALFF-CO4564</t>
  </si>
  <si>
    <t>RALFF-CO4565</t>
  </si>
  <si>
    <t>RALFF-CO4566</t>
  </si>
  <si>
    <t>RALFF-CO4567</t>
  </si>
  <si>
    <t>RALFF-CO4568</t>
  </si>
  <si>
    <t>RALFF-CO4569</t>
  </si>
  <si>
    <t>RALFF-CO4570</t>
  </si>
  <si>
    <t>RALFF-CO4571</t>
  </si>
  <si>
    <t>RALFF-CO4572</t>
  </si>
  <si>
    <t>RALFF-CO4573</t>
  </si>
  <si>
    <t>RALFF-CO4574</t>
  </si>
  <si>
    <t>RALFF-CO4575</t>
  </si>
  <si>
    <t>RALFF-CO4576</t>
  </si>
  <si>
    <t>RALFF-CO4577</t>
  </si>
  <si>
    <t>RALFF-CO4578</t>
  </si>
  <si>
    <t>RALFF-CO4579</t>
  </si>
  <si>
    <t>RALFF-CO4580</t>
  </si>
  <si>
    <t>RALFF-CO4581</t>
  </si>
  <si>
    <t>RALFF-CO4582</t>
  </si>
  <si>
    <t>RALFF-CO4583</t>
  </si>
  <si>
    <t>RALFF-CO4584</t>
  </si>
  <si>
    <t>RALFF-CO4585</t>
  </si>
  <si>
    <t>RALFF-CO4586</t>
  </si>
  <si>
    <t>RALFF-CO4587</t>
  </si>
  <si>
    <t>RALFF-CO4588</t>
  </si>
  <si>
    <t>RALFF-CO4589</t>
  </si>
  <si>
    <t>RALFF-CO4590</t>
  </si>
  <si>
    <t>RALFF-CO4591</t>
  </si>
  <si>
    <t>RALFF-CO4592</t>
  </si>
  <si>
    <t>RALFF-CO4593</t>
  </si>
  <si>
    <t>RALFF-CO4594</t>
  </si>
  <si>
    <t>RALFF-CO4595</t>
  </si>
  <si>
    <t>RALFF-CO4596</t>
  </si>
  <si>
    <t>RALFF-CO4597</t>
  </si>
  <si>
    <t>RALFF-CO4598</t>
  </si>
  <si>
    <t>RALFF-CO4599</t>
  </si>
  <si>
    <t>RALFF-CO4600</t>
  </si>
  <si>
    <t>RALFF-CO4601</t>
  </si>
  <si>
    <t>RALFF-CO4602</t>
  </si>
  <si>
    <t>RALFF-CO4603</t>
  </si>
  <si>
    <t>RALFF-CO4604</t>
  </si>
  <si>
    <t>RALFF-CO4605</t>
  </si>
  <si>
    <t>CREPIN - CONGO Frais d'hôtel du 27 au 31 mai 2023 (04 nuitées) à Dolisie</t>
  </si>
  <si>
    <t>RALFF-CO4606</t>
  </si>
  <si>
    <t>Donald-CONGO Frais d'hôtel (04 Nuitées) du 25 au 31/05/2023 à Dolisie</t>
  </si>
  <si>
    <t>RALFF-CO4607</t>
  </si>
  <si>
    <t>Reglement Facture Honoraire Me LOCKO Christian Mois d'Avril 2023/3654548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</si>
</sst>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\ _F_C_F_A_-;\-* #,##0\ _F_C_F_A_-;_-* &quot;-&quot;\ _F_C_F_A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[$-409]d\-mmm\-yy;@"/>
    <numFmt numFmtId="168" formatCode="[$-40C]0"/>
    <numFmt numFmtId="169" formatCode="&quot; &quot;#,##0&quot;    &quot;;&quot;-&quot;#,##0&quot;    &quot;;&quot; -&quot;#&quot;    &quot;;&quot; &quot;@&quot; &quot;"/>
    <numFmt numFmtId="170" formatCode="[$]d\ mmm\ yyyy;@"/>
    <numFmt numFmtId="171" formatCode="_-* #,##0\ _€_-;\-* #,##0\ _€_-;_-* &quot;-&quot;??\ _€_-;_-@"/>
    <numFmt numFmtId="172" formatCode="[$-40C]dd\-mmm\-yy;@"/>
    <numFmt numFmtId="173" formatCode="[$-40C]General"/>
    <numFmt numFmtId="174" formatCode="d\-mmm\-yy;@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5"/>
      <name val="Arial Narrow"/>
      <family val="2"/>
    </font>
    <font>
      <b/>
      <sz val="10"/>
      <color theme="5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FF0000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sz val="10"/>
      <color rgb="FFED7D31"/>
      <name val="Arial Narrow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12"/>
      <color theme="1"/>
      <name val="Arial Narrow"/>
      <family val="2"/>
    </font>
    <font>
      <sz val="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Arial Narrow"/>
      <family val="2"/>
    </font>
    <font>
      <sz val="11"/>
      <color theme="0"/>
      <name val="Arial Narrow"/>
      <family val="2"/>
    </font>
    <font>
      <b/>
      <sz val="11"/>
      <color rgb="FFFF0000"/>
      <name val="Arial Narrow"/>
      <family val="2"/>
    </font>
    <font>
      <b/>
      <sz val="12"/>
      <color rgb="FF000000"/>
      <name val="Calibri"/>
      <family val="2"/>
    </font>
    <font>
      <b/>
      <sz val="12"/>
      <color rgb="FFFF0000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lightGray">
        <bgColor theme="5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23" fillId="0" borderId="0" applyBorder="0" applyProtection="0"/>
    <xf numFmtId="9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11" fillId="6" borderId="1" xfId="3" applyNumberFormat="1" applyFont="1" applyFill="1" applyBorder="1"/>
    <xf numFmtId="0" fontId="11" fillId="6" borderId="1" xfId="3" applyFont="1" applyFill="1" applyBorder="1"/>
    <xf numFmtId="0" fontId="12" fillId="0" borderId="1" xfId="0" applyFont="1" applyBorder="1"/>
    <xf numFmtId="166" fontId="0" fillId="0" borderId="0" xfId="0" applyNumberForma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166" fontId="14" fillId="0" borderId="0" xfId="1" applyNumberFormat="1" applyFont="1" applyBorder="1" applyProtection="1">
      <protection locked="0"/>
    </xf>
    <xf numFmtId="166" fontId="15" fillId="0" borderId="0" xfId="1" applyNumberFormat="1" applyFont="1" applyBorder="1" applyProtection="1">
      <protection locked="0"/>
    </xf>
    <xf numFmtId="166" fontId="12" fillId="0" borderId="0" xfId="0" applyNumberFormat="1" applyFont="1"/>
    <xf numFmtId="166" fontId="13" fillId="0" borderId="0" xfId="0" applyNumberFormat="1" applyFont="1" applyAlignment="1">
      <alignment vertical="center"/>
    </xf>
    <xf numFmtId="0" fontId="16" fillId="0" borderId="0" xfId="0" applyFont="1"/>
    <xf numFmtId="0" fontId="4" fillId="0" borderId="0" xfId="0" applyFont="1"/>
    <xf numFmtId="0" fontId="5" fillId="7" borderId="0" xfId="0" applyFont="1" applyFill="1" applyAlignment="1">
      <alignment horizontal="center"/>
    </xf>
    <xf numFmtId="0" fontId="5" fillId="0" borderId="0" xfId="0" applyFont="1"/>
    <xf numFmtId="166" fontId="4" fillId="0" borderId="0" xfId="1" applyNumberFormat="1" applyFont="1" applyFill="1" applyProtection="1"/>
    <xf numFmtId="166" fontId="5" fillId="0" borderId="3" xfId="1" applyNumberFormat="1" applyFont="1" applyFill="1" applyBorder="1" applyAlignment="1" applyProtection="1">
      <alignment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4" fillId="10" borderId="4" xfId="1" applyNumberFormat="1" applyFont="1" applyFill="1" applyBorder="1" applyAlignment="1" applyProtection="1">
      <alignment horizontal="center" vertical="center"/>
    </xf>
    <xf numFmtId="0" fontId="18" fillId="10" borderId="5" xfId="0" applyFont="1" applyFill="1" applyBorder="1"/>
    <xf numFmtId="166" fontId="4" fillId="10" borderId="5" xfId="1" applyNumberFormat="1" applyFont="1" applyFill="1" applyBorder="1" applyProtection="1"/>
    <xf numFmtId="166" fontId="4" fillId="10" borderId="5" xfId="0" applyNumberFormat="1" applyFont="1" applyFill="1" applyBorder="1"/>
    <xf numFmtId="166" fontId="4" fillId="0" borderId="3" xfId="1" applyNumberFormat="1" applyFont="1" applyBorder="1" applyProtection="1"/>
    <xf numFmtId="166" fontId="0" fillId="0" borderId="1" xfId="1" applyNumberFormat="1" applyFont="1" applyFill="1" applyBorder="1" applyProtection="1"/>
    <xf numFmtId="166" fontId="4" fillId="0" borderId="6" xfId="1" applyNumberFormat="1" applyFont="1" applyFill="1" applyBorder="1" applyProtection="1"/>
    <xf numFmtId="166" fontId="4" fillId="0" borderId="1" xfId="0" applyNumberFormat="1" applyFont="1" applyBorder="1"/>
    <xf numFmtId="166" fontId="4" fillId="0" borderId="1" xfId="1" applyNumberFormat="1" applyFont="1" applyFill="1" applyBorder="1" applyProtection="1"/>
    <xf numFmtId="166" fontId="19" fillId="0" borderId="1" xfId="1" applyNumberFormat="1" applyFont="1" applyFill="1" applyBorder="1" applyProtection="1"/>
    <xf numFmtId="166" fontId="1" fillId="0" borderId="1" xfId="1" applyNumberFormat="1" applyFont="1" applyFill="1" applyBorder="1" applyProtection="1"/>
    <xf numFmtId="166" fontId="5" fillId="10" borderId="4" xfId="1" applyNumberFormat="1" applyFont="1" applyFill="1" applyBorder="1" applyAlignment="1" applyProtection="1">
      <alignment horizontal="left"/>
    </xf>
    <xf numFmtId="166" fontId="5" fillId="10" borderId="5" xfId="1" applyNumberFormat="1" applyFont="1" applyFill="1" applyBorder="1" applyAlignment="1" applyProtection="1">
      <alignment horizontal="left"/>
    </xf>
    <xf numFmtId="166" fontId="4" fillId="10" borderId="1" xfId="0" applyNumberFormat="1" applyFont="1" applyFill="1" applyBorder="1"/>
    <xf numFmtId="0" fontId="5" fillId="0" borderId="4" xfId="0" applyFont="1" applyBorder="1"/>
    <xf numFmtId="166" fontId="4" fillId="0" borderId="1" xfId="1" applyNumberFormat="1" applyFont="1" applyFill="1" applyBorder="1" applyAlignment="1" applyProtection="1"/>
    <xf numFmtId="166" fontId="4" fillId="0" borderId="6" xfId="1" applyNumberFormat="1" applyFont="1" applyBorder="1" applyProtection="1"/>
    <xf numFmtId="166" fontId="20" fillId="0" borderId="1" xfId="1" applyNumberFormat="1" applyFont="1" applyBorder="1" applyProtection="1"/>
    <xf numFmtId="166" fontId="20" fillId="0" borderId="0" xfId="1" applyNumberFormat="1" applyFont="1" applyProtection="1"/>
    <xf numFmtId="166" fontId="10" fillId="0" borderId="1" xfId="0" applyNumberFormat="1" applyFont="1" applyBorder="1"/>
    <xf numFmtId="0" fontId="18" fillId="10" borderId="4" xfId="0" applyFont="1" applyFill="1" applyBorder="1"/>
    <xf numFmtId="166" fontId="0" fillId="0" borderId="1" xfId="1" applyNumberFormat="1" applyFont="1" applyBorder="1" applyProtection="1"/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66" fontId="16" fillId="0" borderId="6" xfId="1" applyNumberFormat="1" applyFont="1" applyBorder="1" applyProtection="1"/>
    <xf numFmtId="166" fontId="19" fillId="0" borderId="6" xfId="1" applyNumberFormat="1" applyFont="1" applyBorder="1" applyProtection="1"/>
    <xf numFmtId="166" fontId="19" fillId="0" borderId="1" xfId="1" applyNumberFormat="1" applyFont="1" applyBorder="1" applyAlignment="1" applyProtection="1">
      <alignment vertical="center"/>
    </xf>
    <xf numFmtId="166" fontId="19" fillId="5" borderId="1" xfId="1" applyNumberFormat="1" applyFont="1" applyFill="1" applyBorder="1" applyProtection="1"/>
    <xf numFmtId="166" fontId="9" fillId="0" borderId="3" xfId="1" applyNumberFormat="1" applyFont="1" applyFill="1" applyBorder="1" applyProtection="1"/>
    <xf numFmtId="166" fontId="19" fillId="5" borderId="1" xfId="1" applyNumberFormat="1" applyFont="1" applyFill="1" applyBorder="1" applyAlignment="1" applyProtection="1">
      <alignment vertical="center"/>
    </xf>
    <xf numFmtId="166" fontId="1" fillId="0" borderId="0" xfId="1" applyNumberFormat="1" applyFont="1" applyFill="1" applyProtection="1"/>
    <xf numFmtId="166" fontId="19" fillId="0" borderId="1" xfId="1" applyNumberFormat="1" applyFont="1" applyFill="1" applyBorder="1" applyAlignment="1" applyProtection="1">
      <alignment horizontal="center" vertical="center"/>
    </xf>
    <xf numFmtId="166" fontId="8" fillId="0" borderId="6" xfId="1" applyNumberFormat="1" applyFont="1" applyFill="1" applyBorder="1" applyProtection="1"/>
    <xf numFmtId="166" fontId="21" fillId="0" borderId="0" xfId="1" applyNumberFormat="1" applyFont="1" applyBorder="1" applyProtection="1">
      <protection locked="0"/>
    </xf>
    <xf numFmtId="0" fontId="6" fillId="0" borderId="1" xfId="0" applyFont="1" applyBorder="1"/>
    <xf numFmtId="0" fontId="22" fillId="0" borderId="1" xfId="0" applyFont="1" applyBorder="1" applyAlignment="1">
      <alignment vertical="center"/>
    </xf>
    <xf numFmtId="166" fontId="23" fillId="0" borderId="1" xfId="1" applyNumberFormat="1" applyFont="1" applyBorder="1" applyProtection="1">
      <protection locked="0"/>
    </xf>
    <xf numFmtId="166" fontId="24" fillId="0" borderId="1" xfId="1" applyNumberFormat="1" applyFont="1" applyBorder="1" applyProtection="1">
      <protection locked="0"/>
    </xf>
    <xf numFmtId="0" fontId="7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10" borderId="1" xfId="0" applyFill="1" applyBorder="1" applyAlignment="1">
      <alignment vertical="center"/>
    </xf>
    <xf numFmtId="3" fontId="0" fillId="10" borderId="1" xfId="0" applyNumberForma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5" fillId="13" borderId="0" xfId="0" applyFont="1" applyFill="1" applyAlignment="1">
      <alignment horizontal="center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166" fontId="4" fillId="0" borderId="0" xfId="1" applyNumberFormat="1" applyFont="1" applyFill="1" applyBorder="1" applyProtection="1"/>
    <xf numFmtId="166" fontId="4" fillId="17" borderId="4" xfId="1" applyNumberFormat="1" applyFont="1" applyFill="1" applyBorder="1" applyAlignment="1" applyProtection="1">
      <alignment horizontal="center" vertical="center"/>
    </xf>
    <xf numFmtId="0" fontId="18" fillId="17" borderId="5" xfId="0" applyFont="1" applyFill="1" applyBorder="1"/>
    <xf numFmtId="166" fontId="4" fillId="17" borderId="5" xfId="1" applyNumberFormat="1" applyFont="1" applyFill="1" applyBorder="1" applyProtection="1"/>
    <xf numFmtId="166" fontId="4" fillId="17" borderId="5" xfId="0" applyNumberFormat="1" applyFont="1" applyFill="1" applyBorder="1"/>
    <xf numFmtId="166" fontId="4" fillId="0" borderId="3" xfId="1" applyNumberFormat="1" applyFont="1" applyFill="1" applyBorder="1" applyProtection="1"/>
    <xf numFmtId="166" fontId="24" fillId="0" borderId="1" xfId="1" applyNumberFormat="1" applyFont="1" applyFill="1" applyBorder="1" applyProtection="1"/>
    <xf numFmtId="166" fontId="28" fillId="0" borderId="1" xfId="1" applyNumberFormat="1" applyFont="1" applyFill="1" applyBorder="1" applyAlignment="1" applyProtection="1">
      <alignment horizontal="center" vertical="center"/>
    </xf>
    <xf numFmtId="166" fontId="23" fillId="0" borderId="1" xfId="1" applyNumberFormat="1" applyFont="1" applyFill="1" applyBorder="1" applyProtection="1"/>
    <xf numFmtId="166" fontId="28" fillId="0" borderId="1" xfId="1" applyNumberFormat="1" applyFont="1" applyFill="1" applyBorder="1" applyProtection="1"/>
    <xf numFmtId="166" fontId="23" fillId="0" borderId="0" xfId="1" applyNumberFormat="1" applyFont="1" applyFill="1" applyBorder="1" applyProtection="1"/>
    <xf numFmtId="166" fontId="5" fillId="17" borderId="4" xfId="1" applyNumberFormat="1" applyFont="1" applyFill="1" applyBorder="1" applyAlignment="1" applyProtection="1">
      <alignment horizontal="left"/>
    </xf>
    <xf numFmtId="166" fontId="5" fillId="17" borderId="5" xfId="1" applyNumberFormat="1" applyFont="1" applyFill="1" applyBorder="1" applyAlignment="1" applyProtection="1">
      <alignment horizontal="left"/>
    </xf>
    <xf numFmtId="166" fontId="4" fillId="17" borderId="1" xfId="0" applyNumberFormat="1" applyFont="1" applyFill="1" applyBorder="1"/>
    <xf numFmtId="166" fontId="29" fillId="0" borderId="1" xfId="1" applyNumberFormat="1" applyFont="1" applyFill="1" applyBorder="1" applyProtection="1"/>
    <xf numFmtId="3" fontId="24" fillId="0" borderId="1" xfId="0" applyNumberFormat="1" applyFont="1" applyBorder="1" applyAlignment="1">
      <alignment vertical="center"/>
    </xf>
    <xf numFmtId="166" fontId="29" fillId="0" borderId="0" xfId="1" applyNumberFormat="1" applyFont="1" applyFill="1" applyBorder="1" applyProtection="1"/>
    <xf numFmtId="0" fontId="18" fillId="17" borderId="4" xfId="0" applyFont="1" applyFill="1" applyBorder="1"/>
    <xf numFmtId="166" fontId="30" fillId="0" borderId="3" xfId="1" applyNumberFormat="1" applyFont="1" applyFill="1" applyBorder="1" applyProtection="1"/>
    <xf numFmtId="166" fontId="28" fillId="0" borderId="6" xfId="1" applyNumberFormat="1" applyFont="1" applyFill="1" applyBorder="1" applyProtection="1"/>
    <xf numFmtId="166" fontId="28" fillId="18" borderId="1" xfId="1" applyNumberFormat="1" applyFont="1" applyFill="1" applyBorder="1" applyProtection="1"/>
    <xf numFmtId="166" fontId="28" fillId="18" borderId="1" xfId="1" applyNumberFormat="1" applyFont="1" applyFill="1" applyBorder="1" applyAlignment="1" applyProtection="1">
      <alignment vertical="center"/>
    </xf>
    <xf numFmtId="166" fontId="31" fillId="0" borderId="6" xfId="1" applyNumberFormat="1" applyFont="1" applyFill="1" applyBorder="1" applyProtection="1"/>
    <xf numFmtId="166" fontId="31" fillId="0" borderId="1" xfId="1" applyNumberFormat="1" applyFont="1" applyFill="1" applyBorder="1" applyProtection="1"/>
    <xf numFmtId="166" fontId="28" fillId="0" borderId="1" xfId="1" applyNumberFormat="1" applyFont="1" applyFill="1" applyBorder="1" applyAlignment="1" applyProtection="1">
      <alignment vertical="center"/>
    </xf>
    <xf numFmtId="166" fontId="24" fillId="0" borderId="0" xfId="0" applyNumberFormat="1" applyFont="1" applyAlignment="1">
      <alignment vertical="center"/>
    </xf>
    <xf numFmtId="0" fontId="24" fillId="0" borderId="1" xfId="0" applyFont="1" applyBorder="1" applyAlignment="1">
      <alignment vertical="center"/>
    </xf>
    <xf numFmtId="0" fontId="26" fillId="0" borderId="1" xfId="0" applyFont="1" applyBorder="1"/>
    <xf numFmtId="166" fontId="19" fillId="0" borderId="6" xfId="1" applyNumberFormat="1" applyFont="1" applyFill="1" applyBorder="1" applyProtection="1"/>
    <xf numFmtId="166" fontId="19" fillId="0" borderId="1" xfId="0" applyNumberFormat="1" applyFont="1" applyBorder="1"/>
    <xf numFmtId="166" fontId="7" fillId="0" borderId="0" xfId="0" applyNumberFormat="1" applyFont="1" applyAlignment="1">
      <alignment vertical="center"/>
    </xf>
    <xf numFmtId="166" fontId="8" fillId="0" borderId="6" xfId="1" applyNumberFormat="1" applyFont="1" applyBorder="1" applyProtection="1"/>
    <xf numFmtId="166" fontId="8" fillId="0" borderId="1" xfId="1" applyNumberFormat="1" applyFont="1" applyFill="1" applyBorder="1" applyProtection="1"/>
    <xf numFmtId="166" fontId="32" fillId="0" borderId="0" xfId="0" applyNumberFormat="1" applyFont="1" applyAlignment="1">
      <alignment vertical="center"/>
    </xf>
    <xf numFmtId="166" fontId="7" fillId="22" borderId="0" xfId="0" applyNumberFormat="1" applyFont="1" applyFill="1" applyAlignment="1">
      <alignment vertical="center"/>
    </xf>
    <xf numFmtId="166" fontId="4" fillId="3" borderId="3" xfId="1" applyNumberFormat="1" applyFont="1" applyFill="1" applyBorder="1" applyProtection="1"/>
    <xf numFmtId="0" fontId="12" fillId="3" borderId="1" xfId="0" applyFont="1" applyFill="1" applyBorder="1"/>
    <xf numFmtId="166" fontId="0" fillId="3" borderId="1" xfId="1" applyNumberFormat="1" applyFont="1" applyFill="1" applyBorder="1" applyProtection="1"/>
    <xf numFmtId="166" fontId="4" fillId="3" borderId="1" xfId="1" applyNumberFormat="1" applyFont="1" applyFill="1" applyBorder="1" applyProtection="1"/>
    <xf numFmtId="166" fontId="4" fillId="3" borderId="6" xfId="1" applyNumberFormat="1" applyFont="1" applyFill="1" applyBorder="1" applyProtection="1"/>
    <xf numFmtId="0" fontId="0" fillId="3" borderId="0" xfId="0" applyFill="1" applyAlignment="1">
      <alignment vertical="center"/>
    </xf>
    <xf numFmtId="166" fontId="1" fillId="3" borderId="1" xfId="1" applyNumberFormat="1" applyFont="1" applyFill="1" applyBorder="1" applyProtection="1"/>
    <xf numFmtId="166" fontId="4" fillId="3" borderId="1" xfId="0" applyNumberFormat="1" applyFont="1" applyFill="1" applyBorder="1"/>
    <xf numFmtId="0" fontId="6" fillId="21" borderId="1" xfId="0" applyFont="1" applyFill="1" applyBorder="1"/>
    <xf numFmtId="0" fontId="22" fillId="21" borderId="1" xfId="0" applyFont="1" applyFill="1" applyBorder="1" applyAlignment="1">
      <alignment vertical="center"/>
    </xf>
    <xf numFmtId="166" fontId="23" fillId="21" borderId="1" xfId="1" applyNumberFormat="1" applyFont="1" applyFill="1" applyBorder="1" applyProtection="1">
      <protection locked="0"/>
    </xf>
    <xf numFmtId="166" fontId="24" fillId="21" borderId="1" xfId="1" applyNumberFormat="1" applyFont="1" applyFill="1" applyBorder="1" applyProtection="1">
      <protection locked="0"/>
    </xf>
    <xf numFmtId="166" fontId="4" fillId="5" borderId="1" xfId="1" applyNumberFormat="1" applyFont="1" applyFill="1" applyBorder="1" applyProtection="1"/>
    <xf numFmtId="166" fontId="19" fillId="21" borderId="1" xfId="1" applyNumberFormat="1" applyFont="1" applyFill="1" applyBorder="1" applyProtection="1"/>
    <xf numFmtId="166" fontId="4" fillId="21" borderId="1" xfId="0" applyNumberFormat="1" applyFont="1" applyFill="1" applyBorder="1"/>
    <xf numFmtId="166" fontId="4" fillId="0" borderId="1" xfId="1" applyNumberFormat="1" applyFont="1" applyBorder="1" applyProtection="1"/>
    <xf numFmtId="166" fontId="4" fillId="21" borderId="1" xfId="1" applyNumberFormat="1" applyFont="1" applyFill="1" applyBorder="1" applyProtection="1"/>
    <xf numFmtId="166" fontId="19" fillId="5" borderId="1" xfId="0" applyNumberFormat="1" applyFont="1" applyFill="1" applyBorder="1"/>
    <xf numFmtId="166" fontId="19" fillId="0" borderId="1" xfId="1" applyNumberFormat="1" applyFont="1" applyBorder="1" applyProtection="1"/>
    <xf numFmtId="166" fontId="19" fillId="0" borderId="0" xfId="1" applyNumberFormat="1" applyFont="1" applyProtection="1"/>
    <xf numFmtId="0" fontId="5" fillId="0" borderId="1" xfId="0" applyFont="1" applyBorder="1"/>
    <xf numFmtId="0" fontId="5" fillId="5" borderId="1" xfId="0" applyFont="1" applyFill="1" applyBorder="1"/>
    <xf numFmtId="0" fontId="5" fillId="21" borderId="1" xfId="0" applyFont="1" applyFill="1" applyBorder="1"/>
    <xf numFmtId="0" fontId="19" fillId="5" borderId="1" xfId="0" applyFont="1" applyFill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166" fontId="19" fillId="0" borderId="3" xfId="1" applyNumberFormat="1" applyFont="1" applyFill="1" applyBorder="1" applyProtection="1"/>
    <xf numFmtId="0" fontId="33" fillId="0" borderId="0" xfId="0" applyFont="1" applyAlignment="1">
      <alignment vertical="center"/>
    </xf>
    <xf numFmtId="166" fontId="35" fillId="0" borderId="0" xfId="1" applyNumberFormat="1" applyFont="1" applyBorder="1" applyProtection="1">
      <protection locked="0"/>
    </xf>
    <xf numFmtId="166" fontId="8" fillId="0" borderId="1" xfId="1" applyNumberFormat="1" applyFont="1" applyFill="1" applyBorder="1" applyAlignment="1" applyProtection="1">
      <alignment horizontal="center" vertical="center"/>
    </xf>
    <xf numFmtId="166" fontId="8" fillId="5" borderId="1" xfId="1" applyNumberFormat="1" applyFont="1" applyFill="1" applyBorder="1" applyProtection="1"/>
    <xf numFmtId="166" fontId="8" fillId="21" borderId="1" xfId="1" applyNumberFormat="1" applyFont="1" applyFill="1" applyBorder="1" applyProtection="1"/>
    <xf numFmtId="0" fontId="8" fillId="5" borderId="1" xfId="0" applyFont="1" applyFill="1" applyBorder="1" applyAlignment="1">
      <alignment vertical="center"/>
    </xf>
    <xf numFmtId="166" fontId="8" fillId="0" borderId="1" xfId="1" applyNumberFormat="1" applyFont="1" applyBorder="1" applyProtection="1"/>
    <xf numFmtId="166" fontId="34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4" xfId="0" applyFont="1" applyBorder="1"/>
    <xf numFmtId="0" fontId="40" fillId="0" borderId="0" xfId="0" applyFont="1"/>
    <xf numFmtId="0" fontId="40" fillId="0" borderId="1" xfId="0" applyFont="1" applyBorder="1"/>
    <xf numFmtId="166" fontId="19" fillId="0" borderId="3" xfId="1" applyNumberFormat="1" applyFont="1" applyBorder="1" applyProtection="1"/>
    <xf numFmtId="166" fontId="1" fillId="0" borderId="1" xfId="1" applyNumberFormat="1" applyFont="1" applyBorder="1" applyProtection="1"/>
    <xf numFmtId="166" fontId="19" fillId="22" borderId="1" xfId="0" applyNumberFormat="1" applyFont="1" applyFill="1" applyBorder="1"/>
    <xf numFmtId="0" fontId="1" fillId="0" borderId="1" xfId="0" applyFont="1" applyBorder="1" applyAlignment="1">
      <alignment vertical="center"/>
    </xf>
    <xf numFmtId="166" fontId="15" fillId="0" borderId="0" xfId="1" applyNumberFormat="1" applyFont="1" applyFill="1" applyBorder="1" applyProtection="1">
      <protection locked="0"/>
    </xf>
    <xf numFmtId="166" fontId="14" fillId="0" borderId="0" xfId="1" applyNumberFormat="1" applyFont="1" applyFill="1" applyBorder="1" applyProtection="1">
      <protection locked="0"/>
    </xf>
    <xf numFmtId="166" fontId="24" fillId="0" borderId="1" xfId="1" applyNumberFormat="1" applyFont="1" applyFill="1" applyBorder="1" applyProtection="1">
      <protection locked="0"/>
    </xf>
    <xf numFmtId="166" fontId="19" fillId="21" borderId="1" xfId="1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vertical="center"/>
    </xf>
    <xf numFmtId="14" fontId="41" fillId="0" borderId="1" xfId="3" applyNumberFormat="1" applyFont="1" applyBorder="1"/>
    <xf numFmtId="0" fontId="36" fillId="19" borderId="1" xfId="0" applyFont="1" applyFill="1" applyBorder="1" applyAlignment="1">
      <alignment vertical="center"/>
    </xf>
    <xf numFmtId="3" fontId="34" fillId="0" borderId="0" xfId="0" applyNumberFormat="1" applyFont="1"/>
    <xf numFmtId="0" fontId="0" fillId="25" borderId="0" xfId="0" applyFill="1" applyAlignment="1">
      <alignment vertical="center"/>
    </xf>
    <xf numFmtId="166" fontId="2" fillId="25" borderId="0" xfId="0" applyNumberFormat="1" applyFont="1" applyFill="1" applyAlignment="1">
      <alignment vertical="center"/>
    </xf>
    <xf numFmtId="166" fontId="34" fillId="25" borderId="0" xfId="0" applyNumberFormat="1" applyFont="1" applyFill="1" applyAlignment="1">
      <alignment vertical="center"/>
    </xf>
    <xf numFmtId="166" fontId="32" fillId="25" borderId="0" xfId="0" applyNumberFormat="1" applyFont="1" applyFill="1" applyAlignment="1">
      <alignment vertical="center"/>
    </xf>
    <xf numFmtId="3" fontId="0" fillId="25" borderId="0" xfId="0" applyNumberFormat="1" applyFill="1" applyAlignment="1">
      <alignment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7" fontId="5" fillId="0" borderId="11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5" fillId="0" borderId="11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10" fontId="34" fillId="0" borderId="0" xfId="7" applyNumberFormat="1" applyFont="1"/>
    <xf numFmtId="0" fontId="2" fillId="0" borderId="0" xfId="0" applyFont="1"/>
    <xf numFmtId="0" fontId="0" fillId="0" borderId="1" xfId="0" applyBorder="1"/>
    <xf numFmtId="0" fontId="41" fillId="0" borderId="1" xfId="0" applyFont="1" applyBorder="1"/>
    <xf numFmtId="0" fontId="43" fillId="0" borderId="1" xfId="0" applyFont="1" applyBorder="1" applyAlignment="1">
      <alignment vertical="center"/>
    </xf>
    <xf numFmtId="166" fontId="44" fillId="0" borderId="1" xfId="1" applyNumberFormat="1" applyFont="1" applyBorder="1" applyProtection="1">
      <protection locked="0"/>
    </xf>
    <xf numFmtId="166" fontId="45" fillId="0" borderId="0" xfId="0" applyNumberFormat="1" applyFont="1" applyAlignment="1">
      <alignment vertical="center"/>
    </xf>
    <xf numFmtId="0" fontId="45" fillId="0" borderId="1" xfId="0" applyFont="1" applyBorder="1" applyAlignment="1">
      <alignment vertical="center"/>
    </xf>
    <xf numFmtId="3" fontId="45" fillId="0" borderId="1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170" fontId="25" fillId="0" borderId="1" xfId="0" applyNumberFormat="1" applyFont="1" applyBorder="1"/>
    <xf numFmtId="0" fontId="25" fillId="0" borderId="1" xfId="0" applyFont="1" applyBorder="1"/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3" fontId="25" fillId="0" borderId="1" xfId="1" applyNumberFormat="1" applyFont="1" applyFill="1" applyBorder="1" applyAlignment="1" applyProtection="1">
      <alignment vertical="center"/>
    </xf>
    <xf numFmtId="166" fontId="25" fillId="0" borderId="1" xfId="0" applyNumberFormat="1" applyFont="1" applyBorder="1" applyAlignment="1">
      <alignment vertical="center"/>
    </xf>
    <xf numFmtId="0" fontId="25" fillId="5" borderId="1" xfId="0" applyFont="1" applyFill="1" applyBorder="1" applyAlignment="1">
      <alignment vertical="center"/>
    </xf>
    <xf numFmtId="166" fontId="6" fillId="0" borderId="1" xfId="1" applyNumberFormat="1" applyFont="1" applyFill="1" applyBorder="1"/>
    <xf numFmtId="0" fontId="25" fillId="23" borderId="1" xfId="0" applyFont="1" applyFill="1" applyBorder="1" applyAlignment="1">
      <alignment vertical="center"/>
    </xf>
    <xf numFmtId="164" fontId="25" fillId="23" borderId="1" xfId="4" applyFont="1" applyFill="1" applyBorder="1" applyAlignment="1">
      <alignment horizontal="right" vertical="center"/>
    </xf>
    <xf numFmtId="164" fontId="25" fillId="0" borderId="1" xfId="4" applyFont="1" applyFill="1" applyBorder="1" applyAlignment="1" applyProtection="1">
      <alignment horizontal="right"/>
    </xf>
    <xf numFmtId="166" fontId="25" fillId="0" borderId="1" xfId="1" applyNumberFormat="1" applyFont="1" applyFill="1" applyBorder="1" applyAlignment="1" applyProtection="1">
      <alignment vertical="center"/>
    </xf>
    <xf numFmtId="0" fontId="46" fillId="0" borderId="1" xfId="0" applyFont="1" applyBorder="1" applyAlignment="1">
      <alignment vertical="center"/>
    </xf>
    <xf numFmtId="0" fontId="47" fillId="21" borderId="1" xfId="0" applyFont="1" applyFill="1" applyBorder="1" applyAlignment="1">
      <alignment vertical="center"/>
    </xf>
    <xf numFmtId="0" fontId="47" fillId="21" borderId="1" xfId="0" applyFont="1" applyFill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3" fontId="26" fillId="0" borderId="1" xfId="1" applyNumberFormat="1" applyFont="1" applyFill="1" applyBorder="1" applyAlignment="1" applyProtection="1">
      <alignment vertical="center"/>
    </xf>
    <xf numFmtId="3" fontId="48" fillId="24" borderId="1" xfId="1" applyNumberFormat="1" applyFont="1" applyFill="1" applyBorder="1" applyAlignment="1" applyProtection="1">
      <alignment vertical="center"/>
    </xf>
    <xf numFmtId="166" fontId="25" fillId="0" borderId="1" xfId="0" applyNumberFormat="1" applyFont="1" applyBorder="1" applyAlignment="1">
      <alignment horizontal="left" vertical="center"/>
    </xf>
    <xf numFmtId="0" fontId="26" fillId="0" borderId="1" xfId="0" applyFont="1" applyBorder="1" applyAlignment="1">
      <alignment vertical="center"/>
    </xf>
    <xf numFmtId="166" fontId="26" fillId="0" borderId="1" xfId="0" applyNumberFormat="1" applyFont="1" applyBorder="1" applyAlignment="1">
      <alignment horizontal="center" vertical="center"/>
    </xf>
    <xf numFmtId="166" fontId="46" fillId="0" borderId="1" xfId="0" applyNumberFormat="1" applyFont="1" applyBorder="1" applyAlignment="1">
      <alignment horizontal="center" vertical="center"/>
    </xf>
    <xf numFmtId="0" fontId="34" fillId="0" borderId="0" xfId="0" applyFont="1"/>
    <xf numFmtId="0" fontId="4" fillId="0" borderId="11" xfId="0" applyFont="1" applyBorder="1"/>
    <xf numFmtId="3" fontId="6" fillId="0" borderId="1" xfId="1" applyNumberFormat="1" applyFont="1" applyFill="1" applyBorder="1" applyAlignment="1" applyProtection="1">
      <alignment vertical="center"/>
    </xf>
    <xf numFmtId="166" fontId="6" fillId="0" borderId="1" xfId="1" applyNumberFormat="1" applyFont="1" applyFill="1" applyBorder="1" applyAlignment="1">
      <alignment horizontal="right"/>
    </xf>
    <xf numFmtId="166" fontId="6" fillId="0" borderId="1" xfId="1" applyNumberFormat="1" applyFont="1" applyFill="1" applyBorder="1" applyAlignment="1">
      <alignment horizontal="left"/>
    </xf>
    <xf numFmtId="166" fontId="25" fillId="0" borderId="1" xfId="1" applyNumberFormat="1" applyFont="1" applyFill="1" applyBorder="1"/>
    <xf numFmtId="166" fontId="49" fillId="0" borderId="0" xfId="1" applyNumberFormat="1" applyFont="1" applyBorder="1" applyProtection="1">
      <protection locked="0"/>
    </xf>
    <xf numFmtId="165" fontId="0" fillId="0" borderId="0" xfId="0" applyNumberFormat="1"/>
    <xf numFmtId="0" fontId="50" fillId="19" borderId="1" xfId="0" applyFont="1" applyFill="1" applyBorder="1" applyAlignment="1">
      <alignment vertical="center"/>
    </xf>
    <xf numFmtId="0" fontId="48" fillId="0" borderId="1" xfId="0" applyFont="1" applyBorder="1" applyAlignment="1">
      <alignment vertical="center"/>
    </xf>
    <xf numFmtId="0" fontId="48" fillId="0" borderId="1" xfId="0" applyFont="1" applyBorder="1"/>
    <xf numFmtId="172" fontId="6" fillId="0" borderId="1" xfId="0" applyNumberFormat="1" applyFont="1" applyFill="1" applyBorder="1"/>
    <xf numFmtId="0" fontId="25" fillId="0" borderId="1" xfId="0" applyFont="1" applyFill="1" applyBorder="1" applyAlignment="1">
      <alignment horizontal="left" vertical="center"/>
    </xf>
    <xf numFmtId="166" fontId="25" fillId="0" borderId="1" xfId="1" applyNumberFormat="1" applyFont="1" applyFill="1" applyBorder="1" applyAlignment="1">
      <alignment vertical="center"/>
    </xf>
    <xf numFmtId="166" fontId="25" fillId="0" borderId="1" xfId="1" applyNumberFormat="1" applyFont="1" applyFill="1" applyBorder="1" applyAlignment="1" applyProtection="1">
      <alignment horizontal="left" vertical="center"/>
    </xf>
    <xf numFmtId="0" fontId="48" fillId="0" borderId="1" xfId="0" applyFont="1" applyFill="1" applyBorder="1" applyAlignment="1">
      <alignment horizontal="left" vertical="center"/>
    </xf>
    <xf numFmtId="0" fontId="25" fillId="0" borderId="1" xfId="0" applyFont="1" applyFill="1" applyBorder="1"/>
    <xf numFmtId="172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/>
    </xf>
    <xf numFmtId="0" fontId="48" fillId="0" borderId="1" xfId="0" applyFont="1" applyFill="1" applyBorder="1"/>
    <xf numFmtId="3" fontId="6" fillId="0" borderId="1" xfId="0" applyNumberFormat="1" applyFont="1" applyFill="1" applyBorder="1"/>
    <xf numFmtId="172" fontId="6" fillId="0" borderId="1" xfId="2" applyNumberFormat="1" applyFont="1" applyFill="1" applyBorder="1"/>
    <xf numFmtId="0" fontId="6" fillId="0" borderId="1" xfId="0" applyFont="1" applyFill="1" applyBorder="1" applyAlignment="1">
      <alignment horizontal="left"/>
    </xf>
    <xf numFmtId="171" fontId="25" fillId="0" borderId="1" xfId="0" applyNumberFormat="1" applyFont="1" applyFill="1" applyBorder="1"/>
    <xf numFmtId="166" fontId="6" fillId="0" borderId="1" xfId="0" applyNumberFormat="1" applyFont="1" applyFill="1" applyBorder="1" applyAlignment="1">
      <alignment vertical="center"/>
    </xf>
    <xf numFmtId="166" fontId="25" fillId="0" borderId="1" xfId="0" applyNumberFormat="1" applyFont="1" applyFill="1" applyBorder="1"/>
    <xf numFmtId="172" fontId="6" fillId="0" borderId="1" xfId="2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171" fontId="6" fillId="0" borderId="1" xfId="0" applyNumberFormat="1" applyFont="1" applyFill="1" applyBorder="1"/>
    <xf numFmtId="0" fontId="6" fillId="0" borderId="1" xfId="0" applyFont="1" applyFill="1" applyBorder="1" applyAlignment="1">
      <alignment horizontal="left" vertical="center"/>
    </xf>
    <xf numFmtId="166" fontId="6" fillId="0" borderId="1" xfId="0" applyNumberFormat="1" applyFont="1" applyFill="1" applyBorder="1"/>
    <xf numFmtId="169" fontId="6" fillId="0" borderId="1" xfId="6" applyNumberFormat="1" applyFont="1" applyFill="1" applyBorder="1" applyAlignment="1">
      <alignment vertical="top" wrapText="1"/>
    </xf>
    <xf numFmtId="168" fontId="6" fillId="0" borderId="1" xfId="2" applyNumberFormat="1" applyFont="1" applyFill="1" applyBorder="1" applyAlignment="1">
      <alignment vertical="top"/>
    </xf>
    <xf numFmtId="169" fontId="6" fillId="0" borderId="1" xfId="6" applyNumberFormat="1" applyFont="1" applyFill="1" applyBorder="1" applyAlignment="1">
      <alignment horizontal="right" vertical="top" wrapText="1"/>
    </xf>
    <xf numFmtId="168" fontId="6" fillId="0" borderId="1" xfId="2" applyNumberFormat="1" applyFont="1" applyFill="1" applyBorder="1" applyAlignment="1">
      <alignment vertical="top" wrapText="1"/>
    </xf>
    <xf numFmtId="172" fontId="25" fillId="0" borderId="1" xfId="0" applyNumberFormat="1" applyFont="1" applyFill="1" applyBorder="1"/>
    <xf numFmtId="0" fontId="25" fillId="0" borderId="1" xfId="0" applyFont="1" applyFill="1" applyBorder="1" applyAlignment="1">
      <alignment vertical="center"/>
    </xf>
    <xf numFmtId="0" fontId="48" fillId="0" borderId="1" xfId="0" applyFont="1" applyFill="1" applyBorder="1" applyAlignment="1">
      <alignment vertical="center"/>
    </xf>
    <xf numFmtId="0" fontId="6" fillId="0" borderId="1" xfId="2" applyFont="1" applyFill="1" applyBorder="1"/>
    <xf numFmtId="171" fontId="6" fillId="0" borderId="1" xfId="0" applyNumberFormat="1" applyFont="1" applyFill="1" applyBorder="1" applyAlignment="1">
      <alignment vertical="top"/>
    </xf>
    <xf numFmtId="171" fontId="6" fillId="0" borderId="1" xfId="0" applyNumberFormat="1" applyFont="1" applyFill="1" applyBorder="1" applyAlignment="1">
      <alignment horizontal="left"/>
    </xf>
    <xf numFmtId="0" fontId="0" fillId="0" borderId="0" xfId="0" applyNumberFormat="1"/>
    <xf numFmtId="172" fontId="25" fillId="0" borderId="1" xfId="0" applyNumberFormat="1" applyFont="1" applyFill="1" applyBorder="1" applyAlignment="1">
      <alignment vertical="center"/>
    </xf>
    <xf numFmtId="0" fontId="25" fillId="0" borderId="1" xfId="0" applyNumberFormat="1" applyFont="1" applyFill="1" applyBorder="1"/>
    <xf numFmtId="0" fontId="26" fillId="0" borderId="1" xfId="0" applyFont="1" applyFill="1" applyBorder="1"/>
    <xf numFmtId="3" fontId="25" fillId="0" borderId="1" xfId="0" applyNumberFormat="1" applyFont="1" applyFill="1" applyBorder="1"/>
    <xf numFmtId="172" fontId="25" fillId="0" borderId="1" xfId="2" applyNumberFormat="1" applyFont="1" applyFill="1" applyBorder="1"/>
    <xf numFmtId="0" fontId="25" fillId="0" borderId="1" xfId="0" applyFont="1" applyFill="1" applyBorder="1" applyAlignment="1">
      <alignment horizontal="left"/>
    </xf>
    <xf numFmtId="166" fontId="25" fillId="0" borderId="1" xfId="1" applyNumberFormat="1" applyFont="1" applyFill="1" applyBorder="1" applyAlignment="1">
      <alignment horizontal="right"/>
    </xf>
    <xf numFmtId="166" fontId="25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166" fontId="26" fillId="0" borderId="1" xfId="0" applyNumberFormat="1" applyFont="1" applyFill="1" applyBorder="1"/>
    <xf numFmtId="172" fontId="25" fillId="0" borderId="1" xfId="2" applyNumberFormat="1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right" vertical="center"/>
    </xf>
    <xf numFmtId="17" fontId="26" fillId="0" borderId="1" xfId="0" applyNumberFormat="1" applyFont="1" applyFill="1" applyBorder="1" applyAlignment="1">
      <alignment horizontal="left"/>
    </xf>
    <xf numFmtId="3" fontId="26" fillId="0" borderId="1" xfId="0" applyNumberFormat="1" applyFont="1" applyFill="1" applyBorder="1"/>
    <xf numFmtId="166" fontId="25" fillId="0" borderId="1" xfId="1" applyNumberFormat="1" applyFont="1" applyFill="1" applyBorder="1" applyAlignment="1">
      <alignment horizontal="left"/>
    </xf>
    <xf numFmtId="174" fontId="25" fillId="0" borderId="1" xfId="2" applyNumberFormat="1" applyFont="1" applyFill="1" applyBorder="1"/>
    <xf numFmtId="173" fontId="25" fillId="0" borderId="1" xfId="2" applyNumberFormat="1" applyFont="1" applyFill="1" applyBorder="1"/>
    <xf numFmtId="169" fontId="25" fillId="0" borderId="1" xfId="6" applyNumberFormat="1" applyFont="1" applyFill="1" applyBorder="1" applyAlignment="1">
      <alignment horizontal="right" vertical="top" wrapText="1"/>
    </xf>
    <xf numFmtId="168" fontId="25" fillId="0" borderId="1" xfId="2" applyNumberFormat="1" applyFont="1" applyFill="1" applyBorder="1" applyAlignment="1">
      <alignment vertical="top"/>
    </xf>
    <xf numFmtId="0" fontId="26" fillId="0" borderId="1" xfId="0" applyFont="1" applyFill="1" applyBorder="1" applyAlignment="1">
      <alignment vertical="center"/>
    </xf>
    <xf numFmtId="167" fontId="5" fillId="0" borderId="11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5" fillId="0" borderId="11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0" fontId="25" fillId="12" borderId="1" xfId="0" applyNumberFormat="1" applyFont="1" applyFill="1" applyBorder="1"/>
    <xf numFmtId="0" fontId="25" fillId="12" borderId="1" xfId="0" applyFont="1" applyFill="1" applyBorder="1" applyAlignment="1">
      <alignment vertical="center"/>
    </xf>
    <xf numFmtId="0" fontId="25" fillId="12" borderId="1" xfId="0" applyFont="1" applyFill="1" applyBorder="1" applyAlignment="1">
      <alignment horizontal="center" vertical="center"/>
    </xf>
    <xf numFmtId="3" fontId="25" fillId="12" borderId="1" xfId="1" applyNumberFormat="1" applyFont="1" applyFill="1" applyBorder="1" applyAlignment="1" applyProtection="1">
      <alignment vertical="center"/>
    </xf>
    <xf numFmtId="164" fontId="25" fillId="12" borderId="1" xfId="4" applyFont="1" applyFill="1" applyBorder="1" applyAlignment="1" applyProtection="1">
      <alignment horizontal="right"/>
    </xf>
    <xf numFmtId="166" fontId="25" fillId="12" borderId="1" xfId="1" applyNumberFormat="1" applyFont="1" applyFill="1" applyBorder="1" applyAlignment="1" applyProtection="1">
      <alignment vertical="center"/>
    </xf>
    <xf numFmtId="0" fontId="25" fillId="12" borderId="1" xfId="0" applyFont="1" applyFill="1" applyBorder="1" applyAlignment="1">
      <alignment horizontal="left" vertical="center"/>
    </xf>
    <xf numFmtId="3" fontId="25" fillId="0" borderId="1" xfId="1" applyNumberFormat="1" applyFont="1" applyFill="1" applyBorder="1" applyAlignment="1" applyProtection="1"/>
    <xf numFmtId="166" fontId="25" fillId="0" borderId="1" xfId="1" applyNumberFormat="1" applyFont="1" applyFill="1" applyBorder="1" applyAlignment="1"/>
    <xf numFmtId="0" fontId="25" fillId="0" borderId="1" xfId="0" applyFont="1" applyFill="1" applyBorder="1" applyAlignment="1"/>
    <xf numFmtId="166" fontId="25" fillId="0" borderId="1" xfId="0" applyNumberFormat="1" applyFont="1" applyFill="1" applyBorder="1" applyAlignment="1"/>
    <xf numFmtId="169" fontId="25" fillId="0" borderId="1" xfId="6" applyNumberFormat="1" applyFont="1" applyFill="1" applyBorder="1" applyAlignment="1">
      <alignment wrapText="1"/>
    </xf>
    <xf numFmtId="169" fontId="25" fillId="0" borderId="1" xfId="6" applyNumberFormat="1" applyFont="1" applyFill="1" applyBorder="1" applyAlignment="1">
      <alignment horizontal="left" wrapText="1"/>
    </xf>
    <xf numFmtId="166" fontId="0" fillId="0" borderId="0" xfId="0" applyNumberFormat="1"/>
    <xf numFmtId="169" fontId="25" fillId="0" borderId="1" xfId="6" applyNumberFormat="1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right"/>
    </xf>
    <xf numFmtId="3" fontId="25" fillId="0" borderId="1" xfId="0" applyNumberFormat="1" applyFont="1" applyFill="1" applyBorder="1" applyAlignment="1">
      <alignment horizontal="right"/>
    </xf>
    <xf numFmtId="168" fontId="25" fillId="0" borderId="1" xfId="2" applyNumberFormat="1" applyFont="1" applyFill="1" applyBorder="1" applyAlignment="1">
      <alignment vertical="top" wrapText="1"/>
    </xf>
    <xf numFmtId="166" fontId="25" fillId="0" borderId="1" xfId="0" applyNumberFormat="1" applyFont="1" applyFill="1" applyBorder="1" applyAlignment="1">
      <alignment horizontal="left" vertical="center"/>
    </xf>
    <xf numFmtId="168" fontId="25" fillId="0" borderId="1" xfId="2" applyNumberFormat="1" applyFont="1" applyFill="1" applyBorder="1" applyAlignment="1">
      <alignment horizontal="right" vertical="top"/>
    </xf>
    <xf numFmtId="0" fontId="25" fillId="0" borderId="1" xfId="2" applyFont="1" applyFill="1" applyBorder="1"/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7" fontId="5" fillId="0" borderId="11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5" fillId="0" borderId="11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right" vertical="center"/>
    </xf>
    <xf numFmtId="164" fontId="36" fillId="20" borderId="1" xfId="4" applyFont="1" applyFill="1" applyBorder="1" applyAlignment="1">
      <alignment horizontal="right" vertical="center"/>
    </xf>
    <xf numFmtId="0" fontId="36" fillId="20" borderId="1" xfId="0" applyFont="1" applyFill="1" applyBorder="1" applyAlignment="1">
      <alignment horizontal="left" vertical="center"/>
    </xf>
    <xf numFmtId="0" fontId="42" fillId="20" borderId="1" xfId="0" applyFont="1" applyFill="1" applyBorder="1" applyAlignment="1">
      <alignment horizontal="center" vertical="center"/>
    </xf>
  </cellXfs>
  <cellStyles count="8">
    <cellStyle name="Comma" xfId="1" builtinId="3"/>
    <cellStyle name="Comma [0]" xfId="4" builtinId="6"/>
    <cellStyle name="Excel Built-in Comma" xfId="6"/>
    <cellStyle name="Excel Built-in Normal" xfId="2"/>
    <cellStyle name="Milliers 3" xfId="5"/>
    <cellStyle name="Normal" xfId="0" builtinId="0"/>
    <cellStyle name="Normal_Total expenses by date" xfId="3"/>
    <cellStyle name="Percent" xfId="7" builtinId="5"/>
  </cellStyles>
  <dxfs count="6">
    <dxf>
      <numFmt numFmtId="166" formatCode="_-* #,##0\ _€_-;\-* #,##0\ _€_-;_-* &quot;-&quot;??\ _€_-;_-@_-"/>
    </dxf>
    <dxf>
      <numFmt numFmtId="166" formatCode="_-* #,##0\ _€_-;\-* #,##0\ _€_-;_-* &quot;-&quot;??\ _€_-;_-@_-"/>
    </dxf>
    <dxf>
      <numFmt numFmtId="166" formatCode="_-* #,##0\ _€_-;\-* #,##0\ _€_-;_-* &quot;-&quot;??\ _€_-;_-@_-"/>
    </dxf>
    <dxf>
      <numFmt numFmtId="166" formatCode="_-* #,##0\ _€_-;\-* #,##0\ _€_-;_-* &quot;-&quot;??\ _€_-;_-@_-"/>
    </dxf>
    <dxf>
      <numFmt numFmtId="165" formatCode="_-* #,##0.00\ _€_-;\-* #,##0.00\ _€_-;_-* &quot;-&quot;??\ _€_-;_-@_-"/>
    </dxf>
    <dxf>
      <alignment horizontal="right" readingOrder="0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CREPIN%20du%2031-08-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ted%20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alff\AppData\Local\Microsoft\Windows\INetCache\Content.Outlook\BTO9MOI8\RAPPORT%20FINANCIER%20JUILLET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comptable_Dalia_au_21_Aout_2020%20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Evariste%20du%2021%20ao&#251;t%202020%20vf%20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21_08_20_%20Herick%20_Harmonis&#233;e(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i23c%20au%2019%20Ao&#251;t%202020%20corrig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%20PALF%20JB%20actualis&#233;e%20ce%2021.08.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%20comptable_%20Jospin%20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P29-Comptabilit&#23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Shely%20A%20(1)%20(1)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_CREPIN"/>
      <sheetName val="Type de dépenses"/>
      <sheetName val="Liste1"/>
      <sheetName val="COMPTA_CREPIN (2)"/>
      <sheetName val="Feuil2"/>
    </sheetNames>
    <sheetDataSet>
      <sheetData sheetId="0" refreshError="1">
        <row r="3050">
          <cell r="F3050">
            <v>1500</v>
          </cell>
        </row>
        <row r="3051">
          <cell r="F3051">
            <v>1500</v>
          </cell>
        </row>
        <row r="3052">
          <cell r="F3052">
            <v>1000</v>
          </cell>
        </row>
        <row r="3053">
          <cell r="F3053">
            <v>1000</v>
          </cell>
        </row>
        <row r="3054">
          <cell r="F3054">
            <v>1000</v>
          </cell>
        </row>
        <row r="3055">
          <cell r="F3055">
            <v>1500</v>
          </cell>
        </row>
        <row r="3056">
          <cell r="F3056">
            <v>1500</v>
          </cell>
        </row>
        <row r="3057">
          <cell r="F3057">
            <v>1000</v>
          </cell>
        </row>
        <row r="3058">
          <cell r="F3058">
            <v>1000</v>
          </cell>
        </row>
        <row r="3059">
          <cell r="F3059">
            <v>2000</v>
          </cell>
        </row>
        <row r="3060">
          <cell r="F3060">
            <v>1000</v>
          </cell>
        </row>
        <row r="3061">
          <cell r="F3061">
            <v>1000</v>
          </cell>
        </row>
        <row r="3062">
          <cell r="F3062">
            <v>1500</v>
          </cell>
        </row>
        <row r="3063">
          <cell r="F3063">
            <v>1500</v>
          </cell>
        </row>
        <row r="3064">
          <cell r="F3064">
            <v>1000</v>
          </cell>
        </row>
        <row r="3065">
          <cell r="F3065">
            <v>1000</v>
          </cell>
        </row>
        <row r="3066">
          <cell r="F3066">
            <v>1500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ompta ted"/>
    </sheetNames>
    <sheetDataSet>
      <sheetData sheetId="0" refreshError="1"/>
      <sheetData sheetId="1" refreshError="1">
        <row r="11">
          <cell r="E11">
            <v>10000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OR"/>
      <sheetName val="Feuil31"/>
      <sheetName val="DATAS"/>
      <sheetName val="COMPTE  PRINCIPAL"/>
      <sheetName val="RAPPROCHEMENT CP"/>
      <sheetName val="SOUS -COMPTE"/>
      <sheetName val="RAPPROCHEMENT SC"/>
      <sheetName val="CAISSE"/>
      <sheetName val="POURCENTAGE PROJECT"/>
      <sheetName val="TABLE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I3">
            <v>705838</v>
          </cell>
        </row>
        <row r="16">
          <cell r="I16">
            <v>17673343.99927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 Dalia"/>
      <sheetName val="Type de dépenses"/>
      <sheetName val="Feuil3"/>
      <sheetName val="Compta Dali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1905">
          <cell r="F1905">
            <v>15000</v>
          </cell>
        </row>
        <row r="1908">
          <cell r="E1908">
            <v>15000</v>
          </cell>
        </row>
        <row r="1909">
          <cell r="E1909">
            <v>50000</v>
          </cell>
        </row>
        <row r="1911">
          <cell r="E1911">
            <v>44600</v>
          </cell>
        </row>
        <row r="1917">
          <cell r="E1917">
            <v>10000</v>
          </cell>
        </row>
        <row r="1919">
          <cell r="F1919">
            <v>1635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"/>
      <sheetName val="Feuil2"/>
      <sheetName val="Type de dépenses"/>
      <sheetName val="compta (2)"/>
      <sheetName val="Feuil1"/>
      <sheetName val="compta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56">
          <cell r="E2556">
            <v>10000</v>
          </cell>
        </row>
        <row r="2557">
          <cell r="E2557">
            <v>10000</v>
          </cell>
        </row>
        <row r="2558">
          <cell r="E2558">
            <v>10000</v>
          </cell>
        </row>
        <row r="2559">
          <cell r="F2559">
            <v>21000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"/>
      <sheetName val="Feuil2"/>
      <sheetName val="Feuil3"/>
      <sheetName val="compt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521">
          <cell r="E2521">
            <v>60000</v>
          </cell>
        </row>
        <row r="2522">
          <cell r="F2522">
            <v>180000</v>
          </cell>
        </row>
        <row r="2523">
          <cell r="F2523">
            <v>120000</v>
          </cell>
        </row>
        <row r="2524">
          <cell r="F2524">
            <v>2700</v>
          </cell>
        </row>
        <row r="2525">
          <cell r="E2525">
            <v>25000</v>
          </cell>
        </row>
        <row r="2526">
          <cell r="F2526">
            <v>15000</v>
          </cell>
        </row>
        <row r="2527">
          <cell r="E2527">
            <v>30000</v>
          </cell>
        </row>
        <row r="2528">
          <cell r="F2528">
            <v>15000</v>
          </cell>
        </row>
        <row r="2529">
          <cell r="E2529">
            <v>210000</v>
          </cell>
        </row>
        <row r="2530">
          <cell r="F2530">
            <v>10000</v>
          </cell>
        </row>
        <row r="2531">
          <cell r="F2531">
            <v>60000</v>
          </cell>
        </row>
        <row r="2532">
          <cell r="F2532">
            <v>4500</v>
          </cell>
        </row>
        <row r="2533">
          <cell r="F2533">
            <v>125000</v>
          </cell>
        </row>
        <row r="2534">
          <cell r="F2534">
            <v>49900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MPTA_I23C"/>
      <sheetName val="Feuil2"/>
      <sheetName val="Feuil1"/>
      <sheetName val="COMPTA_I23C (2)"/>
      <sheetName val="Cumul transport"/>
      <sheetName val="ACHAT BOISSON"/>
      <sheetName val="Cumul transport (2)"/>
      <sheetName val="Cumul transport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171">
          <cell r="E4171">
            <v>90000</v>
          </cell>
        </row>
        <row r="4172">
          <cell r="E4172">
            <v>100000</v>
          </cell>
        </row>
        <row r="4174">
          <cell r="E4174">
            <v>100000</v>
          </cell>
        </row>
        <row r="4178">
          <cell r="E4178">
            <v>20000</v>
          </cell>
        </row>
        <row r="4180">
          <cell r="E4180">
            <v>150000</v>
          </cell>
        </row>
        <row r="4181">
          <cell r="E4181">
            <v>235000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1 (2)"/>
      <sheetName val="cumul transport local"/>
      <sheetName val="Feuil2"/>
      <sheetName val="Feuil3"/>
    </sheetNames>
    <sheetDataSet>
      <sheetData sheetId="0" refreshError="1"/>
      <sheetData sheetId="1" refreshError="1">
        <row r="2684">
          <cell r="E2684">
            <v>110000</v>
          </cell>
        </row>
        <row r="2689">
          <cell r="E2689">
            <v>40000</v>
          </cell>
        </row>
        <row r="2691">
          <cell r="E2691">
            <v>125000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 Jospin"/>
      <sheetName val="Feuil1"/>
      <sheetName val="Compta Jospin (2)"/>
      <sheetName val="Feuil4"/>
    </sheetNames>
    <sheetDataSet>
      <sheetData sheetId="0" refreshError="1"/>
      <sheetData sheetId="1" refreshError="1"/>
      <sheetData sheetId="2" refreshError="1">
        <row r="1583">
          <cell r="E1583">
            <v>15000</v>
          </cell>
        </row>
        <row r="1584">
          <cell r="E1584">
            <v>40000</v>
          </cell>
        </row>
        <row r="1587">
          <cell r="E1587">
            <v>41400</v>
          </cell>
        </row>
        <row r="1592">
          <cell r="F1592">
            <v>950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MPT-P29"/>
      <sheetName val="Feuil2"/>
      <sheetName val="Feuil1"/>
      <sheetName val="COMPT-P29 (2)"/>
      <sheetName val="cumul transport local"/>
      <sheetName val="Cumul achat bois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0">
          <cell r="E190">
            <v>40000</v>
          </cell>
        </row>
        <row r="191">
          <cell r="E191">
            <v>110000</v>
          </cell>
        </row>
        <row r="196">
          <cell r="E196">
            <v>116600</v>
          </cell>
        </row>
        <row r="201">
          <cell r="E201">
            <v>25000</v>
          </cell>
        </row>
        <row r="202">
          <cell r="E202">
            <v>150000</v>
          </cell>
        </row>
        <row r="204">
          <cell r="E204">
            <v>214000</v>
          </cell>
        </row>
        <row r="207">
          <cell r="E207">
            <v>100000</v>
          </cell>
        </row>
        <row r="215">
          <cell r="E215">
            <v>100000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ompta shely"/>
      <sheetName val="Feuil3"/>
    </sheetNames>
    <sheetDataSet>
      <sheetData sheetId="0" refreshError="1"/>
      <sheetData sheetId="1" refreshError="1">
        <row r="90">
          <cell r="E90">
            <v>10000</v>
          </cell>
        </row>
        <row r="97">
          <cell r="E97">
            <v>5000</v>
          </cell>
        </row>
        <row r="100">
          <cell r="E100">
            <v>10000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J2018-3" refreshedDate="45093.660778819445" createdVersion="3" refreshedVersion="3" minRefreshableVersion="3" recordCount="295">
  <cacheSource type="worksheet">
    <worksheetSource ref="A12:O307" sheet="DATA MAI 2023"/>
  </cacheSource>
  <cacheFields count="15">
    <cacheField name="Date" numFmtId="0">
      <sharedItems containsNonDate="0" containsDate="1" containsString="0" containsBlank="1" minDate="2023-05-01T00:00:00" maxDate="2023-06-01T00:00:00"/>
    </cacheField>
    <cacheField name="Details" numFmtId="0">
      <sharedItems containsBlank="1"/>
    </cacheField>
    <cacheField name="Type de dépenses" numFmtId="0">
      <sharedItems containsBlank="1"/>
    </cacheField>
    <cacheField name="Departement" numFmtId="0">
      <sharedItems containsBlank="1"/>
    </cacheField>
    <cacheField name="Received" numFmtId="0">
      <sharedItems containsString="0" containsBlank="1" containsNumber="1" containsInteger="1" minValue="3000" maxValue="2000000"/>
    </cacheField>
    <cacheField name="Spent" numFmtId="0">
      <sharedItems containsString="0" containsBlank="1" containsNumber="1" containsInteger="1" minValue="250" maxValue="2000000"/>
    </cacheField>
    <cacheField name="Balance" numFmtId="166">
      <sharedItems containsString="0" containsBlank="1" containsNumber="1" containsInteger="1" minValue="17036968" maxValue="27242867"/>
    </cacheField>
    <cacheField name="Name" numFmtId="0">
      <sharedItems containsBlank="1"/>
    </cacheField>
    <cacheField name="Receipt" numFmtId="0">
      <sharedItems containsBlank="1" containsMixedTypes="1" containsNumber="1" containsInteger="1" minValue="3654547" maxValue="3667346"/>
    </cacheField>
    <cacheField name="Donor" numFmtId="0">
      <sharedItems containsBlank="1" count="5">
        <m/>
        <s v="UE"/>
        <s v="Wildcat"/>
        <s v="OAT" u="1"/>
        <s v="Widcat" u="1"/>
      </sharedItems>
    </cacheField>
    <cacheField name="Project" numFmtId="0">
      <sharedItems containsBlank="1" count="3">
        <m/>
        <s v="RALFF"/>
        <s v="PALF"/>
      </sharedItems>
    </cacheField>
    <cacheField name="Country" numFmtId="0">
      <sharedItems containsBlank="1"/>
    </cacheField>
    <cacheField name="N°Pièce" numFmtId="0">
      <sharedItems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J2018-3" refreshedDate="45093.660779745369" createdVersion="3" refreshedVersion="3" minRefreshableVersion="3" recordCount="253">
  <cacheSource type="worksheet">
    <worksheetSource ref="A12:O265" sheet="DATA MAI 2023"/>
  </cacheSource>
  <cacheFields count="15">
    <cacheField name="Date" numFmtId="0">
      <sharedItems containsSemiMixedTypes="0" containsNonDate="0" containsDate="1" containsString="0" minDate="2023-05-01T00:00:00" maxDate="2023-06-01T00:00:00"/>
    </cacheField>
    <cacheField name="Details" numFmtId="0">
      <sharedItems/>
    </cacheField>
    <cacheField name="Type de dépenses" numFmtId="0">
      <sharedItems containsBlank="1" count="17">
        <m/>
        <s v="Office Materials"/>
        <s v="Versement"/>
        <s v="Telephone"/>
        <s v="Bonus"/>
        <s v="bank fees"/>
        <s v="Transport"/>
        <s v="Transfer fees"/>
        <s v="Travel Subsistence"/>
        <s v="Personnel"/>
        <s v="Jail Visits"/>
        <s v="Rent &amp; Utilities"/>
        <s v="Travel Expenses"/>
        <s v="Trust Building"/>
        <s v="Lawyer fees"/>
        <s v="Services"/>
        <s v="Internet"/>
      </sharedItems>
    </cacheField>
    <cacheField name="Departement" numFmtId="0">
      <sharedItems containsBlank="1"/>
    </cacheField>
    <cacheField name="Received" numFmtId="0">
      <sharedItems containsString="0" containsBlank="1" containsNumber="1" containsInteger="1" minValue="3000" maxValue="2000000"/>
    </cacheField>
    <cacheField name="Spent" numFmtId="0">
      <sharedItems containsString="0" containsBlank="1" containsNumber="1" containsInteger="1" minValue="250" maxValue="2000000"/>
    </cacheField>
    <cacheField name="Balance" numFmtId="166">
      <sharedItems containsSemiMixedTypes="0" containsString="0" containsNumber="1" containsInteger="1" minValue="17036968" maxValue="27242867"/>
    </cacheField>
    <cacheField name="Name" numFmtId="0">
      <sharedItems containsBlank="1" count="15">
        <m/>
        <s v="Caisse"/>
        <s v="BCI"/>
        <s v="BCI-Sous Compte"/>
        <s v="D58"/>
        <s v="T73"/>
        <s v="Crépin"/>
        <s v="P29"/>
        <s v="Hurielle"/>
        <s v="Donald"/>
        <s v="Oracle"/>
        <s v="Grace"/>
        <s v="Merveille"/>
        <s v="Evariste"/>
        <s v="Tiffany"/>
      </sharedItems>
    </cacheField>
    <cacheField name="Receipt" numFmtId="0">
      <sharedItems containsBlank="1" containsMixedTypes="1" containsNumber="1" containsInteger="1" minValue="3654547" maxValue="3667346"/>
    </cacheField>
    <cacheField name="Donor" numFmtId="0">
      <sharedItems containsBlank="1" count="3">
        <m/>
        <s v="UE"/>
        <s v="Wildcat"/>
      </sharedItems>
    </cacheField>
    <cacheField name="Project" numFmtId="0">
      <sharedItems containsBlank="1"/>
    </cacheField>
    <cacheField name="Country" numFmtId="0">
      <sharedItems containsBlank="1"/>
    </cacheField>
    <cacheField name="N°Pièce" numFmtId="0">
      <sharedItems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5">
  <r>
    <d v="2023-05-01T00:00:00"/>
    <s v="Solde au 01/05/2023"/>
    <m/>
    <m/>
    <m/>
    <m/>
    <n v="27242867"/>
    <m/>
    <m/>
    <x v="0"/>
    <x v="0"/>
    <m/>
    <m/>
    <m/>
    <m/>
  </r>
  <r>
    <d v="2023-05-02T00:00:00"/>
    <s v="Achat ampoule pour bureau/PALF"/>
    <s v="Office Materials"/>
    <s v="Office"/>
    <m/>
    <n v="16000"/>
    <n v="27226867"/>
    <s v="Caisse"/>
    <s v="Oui"/>
    <x v="1"/>
    <x v="1"/>
    <s v="CONGO"/>
    <s v="RALFF-CO4498"/>
    <s v="4.3"/>
    <m/>
  </r>
  <r>
    <d v="2023-05-02T00:00:00"/>
    <s v="Crépin"/>
    <s v="Versement"/>
    <m/>
    <m/>
    <n v="140000"/>
    <n v="27086867"/>
    <s v="Caisse"/>
    <m/>
    <x v="0"/>
    <x v="0"/>
    <m/>
    <m/>
    <m/>
    <m/>
  </r>
  <r>
    <d v="2023-05-02T00:00:00"/>
    <s v="T73"/>
    <s v="Versement"/>
    <m/>
    <m/>
    <n v="10000"/>
    <n v="27076867"/>
    <s v="Caisse"/>
    <m/>
    <x v="0"/>
    <x v="0"/>
    <m/>
    <m/>
    <m/>
    <m/>
  </r>
  <r>
    <d v="2023-05-02T00:00:00"/>
    <s v="D58"/>
    <s v="Versement"/>
    <m/>
    <m/>
    <n v="20000"/>
    <n v="27056867"/>
    <s v="Caisse"/>
    <m/>
    <x v="0"/>
    <x v="0"/>
    <m/>
    <m/>
    <m/>
    <m/>
  </r>
  <r>
    <d v="2023-05-02T00:00:00"/>
    <s v="P29"/>
    <s v="Versement"/>
    <m/>
    <m/>
    <n v="100000"/>
    <n v="26956867"/>
    <s v="Caisse"/>
    <m/>
    <x v="0"/>
    <x v="0"/>
    <m/>
    <m/>
    <m/>
    <m/>
  </r>
  <r>
    <d v="2023-05-02T00:00:00"/>
    <s v="Achat credit  teléphonique MTN/PALF/Prémière partie Mai 2023/Management"/>
    <s v="Telephone"/>
    <s v="Management"/>
    <m/>
    <n v="38000"/>
    <n v="26918867"/>
    <s v="Caisse"/>
    <s v="Oui"/>
    <x v="2"/>
    <x v="1"/>
    <s v="CONGO"/>
    <s v="RALFF-CO4499"/>
    <s v="4.6"/>
    <m/>
  </r>
  <r>
    <d v="2023-05-02T00:00:00"/>
    <s v="Achat credit  teléphonique MTN/PALF/Prémière partie Mai 2023/Legal"/>
    <s v="Telephone"/>
    <s v="Legal"/>
    <m/>
    <n v="53000"/>
    <n v="26865867"/>
    <s v="Caisse"/>
    <s v="Oui"/>
    <x v="2"/>
    <x v="1"/>
    <s v="CONGO"/>
    <s v="RALFF-CO4500"/>
    <s v="4.6"/>
    <m/>
  </r>
  <r>
    <d v="2023-05-02T00:00:00"/>
    <s v="Achat credit  teléphonique MTN/PALF/Prémière partie Mai 2023/Investigation"/>
    <s v="Telephone"/>
    <s v="Investigation"/>
    <m/>
    <n v="52000"/>
    <n v="26813867"/>
    <s v="Caisse"/>
    <s v="Oui"/>
    <x v="2"/>
    <x v="1"/>
    <s v="CONGO"/>
    <s v="RALFF-CO4501"/>
    <s v="4.6"/>
    <m/>
  </r>
  <r>
    <d v="2023-05-02T00:00:00"/>
    <s v="Achat credit  teléphonique MTN/PALF/Prémière partie Mai 2023/Media"/>
    <s v="Telephone"/>
    <s v="Media"/>
    <m/>
    <n v="5000"/>
    <n v="26808867"/>
    <s v="Caisse"/>
    <s v="Oui"/>
    <x v="2"/>
    <x v="1"/>
    <s v="CONGO"/>
    <s v="RALFF-CO4502"/>
    <s v="4.6"/>
    <m/>
  </r>
  <r>
    <d v="2023-05-02T00:00:00"/>
    <s v="Achat credit  teléphonique Airtel/PALF/Prémière partie Mai 2023/Management"/>
    <s v="Telephone"/>
    <s v="Management"/>
    <m/>
    <n v="15000"/>
    <n v="26793867"/>
    <s v="Caisse"/>
    <s v="Oui"/>
    <x v="2"/>
    <x v="1"/>
    <s v="CONGO"/>
    <s v="RALFF-CO4503"/>
    <s v="4.6"/>
    <m/>
  </r>
  <r>
    <d v="2023-05-02T00:00:00"/>
    <s v="Achat credit  teléphonique Airtel/PALF/Prémière partie Mai 2023/Legal"/>
    <s v="Telephone"/>
    <s v="Legal"/>
    <m/>
    <n v="10000"/>
    <n v="26783867"/>
    <s v="Caisse"/>
    <s v="Oui"/>
    <x v="2"/>
    <x v="1"/>
    <s v="CONGO"/>
    <s v="RALFF-CO4504"/>
    <s v="4.6"/>
    <m/>
  </r>
  <r>
    <d v="2023-05-02T00:00:00"/>
    <s v="Achat credit  teléphonique Airtel/PALF/Prémière partie Mai 2023/Investigation"/>
    <s v="Telephone"/>
    <s v="Investigation"/>
    <m/>
    <n v="16000"/>
    <n v="26767867"/>
    <s v="Caisse"/>
    <s v="Oui"/>
    <x v="2"/>
    <x v="1"/>
    <s v="CONGO"/>
    <s v="RALFF-CO4505"/>
    <s v="4.6"/>
    <m/>
  </r>
  <r>
    <d v="2023-05-02T00:00:00"/>
    <s v="Achat credit  teléphonique Airtel/PALF/Prémière partie MaI 2023/Media"/>
    <s v="Telephone"/>
    <s v="Media"/>
    <m/>
    <n v="11000"/>
    <n v="26756867"/>
    <s v="Caisse"/>
    <s v="Oui"/>
    <x v="2"/>
    <x v="1"/>
    <s v="CONGO"/>
    <s v="RALFF-CO4506"/>
    <s v="4.6"/>
    <m/>
  </r>
  <r>
    <d v="2023-05-02T00:00:00"/>
    <s v="Bonus media portant sur la formation CARE des agents PALF"/>
    <s v="Bonus"/>
    <s v="Media"/>
    <m/>
    <n v="42000"/>
    <n v="26714867"/>
    <s v="Caisse"/>
    <s v="Oui"/>
    <x v="2"/>
    <x v="2"/>
    <s v="CONGO"/>
    <m/>
    <m/>
    <m/>
  </r>
  <r>
    <d v="2023-05-02T00:00:00"/>
    <s v="Frais bancaire/Compte 34"/>
    <s v="bank fees"/>
    <s v="Office"/>
    <m/>
    <n v="23345"/>
    <n v="26691522"/>
    <s v="BCI"/>
    <s v="Relevé"/>
    <x v="2"/>
    <x v="2"/>
    <s v="CONGO"/>
    <m/>
    <m/>
    <m/>
  </r>
  <r>
    <d v="2023-05-02T00:00:00"/>
    <s v="Frais bancaire/Compte 56"/>
    <s v="bank fees"/>
    <s v="Office"/>
    <m/>
    <n v="15836"/>
    <n v="26675686"/>
    <s v="BCI-Sous Compte"/>
    <s v="Relevé"/>
    <x v="1"/>
    <x v="1"/>
    <s v="CONGO"/>
    <s v="RALFF-CO4507"/>
    <s v="5.6"/>
    <m/>
  </r>
  <r>
    <d v="2023-05-02T00:00:00"/>
    <s v="Recu caisse/D58"/>
    <s v="Versement"/>
    <m/>
    <n v="20000"/>
    <m/>
    <n v="26695686"/>
    <s v="D58"/>
    <m/>
    <x v="0"/>
    <x v="0"/>
    <m/>
    <m/>
    <m/>
    <m/>
  </r>
  <r>
    <d v="2023-05-02T00:00:00"/>
    <s v="Reçu caisse/T73 "/>
    <s v="Versement"/>
    <m/>
    <n v="10000"/>
    <m/>
    <n v="26705686"/>
    <s v="T73"/>
    <m/>
    <x v="0"/>
    <x v="0"/>
    <m/>
    <m/>
    <m/>
    <m/>
  </r>
  <r>
    <d v="2023-05-02T00:00:00"/>
    <s v="Reçu de caisse/Crépin"/>
    <s v="Versement"/>
    <m/>
    <n v="140000"/>
    <m/>
    <n v="26845686"/>
    <s v="Crépin"/>
    <m/>
    <x v="0"/>
    <x v="0"/>
    <m/>
    <m/>
    <m/>
    <m/>
  </r>
  <r>
    <d v="2023-05-03T00:00:00"/>
    <s v="Achat 02 Cartouches d'encre imprimante RICOH et un paquet de chemise cartonnée"/>
    <s v="Office Materials"/>
    <s v="Office"/>
    <m/>
    <n v="165000"/>
    <n v="26680686"/>
    <s v="Caisse"/>
    <s v="Oui"/>
    <x v="1"/>
    <x v="1"/>
    <s v="CONGO"/>
    <s v="RALFF-CO4508"/>
    <s v="4.3"/>
    <m/>
  </r>
  <r>
    <d v="2023-05-03T00:00:00"/>
    <s v="Hurielle"/>
    <s v="Versement"/>
    <m/>
    <m/>
    <n v="3000"/>
    <n v="26677686"/>
    <s v="Caisse"/>
    <m/>
    <x v="0"/>
    <x v="0"/>
    <m/>
    <m/>
    <m/>
    <m/>
  </r>
  <r>
    <d v="2023-05-03T00:00:00"/>
    <s v="Reçu de caisse/P29"/>
    <s v="Versement"/>
    <m/>
    <n v="100000"/>
    <m/>
    <n v="26777686"/>
    <s v="P29"/>
    <m/>
    <x v="0"/>
    <x v="0"/>
    <m/>
    <m/>
    <m/>
    <m/>
  </r>
  <r>
    <d v="2023-05-03T00:00:00"/>
    <s v="Recu caisse/Hurielle"/>
    <s v="Versement"/>
    <m/>
    <n v="3000"/>
    <m/>
    <n v="26780686"/>
    <s v="Hurielle"/>
    <m/>
    <x v="0"/>
    <x v="0"/>
    <m/>
    <m/>
    <m/>
    <m/>
  </r>
  <r>
    <d v="2023-05-08T00:00:00"/>
    <s v="Crépin"/>
    <s v="Versement"/>
    <m/>
    <m/>
    <n v="30000"/>
    <n v="26750686"/>
    <s v="Caisse"/>
    <m/>
    <x v="0"/>
    <x v="0"/>
    <m/>
    <m/>
    <m/>
    <m/>
  </r>
  <r>
    <d v="2023-05-08T00:00:00"/>
    <s v="Reçu de caisse/Crépin"/>
    <s v="Versement"/>
    <m/>
    <n v="30000"/>
    <m/>
    <n v="26780686"/>
    <s v="Crépin"/>
    <m/>
    <x v="0"/>
    <x v="0"/>
    <m/>
    <m/>
    <m/>
    <m/>
  </r>
  <r>
    <d v="2023-05-08T00:00:00"/>
    <s v="Billet: Brazzaville-Pointe-Noire/Crépin"/>
    <s v="Transport"/>
    <s v="Management"/>
    <m/>
    <n v="15000"/>
    <n v="26765686"/>
    <s v="Crépin"/>
    <s v="Oui"/>
    <x v="2"/>
    <x v="1"/>
    <s v="CONGO"/>
    <s v="RALFF-CO4509"/>
    <s v="2.2"/>
    <m/>
  </r>
  <r>
    <d v="2023-05-09T00:00:00"/>
    <s v="Crépin"/>
    <s v="Versement"/>
    <m/>
    <m/>
    <n v="120000"/>
    <n v="26645686"/>
    <s v="Caisse"/>
    <m/>
    <x v="0"/>
    <x v="0"/>
    <m/>
    <m/>
    <m/>
    <m/>
  </r>
  <r>
    <d v="2023-05-09T00:00:00"/>
    <s v="Frais de transfert charden farell à Crépin"/>
    <s v="Transfer fees"/>
    <s v="Office"/>
    <m/>
    <n v="3600"/>
    <n v="26642086"/>
    <s v="Caisse"/>
    <s v="Oui"/>
    <x v="2"/>
    <x v="1"/>
    <s v="CONGO"/>
    <s v="RALFF-CO4510"/>
    <s v="5.6"/>
    <m/>
  </r>
  <r>
    <d v="2023-05-09T00:00:00"/>
    <s v="D58"/>
    <s v="Versement"/>
    <m/>
    <m/>
    <n v="83000"/>
    <n v="26559086"/>
    <s v="Caisse"/>
    <m/>
    <x v="0"/>
    <x v="0"/>
    <m/>
    <m/>
    <m/>
    <m/>
  </r>
  <r>
    <d v="2023-05-09T00:00:00"/>
    <s v="T73"/>
    <s v="Versement"/>
    <m/>
    <m/>
    <n v="91500"/>
    <n v="26467586"/>
    <s v="Caisse"/>
    <m/>
    <x v="0"/>
    <x v="0"/>
    <m/>
    <m/>
    <m/>
    <m/>
  </r>
  <r>
    <d v="2023-05-09T00:00:00"/>
    <s v="P29"/>
    <s v="Versement"/>
    <m/>
    <m/>
    <n v="80000"/>
    <n v="26387586"/>
    <s v="Caisse"/>
    <m/>
    <x v="0"/>
    <x v="0"/>
    <m/>
    <m/>
    <m/>
    <m/>
  </r>
  <r>
    <d v="2023-05-09T00:00:00"/>
    <s v="Recu caisse/D58"/>
    <s v="Versement"/>
    <m/>
    <n v="83000"/>
    <m/>
    <n v="26470586"/>
    <s v="D58"/>
    <m/>
    <x v="0"/>
    <x v="0"/>
    <m/>
    <m/>
    <m/>
    <m/>
  </r>
  <r>
    <d v="2023-05-09T00:00:00"/>
    <s v="Achat billet  Brazzaville - Pointe Noire  /D58"/>
    <s v="Transport"/>
    <s v="Investigation"/>
    <m/>
    <n v="15000"/>
    <n v="26455586"/>
    <s v="D58"/>
    <s v="Oui"/>
    <x v="2"/>
    <x v="1"/>
    <s v="CONGO"/>
    <s v="RALFF-CO4511"/>
    <s v="2.2"/>
    <m/>
  </r>
  <r>
    <d v="2023-05-09T00:00:00"/>
    <s v="Reçu caisse/T73 "/>
    <s v="Versement"/>
    <m/>
    <n v="91500"/>
    <m/>
    <n v="26547086"/>
    <s v="T73"/>
    <m/>
    <x v="0"/>
    <x v="0"/>
    <m/>
    <m/>
    <m/>
    <m/>
  </r>
  <r>
    <d v="2023-05-09T00:00:00"/>
    <s v="Recu de caisse/P29"/>
    <s v="Versement"/>
    <m/>
    <n v="80000"/>
    <m/>
    <n v="26627086"/>
    <s v="P29"/>
    <m/>
    <x v="0"/>
    <x v="0"/>
    <m/>
    <m/>
    <m/>
    <m/>
  </r>
  <r>
    <d v="2023-05-09T00:00:00"/>
    <s v="CREPIN - CONGO Food-Allowance du 09 au 13/05/2023 à Pointe-Noire (04 nuitées)"/>
    <s v="Travel Subsistence"/>
    <s v="Management"/>
    <m/>
    <n v="40000"/>
    <n v="26587086"/>
    <s v="Crépin"/>
    <s v="Décharge"/>
    <x v="1"/>
    <x v="1"/>
    <s v="CONGO"/>
    <s v="RALFF-CO4512"/>
    <s v="1.3.2"/>
    <m/>
  </r>
  <r>
    <d v="2023-05-09T00:00:00"/>
    <s v="Reçu de caisse/Crépin"/>
    <s v="Versement"/>
    <m/>
    <n v="120000"/>
    <m/>
    <n v="26707086"/>
    <s v="Crépin"/>
    <m/>
    <x v="0"/>
    <x v="0"/>
    <m/>
    <m/>
    <m/>
    <m/>
  </r>
  <r>
    <d v="2023-05-09T00:00:00"/>
    <s v="Achat billet,brazzaville-Oyo/P29"/>
    <s v="Transport"/>
    <s v="Investigation"/>
    <m/>
    <n v="5000"/>
    <n v="26702086"/>
    <s v="P29"/>
    <s v="Oui"/>
    <x v="2"/>
    <x v="1"/>
    <s v="CONGO"/>
    <s v="RALFF-CO4513"/>
    <s v="2.2"/>
    <m/>
  </r>
  <r>
    <d v="2023-05-10T00:00:00"/>
    <s v="Achat produits d'entretien bureau/Javel,sucre,papier toilette,café,lait,nescafé,lipton et sac poubelle"/>
    <s v="Office Materials"/>
    <s v="Office"/>
    <m/>
    <n v="52600"/>
    <n v="26649486"/>
    <s v="Caisse"/>
    <s v="Oui"/>
    <x v="1"/>
    <x v="1"/>
    <s v="CONGO"/>
    <s v="RALFF-CO4514"/>
    <s v="4.3"/>
    <m/>
  </r>
  <r>
    <d v="2023-05-10T00:00:00"/>
    <s v="Bonus media portant sur la formation CARE des agents PALF"/>
    <s v="Bonus"/>
    <s v="Media"/>
    <m/>
    <n v="16000"/>
    <n v="26633486"/>
    <s v="Caisse"/>
    <s v="Décharge"/>
    <x v="2"/>
    <x v="2"/>
    <s v="CONGO"/>
    <m/>
    <m/>
    <m/>
  </r>
  <r>
    <d v="2023-05-10T00:00:00"/>
    <s v="Achat eau Minerale (4 Bobonnes)/PALF"/>
    <s v="Office Materials"/>
    <s v="Office"/>
    <m/>
    <n v="18000"/>
    <n v="26615486"/>
    <s v="Caisse"/>
    <s v="Oui"/>
    <x v="1"/>
    <x v="1"/>
    <s v="CONGO"/>
    <s v="RALFF-CO4515"/>
    <s v="4.3"/>
    <m/>
  </r>
  <r>
    <d v="2023-05-10T00:00:00"/>
    <s v="D58 - CONGO Food Alloance du 10 au 15/05/2023 (05 nuitées)"/>
    <s v="Travel Subsistence"/>
    <s v="Investigation"/>
    <m/>
    <n v="50000"/>
    <n v="26565486"/>
    <s v="D58"/>
    <s v="Décharge"/>
    <x v="1"/>
    <x v="1"/>
    <s v="CONGO"/>
    <s v="RALFF-CO4516"/>
    <s v="1.3.2"/>
    <m/>
  </r>
  <r>
    <d v="2023-05-10T00:00:00"/>
    <s v="achat billet ( brazzaville  - pointe noire)/T73"/>
    <s v="Transport"/>
    <s v="Investigation"/>
    <m/>
    <n v="15000"/>
    <n v="26550486"/>
    <s v="T73"/>
    <s v="Oui"/>
    <x v="2"/>
    <x v="1"/>
    <s v="CONGO"/>
    <s v="RALFF-CO4517"/>
    <s v="2.2"/>
    <m/>
  </r>
  <r>
    <d v="2023-05-10T00:00:00"/>
    <s v="T73 - CONGO Food Allowance du 10 au 27/05/2023 (17 nuitées)"/>
    <s v="Travel Subsistence"/>
    <s v="Investigation"/>
    <m/>
    <n v="170000"/>
    <n v="26380486"/>
    <s v="T73"/>
    <s v="Oui"/>
    <x v="1"/>
    <x v="1"/>
    <s v="CONGO"/>
    <s v="RALFF-CO4518"/>
    <s v="1.3.2"/>
    <m/>
  </r>
  <r>
    <d v="2023-05-10T00:00:00"/>
    <s v="P29 - CONGO Food allowance mission du 10 au 15/05/2023 (05 nuitées) "/>
    <s v="Travel Subsistence"/>
    <s v="Investigation"/>
    <m/>
    <n v="50000"/>
    <n v="26330486"/>
    <s v="P29"/>
    <s v="Décharge"/>
    <x v="1"/>
    <x v="1"/>
    <s v="CONGO"/>
    <s v="RALFF-CO4519"/>
    <s v="1.3.2"/>
    <m/>
  </r>
  <r>
    <d v="2023-05-12T00:00:00"/>
    <s v="D58"/>
    <s v="Versement"/>
    <m/>
    <m/>
    <n v="100000"/>
    <n v="26230486"/>
    <s v="Caisse"/>
    <m/>
    <x v="0"/>
    <x v="0"/>
    <m/>
    <m/>
    <m/>
    <m/>
  </r>
  <r>
    <d v="2023-05-12T00:00:00"/>
    <s v="T73"/>
    <s v="Versement"/>
    <m/>
    <m/>
    <n v="100000"/>
    <n v="26130486"/>
    <s v="Caisse"/>
    <m/>
    <x v="0"/>
    <x v="0"/>
    <m/>
    <m/>
    <m/>
    <m/>
  </r>
  <r>
    <d v="2023-05-12T00:00:00"/>
    <s v="P29"/>
    <s v="Versement"/>
    <m/>
    <m/>
    <n v="100000"/>
    <n v="26030486"/>
    <s v="Caisse"/>
    <m/>
    <x v="0"/>
    <x v="0"/>
    <m/>
    <m/>
    <m/>
    <m/>
  </r>
  <r>
    <d v="2023-05-12T00:00:00"/>
    <s v="Frais de transfert charden farell à D58/P29/T73"/>
    <s v="Transfer fees"/>
    <s v="Office"/>
    <m/>
    <n v="9000"/>
    <n v="26021486"/>
    <s v="Caisse"/>
    <s v="Oui"/>
    <x v="2"/>
    <x v="1"/>
    <s v="CONGO"/>
    <s v="RALFF-CO4520"/>
    <s v="5.6"/>
    <m/>
  </r>
  <r>
    <d v="2023-05-12T00:00:00"/>
    <s v="Donald-Roméo"/>
    <s v="Versement"/>
    <m/>
    <m/>
    <n v="144000"/>
    <n v="25877486"/>
    <s v="Caisse"/>
    <m/>
    <x v="0"/>
    <x v="0"/>
    <m/>
    <m/>
    <m/>
    <m/>
  </r>
  <r>
    <d v="2023-05-12T00:00:00"/>
    <s v="Remboursement frais de loyer mois de MaI 2023 /Appartement Tiffany GOBERT"/>
    <s v="Personnel"/>
    <s v="Management"/>
    <m/>
    <n v="237623"/>
    <n v="25639863"/>
    <s v="Caisse"/>
    <s v="Oui"/>
    <x v="2"/>
    <x v="2"/>
    <s v="CONGO"/>
    <m/>
    <m/>
    <m/>
  </r>
  <r>
    <d v="2023-05-12T00:00:00"/>
    <s v="Recu caisse/D58"/>
    <s v="Versement"/>
    <m/>
    <n v="100000"/>
    <m/>
    <n v="25739863"/>
    <s v="D58"/>
    <m/>
    <x v="0"/>
    <x v="0"/>
    <m/>
    <m/>
    <m/>
    <m/>
  </r>
  <r>
    <d v="2023-05-12T00:00:00"/>
    <s v="Reçu caisse/T73 "/>
    <s v="Versement"/>
    <m/>
    <n v="100000"/>
    <m/>
    <n v="25839863"/>
    <s v="T73"/>
    <m/>
    <x v="0"/>
    <x v="0"/>
    <m/>
    <m/>
    <m/>
    <m/>
  </r>
  <r>
    <d v="2023-05-12T00:00:00"/>
    <s v="Reçu de caisse/P29"/>
    <s v="Versement"/>
    <m/>
    <n v="100000"/>
    <m/>
    <n v="25939863"/>
    <s v="P29"/>
    <m/>
    <x v="0"/>
    <x v="0"/>
    <m/>
    <m/>
    <m/>
    <m/>
  </r>
  <r>
    <d v="2023-05-12T00:00:00"/>
    <s v="Reçu caisse/Donald"/>
    <s v="Versement"/>
    <m/>
    <n v="144000"/>
    <m/>
    <n v="26083863"/>
    <s v="Donald"/>
    <m/>
    <x v="0"/>
    <x v="0"/>
    <m/>
    <m/>
    <m/>
    <m/>
  </r>
  <r>
    <d v="2023-05-12T00:00:00"/>
    <s v="Achat billet Brazzaville-Dolisie/Donald"/>
    <s v="Transport"/>
    <s v="Legal"/>
    <m/>
    <n v="10000"/>
    <n v="26073863"/>
    <s v="Donald"/>
    <s v="Oui"/>
    <x v="2"/>
    <x v="1"/>
    <s v="CONGO"/>
    <s v="RALFF-CO4521"/>
    <s v="2.2"/>
    <m/>
  </r>
  <r>
    <d v="2023-05-13T00:00:00"/>
    <s v="D58 - CONGO Frais d'hotel du 10 au 13/05/2023 à Pointe Noire (03 nuitées)"/>
    <s v="Travel Subsistence"/>
    <s v="Investigation"/>
    <m/>
    <n v="45000"/>
    <n v="26028863"/>
    <s v="D58"/>
    <s v="Oui"/>
    <x v="1"/>
    <x v="1"/>
    <s v="CONGO"/>
    <s v="RALFF-CO4522"/>
    <s v="1.3.2"/>
    <m/>
  </r>
  <r>
    <d v="2023-05-13T00:00:00"/>
    <s v="Achat billet  Pointe Noire - Dolisie  /D58"/>
    <s v="Transport"/>
    <s v="Investigation"/>
    <m/>
    <n v="5000"/>
    <n v="26023863"/>
    <s v="D58"/>
    <s v="Oui"/>
    <x v="2"/>
    <x v="1"/>
    <s v="CONGO"/>
    <s v="RALFF-CO4523"/>
    <s v="2.2"/>
    <m/>
  </r>
  <r>
    <d v="2023-05-13T00:00:00"/>
    <s v="T73 - CONGO Frais d'Hotel du 10 au 13/05/2023 (03 nuitées) à Pointe-Noire"/>
    <s v="Travel Subsistence"/>
    <s v="Investigation"/>
    <m/>
    <n v="45000"/>
    <n v="25978863"/>
    <s v="T73"/>
    <s v="Oui"/>
    <x v="1"/>
    <x v="1"/>
    <s v="CONGO"/>
    <s v="RALFF-CO4524"/>
    <s v="1.3.2"/>
    <m/>
  </r>
  <r>
    <d v="2023-05-13T00:00:00"/>
    <s v="achat billet ( pointe noire - loudima)/T73"/>
    <s v="Transport"/>
    <s v="Investigation"/>
    <m/>
    <n v="7000"/>
    <n v="25971863"/>
    <s v="T73"/>
    <s v="Oui"/>
    <x v="2"/>
    <x v="1"/>
    <s v="CONGO"/>
    <s v="RALFF-CO4525"/>
    <s v="2.2"/>
    <m/>
  </r>
  <r>
    <d v="2023-05-13T00:00:00"/>
    <s v="achat billet ( loudima - sibiti )/T73"/>
    <s v="Transport"/>
    <s v="Investigation"/>
    <m/>
    <n v="3500"/>
    <n v="25968363"/>
    <s v="T73"/>
    <s v="Oui"/>
    <x v="2"/>
    <x v="1"/>
    <s v="CONGO"/>
    <s v="RALFF-CO4526"/>
    <s v="2.2"/>
    <m/>
  </r>
  <r>
    <d v="2023-05-13T00:00:00"/>
    <s v="P29 - CONGO Frais d'hotel du 10  au 13/05/2023 (03 nuitées) à oyo"/>
    <s v="Travel Subsistence"/>
    <s v="Investigation"/>
    <m/>
    <n v="45000"/>
    <n v="25923363"/>
    <s v="P29"/>
    <s v="Oui"/>
    <x v="1"/>
    <x v="1"/>
    <s v="CONGO"/>
    <s v="RALFF-CO4527"/>
    <s v="1.3.2"/>
    <m/>
  </r>
  <r>
    <d v="2023-05-13T00:00:00"/>
    <s v="Achat billet ,oyo-owando/P29"/>
    <s v="Transport"/>
    <s v="Investigation"/>
    <m/>
    <n v="4000"/>
    <n v="25919363"/>
    <s v="P29"/>
    <s v="Oui"/>
    <x v="2"/>
    <x v="1"/>
    <s v="CONGO"/>
    <s v="RALFF-CO4528"/>
    <s v="2.2"/>
    <m/>
  </r>
  <r>
    <d v="2023-05-13T00:00:00"/>
    <s v="Donald-CONGO Food Allowance Mission (04 nuitées) du 13 au 17/05/2023"/>
    <s v="Travel Subsistence"/>
    <s v="Legal"/>
    <m/>
    <n v="40000"/>
    <n v="25879363"/>
    <s v="Donald"/>
    <s v="Oui"/>
    <x v="1"/>
    <x v="1"/>
    <s v="CONGO"/>
    <s v="RALFF-CO4529"/>
    <s v="1.3.2"/>
    <m/>
  </r>
  <r>
    <d v="2023-05-13T00:00:00"/>
    <s v="CREPIN - CONGO Frais d'hotel du 09 au 13/05/2023 à Pointe-Noire (04 nuitées)"/>
    <s v="Travel Subsistence"/>
    <s v="Management"/>
    <m/>
    <n v="60000"/>
    <n v="25819363"/>
    <s v="Crépin"/>
    <s v="Oui"/>
    <x v="1"/>
    <x v="1"/>
    <s v="CONGO"/>
    <s v="RALFF-CO4530"/>
    <s v="1.3.2"/>
    <m/>
  </r>
  <r>
    <d v="2023-05-13T00:00:00"/>
    <s v="Billet: Pointe-Noire Brazzaville/Crépin"/>
    <s v="Transport"/>
    <s v="Management"/>
    <m/>
    <n v="15000"/>
    <n v="25804363"/>
    <s v="Crépin"/>
    <s v="Oui"/>
    <x v="2"/>
    <x v="1"/>
    <s v="CONGO"/>
    <s v="RALFF-CO4531"/>
    <s v="2.2"/>
    <m/>
  </r>
  <r>
    <d v="2023-05-15T00:00:00"/>
    <s v="T73"/>
    <s v="Versement"/>
    <m/>
    <m/>
    <n v="65000"/>
    <n v="25734363"/>
    <s v="Caisse"/>
    <m/>
    <x v="0"/>
    <x v="0"/>
    <m/>
    <m/>
    <m/>
    <m/>
  </r>
  <r>
    <d v="2023-05-15T00:00:00"/>
    <s v="Donald-Roméo"/>
    <s v="Versement"/>
    <m/>
    <m/>
    <n v="126000"/>
    <n v="25608363"/>
    <s v="Caisse"/>
    <m/>
    <x v="0"/>
    <x v="0"/>
    <m/>
    <m/>
    <m/>
    <m/>
  </r>
  <r>
    <d v="2023-05-15T00:00:00"/>
    <s v="Frais de transfert charden farell à Donald et P29"/>
    <s v="Transfer fees"/>
    <s v="Office"/>
    <m/>
    <n v="5730"/>
    <n v="25602633"/>
    <s v="Caisse"/>
    <s v="Oui"/>
    <x v="2"/>
    <x v="1"/>
    <s v="CONGO"/>
    <s v="RALFF-CO4532"/>
    <s v="5.6"/>
    <m/>
  </r>
  <r>
    <d v="2023-05-15T00:00:00"/>
    <s v="Achat credit  teléphonique MTN/PALF/Deuxième partie Mai 2023/Management"/>
    <s v="Telephone"/>
    <s v="Management"/>
    <m/>
    <n v="25000"/>
    <n v="25577633"/>
    <s v="Caisse"/>
    <s v="Oui"/>
    <x v="2"/>
    <x v="1"/>
    <s v="CONGO"/>
    <s v="RALFF-CO4533"/>
    <s v="4.6"/>
    <m/>
  </r>
  <r>
    <d v="2023-05-15T00:00:00"/>
    <s v="Achat credit  teléphonique MTN/PALF/Deuxième partie Mai 2023/Legal"/>
    <s v="Telephone"/>
    <s v="Legal"/>
    <m/>
    <n v="20000"/>
    <n v="25557633"/>
    <s v="Caisse"/>
    <s v="Oui"/>
    <x v="2"/>
    <x v="1"/>
    <s v="CONGO"/>
    <s v="RALFF-CO4534"/>
    <s v="4.6"/>
    <m/>
  </r>
  <r>
    <d v="2023-05-15T00:00:00"/>
    <s v="Achat credit  teléphonique MTN/PALF/Deuxième partie Mai 2023/Investigation"/>
    <s v="Telephone"/>
    <s v="Investigation"/>
    <m/>
    <n v="30000"/>
    <n v="25527633"/>
    <s v="Caisse"/>
    <s v="Oui"/>
    <x v="2"/>
    <x v="1"/>
    <s v="CONGO"/>
    <s v="RALFF-CO4535"/>
    <s v="4.6"/>
    <m/>
  </r>
  <r>
    <d v="2023-05-15T00:00:00"/>
    <s v="Achat credit  teléphonique MTN/PALF/Deuxième partie Mai 2023/Media"/>
    <s v="Telephone"/>
    <s v="Media"/>
    <m/>
    <n v="10000"/>
    <n v="25517633"/>
    <s v="Caisse"/>
    <s v="Oui"/>
    <x v="2"/>
    <x v="1"/>
    <s v="CONGO"/>
    <s v="RALFF-CO4536"/>
    <s v="4.6"/>
    <m/>
  </r>
  <r>
    <d v="2023-05-15T00:00:00"/>
    <s v="Achat credit  teléphonique Airtel/PALF/Deuxième partie Mai 2023/Management"/>
    <s v="Telephone"/>
    <s v="Management"/>
    <m/>
    <n v="5000"/>
    <n v="25512633"/>
    <s v="Caisse"/>
    <s v="Oui"/>
    <x v="2"/>
    <x v="1"/>
    <s v="CONGO"/>
    <s v="RALFF-CO4537"/>
    <s v="4.6"/>
    <m/>
  </r>
  <r>
    <d v="2023-05-15T00:00:00"/>
    <s v="Achat credit  teléphonique Airtel/PALF/Deuxième partie Mai 2023/Legal"/>
    <s v="Telephone"/>
    <s v="Legal"/>
    <m/>
    <n v="10000"/>
    <n v="25502633"/>
    <s v="Caisse"/>
    <s v="Oui"/>
    <x v="2"/>
    <x v="1"/>
    <s v="CONGO"/>
    <s v="RALFF-CO4538"/>
    <s v="4.6"/>
    <m/>
  </r>
  <r>
    <d v="2023-05-15T00:00:00"/>
    <s v="Achat credit  teléphonique Airtel/PALF/Deuxième partie Mai 2023/Investigation"/>
    <s v="Telephone"/>
    <s v="Investigation"/>
    <m/>
    <n v="5000"/>
    <n v="25799363"/>
    <s v="Caisse"/>
    <s v="Oui"/>
    <x v="2"/>
    <x v="1"/>
    <s v="CONGO"/>
    <s v="RALFF-CO4539"/>
    <s v="4.6"/>
    <m/>
  </r>
  <r>
    <d v="2023-05-15T00:00:00"/>
    <s v="D58 - CONGO Frais d'hotel du 13 au 15/05/2023 à Dolisie (02 nuitées)"/>
    <s v="Travel Subsistence"/>
    <s v="Investigation"/>
    <m/>
    <n v="30000"/>
    <n v="25472633"/>
    <s v="D58"/>
    <s v="Oui"/>
    <x v="1"/>
    <x v="1"/>
    <s v="CONGO"/>
    <s v="RALFF-CO4540"/>
    <s v="1.3.2"/>
    <m/>
  </r>
  <r>
    <d v="2023-05-15T00:00:00"/>
    <s v="Achat billet  Dolisie - Brazzaville  /D58"/>
    <s v="Transport"/>
    <s v="Investigation"/>
    <m/>
    <n v="10000"/>
    <n v="25462633"/>
    <s v="D58"/>
    <s v="Oui"/>
    <x v="2"/>
    <x v="1"/>
    <s v="CONGO"/>
    <s v="RALFF-CO4541"/>
    <s v="2.2"/>
    <m/>
  </r>
  <r>
    <d v="2023-05-15T00:00:00"/>
    <s v="T73 - CONGO Frais d'Hotel du 13 au 15/05/2023 (02 nuitées) à sibiti"/>
    <s v="Travel Subsistence"/>
    <s v="Investigation"/>
    <m/>
    <n v="20000"/>
    <n v="25442633"/>
    <s v="T73"/>
    <s v="Oui"/>
    <x v="1"/>
    <x v="1"/>
    <s v="CONGO"/>
    <s v="RALFF-CO4542"/>
    <s v="1.3.2"/>
    <m/>
  </r>
  <r>
    <d v="2023-05-15T00:00:00"/>
    <s v="achat billet (sibiti - dolisie)/T73"/>
    <s v="Transport"/>
    <s v="Investigation"/>
    <m/>
    <n v="5000"/>
    <n v="25437633"/>
    <s v="T73"/>
    <s v="Oui"/>
    <x v="2"/>
    <x v="1"/>
    <s v="CONGO"/>
    <s v="RALFF-CO4543"/>
    <s v="2.2"/>
    <m/>
  </r>
  <r>
    <d v="2023-05-15T00:00:00"/>
    <s v="Reçu caisse/T73 "/>
    <s v="Versement"/>
    <m/>
    <n v="65000"/>
    <m/>
    <n v="25502633"/>
    <s v="T73"/>
    <m/>
    <x v="0"/>
    <x v="0"/>
    <m/>
    <m/>
    <m/>
    <m/>
  </r>
  <r>
    <d v="2023-05-15T00:00:00"/>
    <s v="Achat billet Owando - Brazzaville /P29"/>
    <s v="Transport"/>
    <s v="Investigation"/>
    <m/>
    <n v="8000"/>
    <n v="25494633"/>
    <s v="P29"/>
    <s v="Oui"/>
    <x v="2"/>
    <x v="1"/>
    <s v="CONGO"/>
    <s v="RALFF-CO4544"/>
    <s v="2.2"/>
    <m/>
  </r>
  <r>
    <d v="2023-05-15T00:00:00"/>
    <s v="P29 - CONGO Frais d'hotel du 13  au 15/05/2023 (02 nuitées) à owando"/>
    <s v="Travel Subsistence"/>
    <s v="Investigation"/>
    <m/>
    <n v="30000"/>
    <n v="25464633"/>
    <s v="P29"/>
    <s v="Oui"/>
    <x v="2"/>
    <x v="1"/>
    <s v="CONGO"/>
    <s v="RALFF-CO4545"/>
    <s v="1.3.2"/>
    <m/>
  </r>
  <r>
    <d v="2023-05-15T00:00:00"/>
    <s v="Reçu caisse/Donald"/>
    <s v="Versement"/>
    <m/>
    <n v="126000"/>
    <m/>
    <n v="25590633"/>
    <s v="Donald"/>
    <m/>
    <x v="0"/>
    <x v="0"/>
    <m/>
    <m/>
    <m/>
    <m/>
  </r>
  <r>
    <d v="2023-05-16T00:00:00"/>
    <s v="Frais d'Examens médicaux,détenue MANGUILA,(GERH,SDWF)"/>
    <s v="Jail Visits"/>
    <s v="Legal"/>
    <m/>
    <n v="4500"/>
    <n v="25586133"/>
    <s v="Donald"/>
    <s v="Oui"/>
    <x v="2"/>
    <x v="2"/>
    <s v="CONGO"/>
    <m/>
    <m/>
    <m/>
  </r>
  <r>
    <d v="2023-05-16T00:00:00"/>
    <s v="Achat produit pharmaceutiques détenu MANGUILA"/>
    <s v="Jail Visits"/>
    <s v="Legal"/>
    <m/>
    <n v="12450"/>
    <n v="25573683"/>
    <s v="Donald"/>
    <s v="Oui"/>
    <x v="2"/>
    <x v="2"/>
    <s v="CONGO"/>
    <m/>
    <m/>
    <m/>
  </r>
  <r>
    <d v="2023-05-17T00:00:00"/>
    <s v="T73"/>
    <s v="Versement"/>
    <m/>
    <m/>
    <n v="90000"/>
    <n v="25483683"/>
    <s v="Caisse"/>
    <m/>
    <x v="0"/>
    <x v="0"/>
    <m/>
    <m/>
    <m/>
    <m/>
  </r>
  <r>
    <d v="2023-05-17T00:00:00"/>
    <s v="Frais de transfert à T73"/>
    <s v="Transfer fees"/>
    <s v="Office"/>
    <m/>
    <n v="3150"/>
    <n v="25480533"/>
    <s v="Caisse"/>
    <s v="Oui"/>
    <x v="2"/>
    <x v="1"/>
    <s v="CONGO"/>
    <s v="RALFF-CO4546"/>
    <s v="5.6"/>
    <m/>
  </r>
  <r>
    <d v="2023-05-17T00:00:00"/>
    <s v="Reglement electricité periode mars avril 2023"/>
    <s v="Rent &amp; Utilities"/>
    <s v="Office"/>
    <m/>
    <n v="61066"/>
    <n v="25419467"/>
    <s v="Caisse"/>
    <s v="Oui"/>
    <x v="1"/>
    <x v="1"/>
    <s v="CONGO"/>
    <s v="RALFF-CO4547"/>
    <s v="4.4"/>
    <m/>
  </r>
  <r>
    <d v="2023-05-17T00:00:00"/>
    <s v="Frais taxe sur Reglement electricité periode mars avril 2023"/>
    <s v="Rent &amp; Utilities"/>
    <s v="Office"/>
    <m/>
    <n v="12590"/>
    <n v="25406877"/>
    <s v="Caisse"/>
    <s v="Oui"/>
    <x v="2"/>
    <x v="2"/>
    <s v="CONGO"/>
    <m/>
    <m/>
    <m/>
  </r>
  <r>
    <d v="2023-05-17T00:00:00"/>
    <s v="D58"/>
    <s v="Versement"/>
    <m/>
    <m/>
    <n v="181500"/>
    <n v="25225377"/>
    <s v="Caisse"/>
    <m/>
    <x v="0"/>
    <x v="0"/>
    <m/>
    <m/>
    <m/>
    <m/>
  </r>
  <r>
    <d v="2023-05-17T00:00:00"/>
    <s v="Recu caisse/D58"/>
    <s v="Versement"/>
    <m/>
    <n v="181500"/>
    <m/>
    <n v="25406877"/>
    <s v="D58"/>
    <m/>
    <x v="0"/>
    <x v="0"/>
    <m/>
    <m/>
    <m/>
    <m/>
  </r>
  <r>
    <d v="2023-05-17T00:00:00"/>
    <s v="Reçu caisse/T73 "/>
    <s v="Versement"/>
    <m/>
    <n v="90000"/>
    <m/>
    <n v="25496877"/>
    <s v="T73"/>
    <m/>
    <x v="0"/>
    <x v="0"/>
    <m/>
    <m/>
    <m/>
    <m/>
  </r>
  <r>
    <d v="2023-05-17T00:00:00"/>
    <s v="Donald-CONGO Frais d'hôtel (04 Nuitées) du 13 au 17/05/2023 à Dolisie"/>
    <s v="Travel Subsistence"/>
    <s v="Legal"/>
    <m/>
    <n v="60000"/>
    <n v="25436877"/>
    <s v="Donald"/>
    <s v="Oui"/>
    <x v="2"/>
    <x v="1"/>
    <s v="CONGO"/>
    <s v="RALFF-CO4548"/>
    <s v="1.3.2"/>
    <m/>
  </r>
  <r>
    <d v="2023-05-17T00:00:00"/>
    <s v="Achat billet Dolisie-Brazzalle/Donald"/>
    <s v="Transport"/>
    <s v="Legal"/>
    <m/>
    <n v="10000"/>
    <n v="25426877"/>
    <s v="Donald"/>
    <s v="Oui"/>
    <x v="2"/>
    <x v="1"/>
    <s v="CONGO"/>
    <s v="RALFF-CO4549"/>
    <s v="2.2"/>
    <m/>
  </r>
  <r>
    <d v="2023-05-19T00:00:00"/>
    <s v="P29"/>
    <s v="Versement"/>
    <m/>
    <m/>
    <n v="133000"/>
    <n v="25293877"/>
    <s v="Caisse"/>
    <m/>
    <x v="0"/>
    <x v="0"/>
    <m/>
    <m/>
    <m/>
    <m/>
  </r>
  <r>
    <d v="2023-05-19T00:00:00"/>
    <s v="Donald-Roméo"/>
    <s v="Versement"/>
    <m/>
    <n v="70000"/>
    <m/>
    <n v="25363877"/>
    <s v="Caisse"/>
    <m/>
    <x v="0"/>
    <x v="0"/>
    <m/>
    <m/>
    <m/>
    <m/>
  </r>
  <r>
    <d v="2023-05-19T00:00:00"/>
    <s v="Bonus du mois d'Avril 2023/Evariste"/>
    <s v="Bonus"/>
    <s v="Media"/>
    <m/>
    <n v="20000"/>
    <n v="25343877"/>
    <s v="Caisse"/>
    <s v="Décharge"/>
    <x v="2"/>
    <x v="2"/>
    <s v="CONGO"/>
    <m/>
    <m/>
    <m/>
  </r>
  <r>
    <d v="2023-05-19T00:00:00"/>
    <s v="Bonus du mois d'Avril 2023/Merveille"/>
    <s v="Bonus"/>
    <s v="Management"/>
    <m/>
    <n v="20000"/>
    <n v="25323877"/>
    <s v="Caisse"/>
    <s v="Décharge"/>
    <x v="2"/>
    <x v="2"/>
    <s v="CONGO"/>
    <m/>
    <m/>
    <m/>
  </r>
  <r>
    <d v="2023-05-19T00:00:00"/>
    <s v="Bonus du mois d'Avril 2023/Hurielle"/>
    <s v="Bonus"/>
    <s v="Legal"/>
    <m/>
    <n v="20000"/>
    <n v="25303877"/>
    <s v="Caisse"/>
    <s v="Décharge"/>
    <x v="2"/>
    <x v="2"/>
    <s v="CONGO"/>
    <m/>
    <m/>
    <m/>
  </r>
  <r>
    <d v="2023-05-19T00:00:00"/>
    <s v="Bonus du mois d'Avril 2023/Donald"/>
    <s v="Bonus"/>
    <s v="Legal"/>
    <m/>
    <n v="20000"/>
    <n v="25283877"/>
    <s v="Caisse"/>
    <s v="Décharge"/>
    <x v="2"/>
    <x v="2"/>
    <s v="CONGO"/>
    <m/>
    <m/>
    <m/>
  </r>
  <r>
    <d v="2023-05-19T00:00:00"/>
    <s v="Bonus du mois d'Avril 2023/Crépin"/>
    <s v="Bonus"/>
    <s v="Legal"/>
    <m/>
    <n v="50000"/>
    <n v="25233877"/>
    <s v="Caisse"/>
    <s v="Décharge"/>
    <x v="2"/>
    <x v="2"/>
    <s v="CONGO"/>
    <m/>
    <m/>
    <m/>
  </r>
  <r>
    <d v="2023-05-19T00:00:00"/>
    <s v="T73"/>
    <s v="Versement"/>
    <m/>
    <m/>
    <n v="70000"/>
    <n v="25163877"/>
    <s v="Caisse"/>
    <m/>
    <x v="0"/>
    <x v="0"/>
    <m/>
    <m/>
    <m/>
    <m/>
  </r>
  <r>
    <d v="2023-05-19T00:00:00"/>
    <s v="Achat billet  Brazzaville - Pointe Noire /D58"/>
    <s v="Transport"/>
    <s v="Investigation"/>
    <m/>
    <n v="7000"/>
    <n v="25156877"/>
    <s v="D58"/>
    <s v="Oui"/>
    <x v="2"/>
    <x v="1"/>
    <s v="CONGO"/>
    <s v="RALFF-CO4550"/>
    <s v="2.2"/>
    <m/>
  </r>
  <r>
    <d v="2023-05-19T00:00:00"/>
    <s v="D58 - CONGO Food Allowance du 19 au 24/05/2023 (05 nuitées)"/>
    <s v="Travel Subsistence"/>
    <s v="Investigation"/>
    <m/>
    <n v="50000"/>
    <n v="25106877"/>
    <s v="D58"/>
    <s v="Décharge"/>
    <x v="2"/>
    <x v="1"/>
    <s v="CONGO"/>
    <s v="RALFF-CO4551"/>
    <s v="1.3.2"/>
    <m/>
  </r>
  <r>
    <d v="2023-05-19T00:00:00"/>
    <s v="Reçu de caisse/P29"/>
    <s v="Versement"/>
    <m/>
    <n v="133000"/>
    <m/>
    <n v="25239877"/>
    <s v="P29"/>
    <m/>
    <x v="0"/>
    <x v="0"/>
    <m/>
    <m/>
    <m/>
    <m/>
  </r>
  <r>
    <d v="2023-05-19T00:00:00"/>
    <s v="Achat billet brazzaville-dolisie/P29"/>
    <s v="Transport"/>
    <s v="Investigation"/>
    <m/>
    <n v="10000"/>
    <n v="25229877"/>
    <s v="P29"/>
    <s v="Oui"/>
    <x v="2"/>
    <x v="1"/>
    <s v="CONGO"/>
    <s v="RALFF-CO4552"/>
    <s v="2.2"/>
    <m/>
  </r>
  <r>
    <d v="2023-05-19T00:00:00"/>
    <s v="Retour caisse/Donald"/>
    <s v="Versement"/>
    <m/>
    <m/>
    <n v="70000"/>
    <n v="25159877"/>
    <s v="Donald"/>
    <m/>
    <x v="0"/>
    <x v="0"/>
    <m/>
    <m/>
    <m/>
    <m/>
  </r>
  <r>
    <d v="2023-05-20T00:00:00"/>
    <s v="Reçu caisse/T73 "/>
    <s v="Versement"/>
    <m/>
    <n v="70000"/>
    <m/>
    <n v="25229877"/>
    <s v="T73"/>
    <m/>
    <x v="0"/>
    <x v="0"/>
    <m/>
    <m/>
    <m/>
    <m/>
  </r>
  <r>
    <d v="2023-05-20T00:00:00"/>
    <s v="P29 - CONGO Food allowance mission du 20 au 27/05/2023 (07 nuitées) "/>
    <s v="Travel Subsistence"/>
    <s v="Investigation"/>
    <m/>
    <n v="70000"/>
    <n v="25159877"/>
    <s v="P29"/>
    <s v="Décharge"/>
    <x v="2"/>
    <x v="1"/>
    <s v="CONGO"/>
    <s v="RALFF-CO4553"/>
    <s v="1.3.2"/>
    <m/>
  </r>
  <r>
    <d v="2023-05-22T00:00:00"/>
    <s v="Oracle"/>
    <s v="Versement"/>
    <m/>
    <m/>
    <n v="15000"/>
    <n v="25144877"/>
    <s v="Caisse"/>
    <m/>
    <x v="0"/>
    <x v="0"/>
    <m/>
    <m/>
    <m/>
    <m/>
  </r>
  <r>
    <d v="2023-05-22T00:00:00"/>
    <s v="P29"/>
    <s v="Versement"/>
    <m/>
    <m/>
    <n v="110000"/>
    <n v="25034877"/>
    <s v="Caisse"/>
    <m/>
    <x v="0"/>
    <x v="0"/>
    <m/>
    <m/>
    <m/>
    <m/>
  </r>
  <r>
    <d v="2023-05-22T00:00:00"/>
    <s v="T73"/>
    <s v="Versement"/>
    <m/>
    <m/>
    <n v="90000"/>
    <n v="24944877"/>
    <s v="Caisse"/>
    <m/>
    <x v="0"/>
    <x v="0"/>
    <m/>
    <m/>
    <m/>
    <m/>
  </r>
  <r>
    <d v="2023-05-22T00:00:00"/>
    <s v="Frais de transfert charden farell à P29 et T73"/>
    <s v="Transfer fees"/>
    <s v="Office"/>
    <m/>
    <n v="6000"/>
    <n v="24938877"/>
    <s v="Caisse"/>
    <s v="Oui"/>
    <x v="2"/>
    <x v="1"/>
    <s v="CONGO"/>
    <s v="RALFF-CO4554"/>
    <s v="5.6"/>
    <m/>
  </r>
  <r>
    <d v="2023-05-22T00:00:00"/>
    <s v="Paiement attestation d'hebergement pour Mr Luc "/>
    <s v="Travel Expenses"/>
    <s v="CCU"/>
    <m/>
    <n v="10000"/>
    <n v="24928877"/>
    <s v="Caisse"/>
    <s v="Oui"/>
    <x v="2"/>
    <x v="2"/>
    <s v="CONGO"/>
    <m/>
    <m/>
    <m/>
  </r>
  <r>
    <d v="2023-05-22T00:00:00"/>
    <s v="Achat crédit MTN /Legal Volontaire/Oracle"/>
    <s v="Telephone"/>
    <s v="Legal"/>
    <m/>
    <n v="5000"/>
    <n v="24923877"/>
    <s v="Caisse"/>
    <s v="Oui"/>
    <x v="2"/>
    <x v="2"/>
    <s v="CONGO"/>
    <m/>
    <m/>
    <m/>
  </r>
  <r>
    <d v="2023-05-22T00:00:00"/>
    <s v="Bonus du mois d'avril 2023/Grace"/>
    <s v="Bonus"/>
    <s v="Management"/>
    <m/>
    <n v="50000"/>
    <n v="24873877"/>
    <s v="Caisse"/>
    <s v="Décharge"/>
    <x v="2"/>
    <x v="2"/>
    <s v="CONGO"/>
    <m/>
    <m/>
    <m/>
  </r>
  <r>
    <d v="2023-05-22T00:00:00"/>
    <s v="D58 - CONGO Frais d'hotel du 19  au 22/05/2023 à Pointe Noire (03 nuitées)"/>
    <s v="Travel Subsistence"/>
    <s v="Investigation"/>
    <m/>
    <n v="45000"/>
    <n v="24828877"/>
    <s v="D58"/>
    <s v="Oui"/>
    <x v="2"/>
    <x v="1"/>
    <s v="CONGO"/>
    <s v="RALFF-CO4555"/>
    <s v="1.3.2"/>
    <m/>
  </r>
  <r>
    <d v="2023-05-22T00:00:00"/>
    <s v="Achat billet  Pointe Noire- Loudima  /D58"/>
    <s v="Transport"/>
    <s v="Investigation"/>
    <m/>
    <n v="7000"/>
    <n v="24821877"/>
    <s v="D58"/>
    <s v="Oui"/>
    <x v="2"/>
    <x v="1"/>
    <s v="CONGO"/>
    <s v="RALFF-CO4556"/>
    <s v="2.2"/>
    <m/>
  </r>
  <r>
    <d v="2023-05-22T00:00:00"/>
    <s v="Achat billet Loudima- Sibiti  /D58"/>
    <s v="Transport"/>
    <s v="Investigation"/>
    <m/>
    <n v="3500"/>
    <n v="24818377"/>
    <s v="D58"/>
    <s v="Oui"/>
    <x v="2"/>
    <x v="1"/>
    <s v="CONGO"/>
    <s v="RALFF-CO4557"/>
    <s v="2.2"/>
    <m/>
  </r>
  <r>
    <d v="2023-05-22T00:00:00"/>
    <s v="Reçu caisse/T73 "/>
    <s v="Versement"/>
    <m/>
    <n v="90000"/>
    <m/>
    <n v="24908377"/>
    <s v="T73"/>
    <m/>
    <x v="0"/>
    <x v="0"/>
    <m/>
    <m/>
    <m/>
    <m/>
  </r>
  <r>
    <d v="2023-05-22T00:00:00"/>
    <s v="Reçu de caisse/P29"/>
    <s v="Versement"/>
    <m/>
    <n v="110000"/>
    <m/>
    <n v="25018377"/>
    <s v="P29"/>
    <m/>
    <x v="0"/>
    <x v="0"/>
    <m/>
    <m/>
    <m/>
    <m/>
  </r>
  <r>
    <d v="2023-05-22T00:00:00"/>
    <s v="Reçu caisse/Oracle"/>
    <s v="Versement"/>
    <m/>
    <n v="15000"/>
    <m/>
    <n v="25033377"/>
    <s v="Oracle"/>
    <m/>
    <x v="0"/>
    <x v="0"/>
    <m/>
    <m/>
    <m/>
    <m/>
  </r>
  <r>
    <d v="2023-05-23T00:00:00"/>
    <s v="Paiement Certificat d'hebergement pour Mr Luc "/>
    <s v="Travel Expenses"/>
    <s v="CCU"/>
    <m/>
    <n v="30000"/>
    <n v="25003377"/>
    <s v="Caisse"/>
    <s v="Oui"/>
    <x v="2"/>
    <x v="2"/>
    <s v="CONGO"/>
    <m/>
    <m/>
    <m/>
  </r>
  <r>
    <d v="2023-05-23T00:00:00"/>
    <s v="BCI-36545457-34"/>
    <s v="Versement"/>
    <m/>
    <n v="2000000"/>
    <m/>
    <n v="27003377"/>
    <s v="Caisse"/>
    <m/>
    <x v="0"/>
    <x v="0"/>
    <m/>
    <m/>
    <m/>
    <m/>
  </r>
  <r>
    <d v="2023-05-23T00:00:00"/>
    <s v="Retrait especes/appro caisse/bord n°3654548"/>
    <s v="Versement"/>
    <m/>
    <m/>
    <n v="2000000"/>
    <n v="25003377"/>
    <s v="BCI"/>
    <n v="3654547"/>
    <x v="0"/>
    <x v="0"/>
    <m/>
    <m/>
    <m/>
    <m/>
  </r>
  <r>
    <d v="2023-05-23T00:00:00"/>
    <s v="Paiement salaire mois de Mai 2023/ Crépin IBOUILI IBOUILI/ CH N°3667300"/>
    <s v="Personnel"/>
    <s v="Legal"/>
    <m/>
    <n v="359500"/>
    <n v="24643877"/>
    <s v="BCI-Sous Compte"/>
    <n v="3667300"/>
    <x v="1"/>
    <x v="1"/>
    <s v="CONGO"/>
    <s v="RALFF-CO4558"/>
    <s v="1.1.1.7"/>
    <m/>
  </r>
  <r>
    <d v="2023-05-23T00:00:00"/>
    <s v="Paiement salaire mois de Mai 2023/ Tiffany GOBERT/ CH N°3667328"/>
    <s v="Personnel"/>
    <s v="Management"/>
    <m/>
    <n v="1311914"/>
    <n v="23331963"/>
    <s v="BCI-Sous Compte"/>
    <n v="3667328"/>
    <x v="1"/>
    <x v="1"/>
    <s v="CONGO"/>
    <s v="RALFF-CO4559"/>
    <s v="1.1.1.1"/>
    <m/>
  </r>
  <r>
    <d v="2023-05-23T00:00:00"/>
    <s v="Paiement salaire mois de Mai 2023/ MFOULOU Hurielle/ CH N°3667339"/>
    <s v="Personnel"/>
    <s v="Legal"/>
    <m/>
    <n v="200000"/>
    <n v="23131963"/>
    <s v="BCI-Sous Compte"/>
    <n v="3667339"/>
    <x v="1"/>
    <x v="1"/>
    <s v="CONGO"/>
    <s v="RALFF-CO4560"/>
    <s v="1.1.1.7"/>
    <m/>
  </r>
  <r>
    <d v="2023-05-23T00:00:00"/>
    <s v="Paiement salaire mois de Mai 2023/ PINDI BINGA/ CH N°3667340"/>
    <s v="Personnel"/>
    <s v="Legal"/>
    <m/>
    <n v="200000"/>
    <n v="22931963"/>
    <s v="BCI-Sous Compte"/>
    <n v="3667340"/>
    <x v="1"/>
    <x v="1"/>
    <s v="CONGO"/>
    <s v="RALFF-CO4561"/>
    <s v="1.1.1.7"/>
    <m/>
  </r>
  <r>
    <d v="2023-05-23T00:00:00"/>
    <s v="Paiement salaire mois de Mai 2023/ MOLENDE Grace/ CH N°3667341"/>
    <s v="Personnel"/>
    <s v="Management"/>
    <m/>
    <n v="350000"/>
    <n v="22581963"/>
    <s v="BCI-Sous Compte"/>
    <n v="3667341"/>
    <x v="1"/>
    <x v="1"/>
    <s v="CONGO"/>
    <s v="RALFF-CO4562"/>
    <s v="1.1.2.1"/>
    <m/>
  </r>
  <r>
    <d v="2023-05-23T00:00:00"/>
    <s v="Paiement salaire mois de Mai 2023/ MAHANGA Merveille/ CH N°3667342"/>
    <s v="Personnel"/>
    <s v="Management"/>
    <m/>
    <n v="300000"/>
    <n v="22281963"/>
    <s v="BCI-Sous Compte"/>
    <n v="3667342"/>
    <x v="1"/>
    <x v="1"/>
    <s v="CONGO"/>
    <s v="RALFF-CO4563"/>
    <s v="1.1.2.1"/>
    <m/>
  </r>
  <r>
    <d v="2023-05-23T00:00:00"/>
    <s v="Paiement salaire mois de Mai 2023/ LELOUSSI Evariste/ CH N°3667344"/>
    <s v="Personnel"/>
    <s v="Media"/>
    <m/>
    <n v="235600"/>
    <n v="22046363"/>
    <s v="BCI-Sous Compte"/>
    <n v="3667344"/>
    <x v="1"/>
    <x v="1"/>
    <s v="CONGO"/>
    <s v="RALFF-CO4564"/>
    <s v="1.1.1.4"/>
    <m/>
  </r>
  <r>
    <d v="2023-05-24T00:00:00"/>
    <s v="Hurielle"/>
    <s v="Versement"/>
    <m/>
    <m/>
    <n v="193000"/>
    <n v="21853363"/>
    <s v="Caisse"/>
    <m/>
    <x v="0"/>
    <x v="0"/>
    <m/>
    <m/>
    <m/>
    <m/>
  </r>
  <r>
    <d v="2023-05-24T00:00:00"/>
    <s v="Donald-Roméo"/>
    <s v="Versement"/>
    <m/>
    <m/>
    <n v="323000"/>
    <n v="21530363"/>
    <s v="Caisse"/>
    <m/>
    <x v="0"/>
    <x v="0"/>
    <m/>
    <m/>
    <m/>
    <m/>
  </r>
  <r>
    <d v="2023-05-24T00:00:00"/>
    <s v="Crépin"/>
    <s v="Versement"/>
    <m/>
    <m/>
    <n v="231000"/>
    <n v="21299363"/>
    <s v="Caisse"/>
    <m/>
    <x v="0"/>
    <x v="0"/>
    <m/>
    <m/>
    <m/>
    <m/>
  </r>
  <r>
    <d v="2023-05-24T00:00:00"/>
    <s v="Grace"/>
    <s v="Versement"/>
    <m/>
    <m/>
    <n v="382000"/>
    <n v="20917363"/>
    <s v="Caisse"/>
    <m/>
    <x v="0"/>
    <x v="0"/>
    <m/>
    <m/>
    <m/>
    <m/>
  </r>
  <r>
    <d v="2023-05-24T00:00:00"/>
    <s v="Merveille"/>
    <s v="Versement"/>
    <m/>
    <m/>
    <n v="132000"/>
    <n v="20785363"/>
    <s v="Caisse"/>
    <m/>
    <x v="0"/>
    <x v="0"/>
    <m/>
    <m/>
    <m/>
    <m/>
  </r>
  <r>
    <d v="2023-05-24T00:00:00"/>
    <s v="T73"/>
    <s v="Versement"/>
    <m/>
    <m/>
    <n v="128000"/>
    <n v="20657363"/>
    <s v="Caisse"/>
    <m/>
    <x v="0"/>
    <x v="0"/>
    <m/>
    <m/>
    <m/>
    <m/>
  </r>
  <r>
    <d v="2023-05-24T00:00:00"/>
    <s v="P29"/>
    <s v="Versement"/>
    <m/>
    <m/>
    <n v="90000"/>
    <n v="20567363"/>
    <s v="Caisse"/>
    <m/>
    <x v="0"/>
    <x v="0"/>
    <m/>
    <m/>
    <m/>
    <m/>
  </r>
  <r>
    <d v="2023-05-24T00:00:00"/>
    <s v="Evariste"/>
    <s v="Versement"/>
    <m/>
    <m/>
    <n v="140000"/>
    <n v="20427363"/>
    <s v="Caisse"/>
    <m/>
    <x v="0"/>
    <x v="0"/>
    <m/>
    <m/>
    <m/>
    <m/>
  </r>
  <r>
    <d v="2023-05-24T00:00:00"/>
    <s v="Crépin"/>
    <s v="Versement"/>
    <m/>
    <n v="30000"/>
    <m/>
    <n v="20457363"/>
    <s v="Caisse"/>
    <m/>
    <x v="0"/>
    <x v="0"/>
    <m/>
    <m/>
    <m/>
    <m/>
  </r>
  <r>
    <d v="2023-05-24T00:00:00"/>
    <s v="Reçu Caisse/Grace MOLENDE"/>
    <s v="Versement"/>
    <m/>
    <n v="382000"/>
    <m/>
    <n v="20839363"/>
    <s v="Grace"/>
    <m/>
    <x v="0"/>
    <x v="0"/>
    <m/>
    <m/>
    <m/>
    <m/>
  </r>
  <r>
    <d v="2023-05-24T00:00:00"/>
    <s v="Reçu caisse/Merveille"/>
    <s v="Versement"/>
    <m/>
    <n v="132000"/>
    <m/>
    <n v="20971363"/>
    <s v="Merveille"/>
    <m/>
    <x v="0"/>
    <x v="0"/>
    <m/>
    <m/>
    <m/>
    <m/>
  </r>
  <r>
    <d v="2023-05-24T00:00:00"/>
    <s v="D58 - CONGO Frais d'hotel du 22 au 24/05/2023 à Sibiti (02nuitées)"/>
    <s v="Travel Subsistence"/>
    <s v="Investigation"/>
    <m/>
    <n v="20000"/>
    <n v="20951363"/>
    <s v="D58"/>
    <s v="Décharge"/>
    <x v="2"/>
    <x v="1"/>
    <s v="CONGO"/>
    <s v="RALFF-CO4565"/>
    <s v="1.3.2"/>
    <m/>
  </r>
  <r>
    <d v="2023-05-24T00:00:00"/>
    <s v="Achat billet Sibiti - Loudima  /D58"/>
    <s v="Transport"/>
    <s v="Investigation"/>
    <m/>
    <n v="3500"/>
    <n v="20947863"/>
    <s v="D58"/>
    <s v="Oui"/>
    <x v="2"/>
    <x v="1"/>
    <s v="CONGO"/>
    <s v="RALFF-CO4566"/>
    <s v="2.2"/>
    <m/>
  </r>
  <r>
    <d v="2023-05-24T00:00:00"/>
    <s v="Achat billet Loudima- Brazzaville  /D58"/>
    <s v="Transport"/>
    <s v="Investigation"/>
    <m/>
    <n v="7000"/>
    <n v="20940863"/>
    <s v="D58"/>
    <s v="Oui"/>
    <x v="2"/>
    <x v="1"/>
    <s v="CONGO"/>
    <s v="RALFF-CO4567"/>
    <s v="2.2"/>
    <m/>
  </r>
  <r>
    <d v="2023-05-24T00:00:00"/>
    <s v="Recu caisse/Hurielle"/>
    <s v="Versement"/>
    <m/>
    <n v="193000"/>
    <m/>
    <n v="21133863"/>
    <s v="Hurielle"/>
    <s v="Décharge"/>
    <x v="0"/>
    <x v="0"/>
    <m/>
    <m/>
    <m/>
    <m/>
  </r>
  <r>
    <d v="2023-05-24T00:00:00"/>
    <s v="Reçu de la caisse/Evariste"/>
    <s v="Versement"/>
    <m/>
    <n v="140000"/>
    <m/>
    <n v="21273863"/>
    <s v="Evariste"/>
    <m/>
    <x v="0"/>
    <x v="0"/>
    <m/>
    <m/>
    <m/>
    <m/>
  </r>
  <r>
    <d v="2023-05-24T00:00:00"/>
    <s v="Reçu caisse/Donald"/>
    <s v="Versement"/>
    <m/>
    <n v="323000"/>
    <m/>
    <n v="21596863"/>
    <s v="Donald"/>
    <m/>
    <x v="0"/>
    <x v="0"/>
    <m/>
    <m/>
    <m/>
    <m/>
  </r>
  <r>
    <d v="2023-05-24T00:00:00"/>
    <s v="Retour caisse/Crépin"/>
    <s v="Versement"/>
    <m/>
    <m/>
    <n v="30000"/>
    <n v="21566863"/>
    <s v="Crépin"/>
    <m/>
    <x v="0"/>
    <x v="0"/>
    <m/>
    <m/>
    <m/>
    <m/>
  </r>
  <r>
    <d v="2023-05-24T00:00:00"/>
    <s v="Reçu de caisse/Crépin"/>
    <s v="Versement"/>
    <m/>
    <n v="231000"/>
    <m/>
    <n v="21797863"/>
    <s v="Crépin"/>
    <m/>
    <x v="0"/>
    <x v="0"/>
    <m/>
    <m/>
    <m/>
    <m/>
  </r>
  <r>
    <d v="2023-05-25T00:00:00"/>
    <s v="Achat Billet Brazzaville - Dolisie /GRACE MOLENDE"/>
    <s v="Transport"/>
    <s v="Management"/>
    <m/>
    <n v="10000"/>
    <n v="21787863"/>
    <s v="Grace"/>
    <s v="Oui"/>
    <x v="2"/>
    <x v="1"/>
    <s v="CONGO"/>
    <s v="RALFF-CO4568"/>
    <s v="2.2"/>
    <m/>
  </r>
  <r>
    <d v="2023-05-25T00:00:00"/>
    <s v="GRACE MOLENDE - CONGO Food Allowance du 25 au 27/05/23 (02 Nuitées) à Dolisie"/>
    <s v="Travel Subsistence"/>
    <s v="Management"/>
    <m/>
    <n v="20000"/>
    <n v="21767863"/>
    <s v="Grace"/>
    <s v="Décharge"/>
    <x v="2"/>
    <x v="1"/>
    <s v="CONGO"/>
    <s v="RALFF-CO4569"/>
    <s v="1.3.2"/>
    <m/>
  </r>
  <r>
    <d v="2023-05-25T00:00:00"/>
    <s v="Achat billet Brazzaville - Dolisie/Merveille"/>
    <s v="Transport"/>
    <s v="Management"/>
    <m/>
    <n v="10000"/>
    <n v="21757863"/>
    <s v="Merveille"/>
    <s v="Oui"/>
    <x v="2"/>
    <x v="1"/>
    <s v="CONGO"/>
    <s v="RALFF-CO4570"/>
    <s v="2.2"/>
    <m/>
  </r>
  <r>
    <d v="2023-05-25T00:00:00"/>
    <s v="MERVEILLE-CONGO Food allowance mission du 25 au 27 Mai 2023 ( 03 Nuitées) à Dolisie"/>
    <s v="Travel Subsistence"/>
    <s v="Management"/>
    <m/>
    <n v="20000"/>
    <n v="21737863"/>
    <s v="Merveille"/>
    <s v="Décharge"/>
    <x v="2"/>
    <x v="1"/>
    <s v="CONGO"/>
    <s v="RALFF-CO4571"/>
    <s v="1.3.2"/>
    <m/>
  </r>
  <r>
    <d v="2023-05-25T00:00:00"/>
    <s v="Reglement loyer mois d'Avril 2023/Pluriel solution ch N°3667298"/>
    <s v="Rent &amp; Utilities"/>
    <s v="Office"/>
    <m/>
    <n v="500000"/>
    <n v="21237863"/>
    <s v="BCI-Sous Compte"/>
    <n v="3667298"/>
    <x v="1"/>
    <x v="1"/>
    <s v="CONGO"/>
    <s v="RALFF-CO4572"/>
    <s v="4.2"/>
    <m/>
  </r>
  <r>
    <d v="2023-05-25T00:00:00"/>
    <s v="Reglement loyer mois de Mai 2023/Pluriel solution ch N°3667321"/>
    <s v="Rent &amp; Utilities"/>
    <s v="Office"/>
    <m/>
    <n v="500000"/>
    <n v="20737863"/>
    <s v="BCI-Sous Compte"/>
    <n v="3667321"/>
    <x v="1"/>
    <x v="1"/>
    <s v="CONGO"/>
    <s v="RALFF-CO4573"/>
    <s v="4.2"/>
    <m/>
  </r>
  <r>
    <d v="2023-05-25T00:00:00"/>
    <s v="Cumul frais de Trust Building du mois de Mai 2023 / D58"/>
    <s v="Trust Building"/>
    <s v="Investigation"/>
    <m/>
    <n v="18000"/>
    <n v="20719863"/>
    <s v="D58"/>
    <s v="Décharge"/>
    <x v="2"/>
    <x v="2"/>
    <s v="CONGO"/>
    <m/>
    <m/>
    <m/>
  </r>
  <r>
    <d v="2023-05-25T00:00:00"/>
    <s v="T73 - CONGO Frais d'Hotel du 15 au 25/05/2023 (10 nuitées) à dolisie"/>
    <s v="Travel Subsistence"/>
    <s v="Investigation"/>
    <m/>
    <n v="150000"/>
    <n v="20569863"/>
    <s v="T73"/>
    <s v="Oui"/>
    <x v="2"/>
    <x v="1"/>
    <s v="CONGO"/>
    <s v="RALFF-CO4574"/>
    <s v="1.3.2"/>
    <m/>
  </r>
  <r>
    <d v="2023-05-25T00:00:00"/>
    <s v="Reçu caisse/T73 "/>
    <s v="Versement"/>
    <m/>
    <n v="128000"/>
    <m/>
    <n v="20697863"/>
    <s v="T73"/>
    <m/>
    <x v="0"/>
    <x v="0"/>
    <m/>
    <m/>
    <m/>
    <m/>
  </r>
  <r>
    <d v="2023-05-25T00:00:00"/>
    <s v="P29 - CONGO Frais d'hotel du 20  au 25/05/2023  à Dolisie (05 nuitées) "/>
    <s v="Travel Subsistence"/>
    <s v="Investigation"/>
    <m/>
    <n v="75000"/>
    <n v="20622863"/>
    <s v="P29"/>
    <s v="Oui"/>
    <x v="2"/>
    <x v="1"/>
    <s v="CONGO"/>
    <s v="RALFF-CO4575"/>
    <s v="1.3.2"/>
    <m/>
  </r>
  <r>
    <d v="2023-05-25T00:00:00"/>
    <s v="Reçu de caisse/P29"/>
    <s v="Versement"/>
    <m/>
    <n v="90000"/>
    <m/>
    <n v="20712863"/>
    <s v="P29"/>
    <m/>
    <x v="0"/>
    <x v="0"/>
    <m/>
    <m/>
    <m/>
    <m/>
  </r>
  <r>
    <d v="2023-05-25T00:00:00"/>
    <s v="Achat billet aller Brazzaville-Dolisie/Hurielle"/>
    <s v="Transport"/>
    <s v="Legal"/>
    <m/>
    <n v="10000"/>
    <n v="20702863"/>
    <s v="Hurielle"/>
    <s v="Oui"/>
    <x v="2"/>
    <x v="1"/>
    <s v="CONGO"/>
    <s v="RALFF-CO4576"/>
    <s v="2.2"/>
    <m/>
  </r>
  <r>
    <d v="2023-05-25T00:00:00"/>
    <s v="HURIELLE - CONGO Food Allowance du 25 au 03/09/2023 à Dolisie (09 nuitées)"/>
    <s v="Travel Subsistence"/>
    <s v="Legal"/>
    <m/>
    <n v="90000"/>
    <n v="20612863"/>
    <s v="Hurielle"/>
    <s v="Décharge"/>
    <x v="2"/>
    <x v="1"/>
    <s v="CONGO"/>
    <s v="RALFF-CO4577"/>
    <s v="1.3.2"/>
    <m/>
  </r>
  <r>
    <d v="2023-05-25T00:00:00"/>
    <s v="Achat billet Brazzaville-Dolisie/Evariste"/>
    <s v="Transport"/>
    <s v="Media"/>
    <m/>
    <n v="10000"/>
    <n v="20602863"/>
    <s v="Evariste"/>
    <s v="Oui"/>
    <x v="2"/>
    <x v="1"/>
    <s v="CONGO"/>
    <s v="RALFF-CO4578"/>
    <s v="2.2"/>
    <m/>
  </r>
  <r>
    <d v="2023-05-25T00:00:00"/>
    <s v="EVARISTE - CONGO Food Allowance du 25 au 31 mai 2023 (06 nuitées) à Dolisie"/>
    <s v="Travel Subsistence"/>
    <s v="Media"/>
    <m/>
    <n v="60000"/>
    <n v="20542863"/>
    <s v="Evariste"/>
    <s v="Décharge"/>
    <x v="2"/>
    <x v="1"/>
    <s v="CONGO"/>
    <s v="RALFF-CO4579"/>
    <s v="1.3.2"/>
    <m/>
  </r>
  <r>
    <d v="2023-05-25T00:00:00"/>
    <s v="Achat billet Brazzaville-Dolisie/Donald"/>
    <s v="Transport"/>
    <s v="Legal"/>
    <m/>
    <n v="10000"/>
    <n v="20532863"/>
    <s v="Donald"/>
    <s v="Oui"/>
    <x v="2"/>
    <x v="1"/>
    <s v="CONGO"/>
    <s v="RALFF-CO4580"/>
    <s v="2.2"/>
    <m/>
  </r>
  <r>
    <d v="2023-05-25T00:00:00"/>
    <s v="Donald-CONGO Food Allowance Mission (09 Nuitées)  du 25 mai au 03/06/2023"/>
    <s v="Travel Subsistence"/>
    <s v="Legal"/>
    <m/>
    <n v="90000"/>
    <n v="20442863"/>
    <s v="Donald"/>
    <s v="Oui"/>
    <x v="2"/>
    <x v="1"/>
    <s v="CONGO"/>
    <s v="RALFF-CO4581"/>
    <s v="1.3.2"/>
    <m/>
  </r>
  <r>
    <d v="2023-05-25T00:00:00"/>
    <s v="CREPIN - CONGO Food-Allowance du 25/05/ au 03/06/2023 à Dolisie (09 nuitées)"/>
    <s v="Travel Subsistence"/>
    <s v="Management"/>
    <m/>
    <n v="90000"/>
    <n v="20352863"/>
    <s v="Crépin"/>
    <s v="Décharge"/>
    <x v="2"/>
    <x v="1"/>
    <s v="CONGO"/>
    <s v="RALFF-CO4582"/>
    <s v="1.3.2"/>
    <m/>
  </r>
  <r>
    <d v="2023-05-25T00:00:00"/>
    <s v="Billet: Brazzaville-Dolisie/Crépin"/>
    <s v="Transport"/>
    <s v="Management"/>
    <m/>
    <n v="10000"/>
    <n v="20342863"/>
    <s v="Crépin"/>
    <s v="Oui"/>
    <x v="2"/>
    <x v="1"/>
    <s v="CONGO"/>
    <s v="RALFF-CO4583"/>
    <s v="2.2"/>
    <m/>
  </r>
  <r>
    <d v="2023-05-26T00:00:00"/>
    <s v="Transfert à Crépin/Grace MOLENDE"/>
    <s v="Versement"/>
    <m/>
    <m/>
    <n v="40000"/>
    <n v="20302863"/>
    <s v="Grace"/>
    <m/>
    <x v="0"/>
    <x v="0"/>
    <m/>
    <m/>
    <m/>
    <m/>
  </r>
  <r>
    <d v="2023-05-26T00:00:00"/>
    <s v="Transfert à P29/Grace MOLENDE"/>
    <s v="Versement"/>
    <m/>
    <m/>
    <n v="40000"/>
    <n v="20262863"/>
    <s v="Grace"/>
    <m/>
    <x v="0"/>
    <x v="0"/>
    <m/>
    <m/>
    <m/>
    <m/>
  </r>
  <r>
    <d v="2023-05-26T00:00:00"/>
    <s v="Transfert à T73/Grace MOLENDE"/>
    <s v="Versement"/>
    <m/>
    <m/>
    <n v="40000"/>
    <n v="20222863"/>
    <s v="Grace"/>
    <m/>
    <x v="0"/>
    <x v="0"/>
    <m/>
    <m/>
    <m/>
    <m/>
  </r>
  <r>
    <d v="2023-05-26T00:00:00"/>
    <s v="Cumul frais de transport local du mois de Mai 2023 / D58"/>
    <s v="Transport"/>
    <s v="Investigation"/>
    <m/>
    <n v="53800"/>
    <n v="20169063"/>
    <s v="D58"/>
    <s v="Décharge"/>
    <x v="2"/>
    <x v="1"/>
    <s v="CONGO"/>
    <s v="RALFF-CO4584"/>
    <s v="2.2"/>
    <m/>
  </r>
  <r>
    <d v="2023-05-26T00:00:00"/>
    <s v="Cumul frais de transport local du mois de Mai 2023/T73"/>
    <s v="Transport"/>
    <s v="Investigation"/>
    <m/>
    <n v="69400"/>
    <n v="20099663"/>
    <s v="T73"/>
    <s v="Décharge"/>
    <x v="2"/>
    <x v="1"/>
    <s v="CONGO"/>
    <s v="RALFF-CO4585"/>
    <s v="2.2"/>
    <m/>
  </r>
  <r>
    <d v="2023-05-26T00:00:00"/>
    <s v="Cumul frais de Trust Building mois de Mai 2023/T73"/>
    <s v="Trust Building"/>
    <s v="Investigation"/>
    <m/>
    <n v="52000"/>
    <n v="20047663"/>
    <s v="T73"/>
    <s v="Décharge"/>
    <x v="2"/>
    <x v="2"/>
    <s v="CONGO"/>
    <m/>
    <m/>
    <m/>
  </r>
  <r>
    <d v="2023-05-26T00:00:00"/>
    <s v="Reçu de caisse/P29"/>
    <s v="Versement"/>
    <m/>
    <n v="40000"/>
    <m/>
    <n v="20087663"/>
    <s v="P29"/>
    <m/>
    <x v="0"/>
    <x v="0"/>
    <m/>
    <m/>
    <m/>
    <m/>
  </r>
  <r>
    <d v="2023-05-26T00:00:00"/>
    <s v="Frais d'Impression documents"/>
    <s v="Office Materials"/>
    <s v="Office"/>
    <m/>
    <n v="250"/>
    <n v="20087413"/>
    <s v="Evariste"/>
    <s v="Oui"/>
    <x v="2"/>
    <x v="2"/>
    <s v="CONGO"/>
    <m/>
    <m/>
    <m/>
  </r>
  <r>
    <d v="2023-05-26T00:00:00"/>
    <s v="Fais produit pharmaceutiques du detenu KONDO MABIALA"/>
    <s v="Jail Visits"/>
    <s v="Legal"/>
    <m/>
    <n v="27410"/>
    <n v="20060003"/>
    <s v="Donald"/>
    <s v="Oui"/>
    <x v="2"/>
    <x v="2"/>
    <s v="CONGO"/>
    <m/>
    <m/>
    <m/>
  </r>
  <r>
    <d v="2023-05-26T00:00:00"/>
    <s v="Reçu de Grâce /Crépin"/>
    <s v="Versement"/>
    <m/>
    <n v="40000"/>
    <m/>
    <n v="20100003"/>
    <s v="Crépin"/>
    <m/>
    <x v="0"/>
    <x v="0"/>
    <m/>
    <m/>
    <m/>
    <m/>
  </r>
  <r>
    <d v="2023-05-27T00:00:00"/>
    <s v="Achat Raffraichissement Divers (Biscuits et Jus)/Autorité OPJ et EF"/>
    <s v="Travel Subsistence"/>
    <s v="Operation"/>
    <m/>
    <n v="6000"/>
    <n v="20094003"/>
    <s v="Grace"/>
    <s v="Oui"/>
    <x v="2"/>
    <x v="2"/>
    <s v="CONGO"/>
    <m/>
    <m/>
    <m/>
  </r>
  <r>
    <d v="2023-05-27T00:00:00"/>
    <s v="Transfert à Crépin/Grace MOLENDE"/>
    <s v="Versement"/>
    <m/>
    <m/>
    <n v="100000"/>
    <n v="19994003"/>
    <s v="Grace"/>
    <m/>
    <x v="0"/>
    <x v="0"/>
    <m/>
    <m/>
    <m/>
    <m/>
  </r>
  <r>
    <d v="2023-05-27T00:00:00"/>
    <s v="Frais Location taxi  extraction P29 et T73/ Dolisie - Brazzaville"/>
    <s v="Transport"/>
    <s v="Operation"/>
    <m/>
    <n v="60000"/>
    <n v="19934003"/>
    <s v="Merveille"/>
    <s v="Oui"/>
    <x v="2"/>
    <x v="2"/>
    <s v="CONGO"/>
    <m/>
    <m/>
    <m/>
  </r>
  <r>
    <d v="2023-05-27T00:00:00"/>
    <s v="Reçu de Grace/T73 "/>
    <s v="Versement"/>
    <m/>
    <n v="40000"/>
    <m/>
    <n v="19974003"/>
    <s v="T73"/>
    <m/>
    <x v="0"/>
    <x v="0"/>
    <m/>
    <m/>
    <m/>
    <m/>
  </r>
  <r>
    <d v="2023-05-27T00:00:00"/>
    <s v="T73 - CONGO Frais d'Hotel du 25 au 27/05/2023 dans la suite (02 nuitées) à dolisie op"/>
    <s v="Travel Subsistence"/>
    <s v="Operation"/>
    <m/>
    <n v="80000"/>
    <n v="19894003"/>
    <s v="T73"/>
    <s v="Oui"/>
    <x v="1"/>
    <x v="1"/>
    <s v="CONGO"/>
    <s v="RALFF-CO4586"/>
    <s v="1.3.2"/>
    <m/>
  </r>
  <r>
    <d v="2023-05-27T00:00:00"/>
    <s v="P29 - CONGO Frais d'hotel du 25  au 27/05/2023  dans la suite à Dolisie lieu op (02 nuitées)"/>
    <s v="Travel Subsistence"/>
    <s v="Operation"/>
    <m/>
    <n v="80000"/>
    <n v="19814003"/>
    <s v="P29"/>
    <s v="Oui"/>
    <x v="1"/>
    <x v="1"/>
    <s v="CONGO"/>
    <s v="RALFF-CO4587"/>
    <s v="1.3.2"/>
    <m/>
  </r>
  <r>
    <d v="2023-05-27T00:00:00"/>
    <s v="Cumul frais de Transport local mois de Mai 2023/P29"/>
    <s v="Transport"/>
    <s v="Investigation"/>
    <m/>
    <n v="42200"/>
    <n v="19771803"/>
    <s v="P29"/>
    <s v="Décharge"/>
    <x v="2"/>
    <x v="1"/>
    <s v="CONGO"/>
    <s v="RALFF-CO4588"/>
    <s v="2.2"/>
    <m/>
  </r>
  <r>
    <d v="2023-05-27T00:00:00"/>
    <s v="Cumul frais de Trust Bulding mois de Mai 2023/P29"/>
    <s v="Trust Building"/>
    <s v="Investigation"/>
    <m/>
    <n v="55000"/>
    <n v="19716803"/>
    <s v="P29"/>
    <s v="Décharge"/>
    <x v="2"/>
    <x v="2"/>
    <s v="CONGO"/>
    <m/>
    <m/>
    <m/>
  </r>
  <r>
    <d v="2023-05-27T00:00:00"/>
    <s v="Rafraichissement de l'OP pour OPJ et agent EF"/>
    <s v="Travel Subsistence"/>
    <s v="Operation"/>
    <m/>
    <n v="4900"/>
    <n v="19711903"/>
    <s v="Hurielle"/>
    <s v="Oui"/>
    <x v="2"/>
    <x v="2"/>
    <s v="CONGO"/>
    <m/>
    <m/>
    <m/>
  </r>
  <r>
    <d v="2023-05-27T00:00:00"/>
    <s v="Rafraichissement (opération du 27 mai 2023 à Dolisie) OPJ et EF"/>
    <s v="Travel Subsistence"/>
    <s v="Operation"/>
    <m/>
    <n v="4800"/>
    <n v="19707103"/>
    <s v="Evariste"/>
    <s v="Oui"/>
    <x v="2"/>
    <x v="2"/>
    <s v="CONGO"/>
    <m/>
    <m/>
    <m/>
  </r>
  <r>
    <d v="2023-05-27T00:00:00"/>
    <s v="Achat raffraichissement (10 biscuit, 05 Reaktor,05 jus coca-cola,16 bouiteille d'eau vival)"/>
    <s v="Travel Subsistence"/>
    <s v="Operation"/>
    <m/>
    <n v="9750"/>
    <n v="19697353"/>
    <s v="Donald"/>
    <s v="Oui"/>
    <x v="2"/>
    <x v="2"/>
    <s v="CONGO"/>
    <m/>
    <m/>
    <m/>
  </r>
  <r>
    <d v="2023-05-27T00:00:00"/>
    <s v="Achat carburant BJ de la gendarmerie"/>
    <s v="Transport"/>
    <s v="Operation"/>
    <m/>
    <n v="25000"/>
    <n v="19672353"/>
    <s v="Donald"/>
    <s v="Oui"/>
    <x v="2"/>
    <x v="2"/>
    <s v="CONGO"/>
    <m/>
    <m/>
    <m/>
  </r>
  <r>
    <d v="2023-05-27T00:00:00"/>
    <s v="CREPIN - CONGO Frais d'hotel du 25 au 27/05/2023 suite à Dolisie (02 nuitées) pour OP"/>
    <s v="Travel Subsistence"/>
    <s v="Operation"/>
    <m/>
    <n v="80000"/>
    <n v="19592353"/>
    <s v="Crépin"/>
    <s v="Oui"/>
    <x v="2"/>
    <x v="1"/>
    <s v="CONGO"/>
    <s v="RALFF-CO4589"/>
    <s v="1.3.2"/>
    <m/>
  </r>
  <r>
    <d v="2023-05-27T00:00:00"/>
    <s v="CREPIN - CONGO Frais d'hotel du 27 au 28/05/2023 suite à Dolisie (01 nuitée) "/>
    <s v="Travel Subsistence"/>
    <s v="Legal"/>
    <m/>
    <n v="40000"/>
    <n v="19552353"/>
    <s v="Crépin"/>
    <s v="Oui"/>
    <x v="2"/>
    <x v="2"/>
    <s v="CONGO"/>
    <m/>
    <m/>
    <m/>
  </r>
  <r>
    <d v="2023-05-27T00:00:00"/>
    <s v="Raffraichissement pendant l'attente de l'opération pour 02 gendarmes, 01 agent EF et moi (Grillades, manioc et bieres)"/>
    <s v="Travel Subsistence"/>
    <s v="Operation"/>
    <m/>
    <n v="9500"/>
    <n v="19542853"/>
    <s v="Crépin"/>
    <s v="Oui"/>
    <x v="2"/>
    <x v="2"/>
    <s v="CONGO"/>
    <m/>
    <m/>
    <m/>
  </r>
  <r>
    <d v="2023-05-27T00:00:00"/>
    <s v="Reçu de Grace/Crépin"/>
    <s v="Versement"/>
    <m/>
    <n v="100000"/>
    <m/>
    <n v="19642853"/>
    <s v="Crépin"/>
    <m/>
    <x v="0"/>
    <x v="0"/>
    <m/>
    <m/>
    <m/>
    <m/>
  </r>
  <r>
    <d v="2023-05-28T00:00:00"/>
    <s v="Donald-CONGO Frais d'hôtel (03 Nuitées) OP du 25 au 28/05/2023  à Dolisie"/>
    <s v="Travel Subsistence"/>
    <s v="Operation"/>
    <m/>
    <n v="45000"/>
    <n v="19597853"/>
    <s v="Donald"/>
    <s v="Oui"/>
    <x v="2"/>
    <x v="2"/>
    <s v="CONGO"/>
    <m/>
    <m/>
    <m/>
  </r>
  <r>
    <d v="2023-05-28T00:00:00"/>
    <s v="GRACE MOLENDE - CONGO Frais d'Hotel 25 au 28/05/23 (03 Nuitées) à Dolisie OP"/>
    <s v="Travel Subsistence"/>
    <s v="Operation"/>
    <m/>
    <n v="45000"/>
    <n v="19552853"/>
    <s v="Grace"/>
    <s v="Oui"/>
    <x v="2"/>
    <x v="2"/>
    <s v="CONGO"/>
    <m/>
    <m/>
    <m/>
  </r>
  <r>
    <d v="2023-05-28T00:00:00"/>
    <s v="MERVEILLE-CONGO Frais d'hotel du 25 au 28 Mai 2023 ( 03 Nuitées) à Dolisie,op"/>
    <s v="Travel Subsistence"/>
    <s v="Operation"/>
    <m/>
    <n v="45000"/>
    <n v="19507853"/>
    <s v="Merveille"/>
    <s v="Oui"/>
    <x v="2"/>
    <x v="2"/>
    <s v="CONGO"/>
    <m/>
    <m/>
    <m/>
  </r>
  <r>
    <d v="2023-05-28T00:00:00"/>
    <s v="T73 - CONGO Frais d'Hotel du 27 au 28/05/2023 dans la suite (01 nuitée) à dolisie"/>
    <s v="Travel Subsistence"/>
    <s v="Investigation"/>
    <m/>
    <n v="40000"/>
    <n v="19467853"/>
    <s v="T73"/>
    <s v="Oui"/>
    <x v="2"/>
    <x v="2"/>
    <s v="CONGO"/>
    <m/>
    <m/>
    <m/>
  </r>
  <r>
    <d v="2023-05-28T00:00:00"/>
    <s v="P29 - CONGO Frais d'hotel du 27  au 28/05/2023  dans la suite à Dolisie (01 nuitée)"/>
    <s v="Travel Subsistence"/>
    <s v="Operation"/>
    <m/>
    <n v="40000"/>
    <n v="19427853"/>
    <s v="P29"/>
    <s v="Oui"/>
    <x v="2"/>
    <x v="2"/>
    <s v="CONGO"/>
    <m/>
    <m/>
    <m/>
  </r>
  <r>
    <d v="2023-05-28T00:00:00"/>
    <s v="HURIELLE - CONGO Frais d'Hôtel du 25 au 28/05/2023 à Dolisie OP"/>
    <s v="Travel Subsistence"/>
    <s v="Operation"/>
    <m/>
    <n v="45000"/>
    <n v="19382853"/>
    <s v="Hurielle"/>
    <s v="Oui"/>
    <x v="2"/>
    <x v="2"/>
    <s v="CONGO"/>
    <m/>
    <m/>
    <m/>
  </r>
  <r>
    <d v="2023-05-28T00:00:00"/>
    <s v="EVARISTE - CONGOFrais d'hôtel du 25 au 28 mai 2023 (03 nuitées) à Dolisie OP"/>
    <s v="Travel Subsistence"/>
    <s v="Operation"/>
    <m/>
    <n v="45000"/>
    <n v="19337853"/>
    <s v="Evariste"/>
    <s v="Oui"/>
    <x v="2"/>
    <x v="2"/>
    <s v="CONGO"/>
    <m/>
    <m/>
    <m/>
  </r>
  <r>
    <d v="2023-05-29T00:00:00"/>
    <s v="Cumul frais de transport local mois de Mai 2023/Tiffany"/>
    <s v="Transport"/>
    <s v="Management"/>
    <m/>
    <n v="10000"/>
    <n v="19327853"/>
    <s v="Tiffany"/>
    <s v="Décharge"/>
    <x v="2"/>
    <x v="1"/>
    <s v="CONGO"/>
    <s v="RALFF-CO4590"/>
    <s v="2.2"/>
    <m/>
  </r>
  <r>
    <d v="2023-05-30T00:00:00"/>
    <s v="Crépin"/>
    <s v="Versement"/>
    <m/>
    <m/>
    <n v="244000"/>
    <n v="19083853"/>
    <s v="Caisse"/>
    <m/>
    <x v="0"/>
    <x v="0"/>
    <m/>
    <m/>
    <m/>
    <m/>
  </r>
  <r>
    <d v="2023-05-30T00:00:00"/>
    <s v="Hurielle"/>
    <s v="Versement"/>
    <m/>
    <m/>
    <n v="129000"/>
    <n v="18954853"/>
    <s v="Caisse"/>
    <m/>
    <x v="0"/>
    <x v="0"/>
    <m/>
    <m/>
    <m/>
    <m/>
  </r>
  <r>
    <d v="2023-05-30T00:00:00"/>
    <s v="Donald-Roméo"/>
    <s v="Versement"/>
    <m/>
    <m/>
    <n v="129000"/>
    <n v="18825853"/>
    <s v="Caisse"/>
    <m/>
    <x v="0"/>
    <x v="0"/>
    <m/>
    <m/>
    <m/>
    <m/>
  </r>
  <r>
    <d v="2023-05-30T00:00:00"/>
    <s v="Frais de transfert charden farell à Crépin, Hurielle et Donald"/>
    <s v="Transfer fees"/>
    <s v="Office"/>
    <m/>
    <n v="15060"/>
    <n v="18810793"/>
    <s v="Caisse"/>
    <s v="Oui"/>
    <x v="2"/>
    <x v="1"/>
    <s v="CONGO"/>
    <s v="RALFF-CO4591"/>
    <s v="5.6"/>
    <m/>
  </r>
  <r>
    <d v="2023-05-30T00:00:00"/>
    <s v="Frais de mission maitre Marie Hélène MALONGA à Dolisie du 31 Mai et 02 Juin 2023"/>
    <s v="Lawyer fees"/>
    <s v="Legal"/>
    <m/>
    <n v="76000"/>
    <n v="18734793"/>
    <s v="Caisse"/>
    <s v="Oui"/>
    <x v="1"/>
    <x v="1"/>
    <s v="CONGO"/>
    <s v="RALFF-CO4592"/>
    <s v="5.2.2"/>
    <m/>
  </r>
  <r>
    <d v="2023-05-30T00:00:00"/>
    <s v="Oracle"/>
    <s v="Versement"/>
    <m/>
    <m/>
    <n v="20000"/>
    <n v="18714793"/>
    <s v="Caisse"/>
    <m/>
    <x v="0"/>
    <x v="0"/>
    <m/>
    <m/>
    <m/>
    <m/>
  </r>
  <r>
    <d v="2023-05-30T00:00:00"/>
    <s v="Entretretien général Jardin, Bureau PALF Mois de Mai 2023"/>
    <s v="Services"/>
    <s v="Office"/>
    <m/>
    <n v="20000"/>
    <n v="18694793"/>
    <s v="Caisse"/>
    <s v="Oui"/>
    <x v="2"/>
    <x v="2"/>
    <s v="CONGO"/>
    <m/>
    <m/>
    <m/>
  </r>
  <r>
    <d v="2023-05-30T00:00:00"/>
    <s v="Reglement Facture Honoraire Me LOCKO Christian Mois d'Avril 2023/3654548"/>
    <s v="Lawyer fees"/>
    <s v="Legal"/>
    <m/>
    <n v="150000"/>
    <n v="18544793"/>
    <s v="BCI"/>
    <n v="3654548"/>
    <x v="2"/>
    <x v="2"/>
    <s v="CONGO"/>
    <m/>
    <m/>
    <m/>
  </r>
  <r>
    <d v="2023-05-30T00:00:00"/>
    <s v="Reglement Facture Gardiennage Mois de Mai 2023/3654549"/>
    <s v="Services"/>
    <s v="Office"/>
    <m/>
    <n v="260000"/>
    <n v="18284793"/>
    <s v="BCI"/>
    <n v="3654549"/>
    <x v="2"/>
    <x v="2"/>
    <s v="CONGO"/>
    <m/>
    <m/>
    <m/>
  </r>
  <r>
    <d v="2023-05-30T00:00:00"/>
    <s v="Reglement Facture Honoraire Me LOCKO Christian Mois de Mai 2023/3654550"/>
    <s v="Lawyer fees"/>
    <s v="Legal"/>
    <m/>
    <n v="150000"/>
    <n v="18134793"/>
    <s v="BCI"/>
    <n v="3654550"/>
    <x v="2"/>
    <x v="2"/>
    <s v="CONGO"/>
    <m/>
    <m/>
    <m/>
  </r>
  <r>
    <d v="2023-05-30T00:00:00"/>
    <s v="Retour Caisse / Grace MOLENDE"/>
    <s v="Versement"/>
    <m/>
    <m/>
    <n v="80000"/>
    <n v="18054793"/>
    <s v="Grace"/>
    <m/>
    <x v="0"/>
    <x v="0"/>
    <m/>
    <m/>
    <m/>
    <m/>
  </r>
  <r>
    <d v="2023-05-30T00:00:00"/>
    <s v="Cumul frais de transfert mois de  Mai 2023 / GRACE MOLENDE"/>
    <s v="Transport"/>
    <s v="Management"/>
    <m/>
    <n v="10000"/>
    <n v="18044793"/>
    <s v="Grace"/>
    <s v="Décharge"/>
    <x v="2"/>
    <x v="1"/>
    <s v="CONGO"/>
    <s v="RALFF-CO4593"/>
    <s v="2.2"/>
    <m/>
  </r>
  <r>
    <d v="2023-05-30T00:00:00"/>
    <s v="Reglement Facture Honoraire mois de Mai 2023/P29"/>
    <s v="Personnel"/>
    <s v="Investigation"/>
    <m/>
    <n v="390000"/>
    <n v="17654793"/>
    <s v="BCI-Sous Compte"/>
    <n v="3667345"/>
    <x v="1"/>
    <x v="1"/>
    <s v="CONGO"/>
    <s v="RALFF-CO4594"/>
    <s v="1.1.1.9"/>
    <m/>
  </r>
  <r>
    <d v="2023-05-30T00:00:00"/>
    <s v="Reglement Facture Honoraire mois de Mai 2023/T73"/>
    <s v="Personnel"/>
    <s v="Investigation"/>
    <m/>
    <n v="340000"/>
    <n v="17314793"/>
    <s v="BCI-Sous Compte"/>
    <n v="3667346"/>
    <x v="1"/>
    <x v="1"/>
    <s v="CONGO"/>
    <s v="RALFF-CO4595"/>
    <s v="1.1.1.9"/>
    <m/>
  </r>
  <r>
    <d v="2023-05-30T00:00:00"/>
    <s v="Recu caisse/Hurielle"/>
    <s v="Versement"/>
    <m/>
    <n v="129000"/>
    <m/>
    <n v="17443793"/>
    <s v="Hurielle"/>
    <m/>
    <x v="0"/>
    <x v="0"/>
    <m/>
    <m/>
    <m/>
    <m/>
  </r>
  <r>
    <d v="2023-05-30T00:00:00"/>
    <s v="Reçu de Crépin/Evariste"/>
    <s v="Versement"/>
    <m/>
    <n v="43000"/>
    <m/>
    <n v="17486793"/>
    <s v="Evariste"/>
    <m/>
    <x v="0"/>
    <x v="0"/>
    <m/>
    <m/>
    <m/>
    <m/>
  </r>
  <r>
    <d v="2023-05-30T00:00:00"/>
    <s v="Reçu caisse/Donald"/>
    <s v="Versement"/>
    <m/>
    <n v="129000"/>
    <m/>
    <n v="17615793"/>
    <s v="Donald"/>
    <m/>
    <x v="0"/>
    <x v="0"/>
    <m/>
    <m/>
    <m/>
    <m/>
  </r>
  <r>
    <d v="2023-05-30T00:00:00"/>
    <s v="Reçu de caisse/Crépin"/>
    <s v="Versement"/>
    <m/>
    <n v="244000"/>
    <m/>
    <n v="17859793"/>
    <s v="Crépin"/>
    <m/>
    <x v="0"/>
    <x v="0"/>
    <m/>
    <m/>
    <m/>
    <m/>
  </r>
  <r>
    <d v="2023-05-30T00:00:00"/>
    <s v="Moi à Evariste/Crépin"/>
    <s v="Versement"/>
    <m/>
    <m/>
    <n v="43000"/>
    <n v="17816793"/>
    <s v="Crépin"/>
    <m/>
    <x v="0"/>
    <x v="0"/>
    <m/>
    <m/>
    <m/>
    <m/>
  </r>
  <r>
    <d v="2023-05-30T00:00:00"/>
    <s v="Reçu caisse/Oracle"/>
    <s v="Versement"/>
    <m/>
    <n v="20000"/>
    <m/>
    <n v="17836793"/>
    <s v="Oracle"/>
    <m/>
    <x v="0"/>
    <x v="0"/>
    <m/>
    <m/>
    <m/>
    <m/>
  </r>
  <r>
    <d v="2023-05-31T00:00:00"/>
    <s v="Grace"/>
    <s v="Versement"/>
    <m/>
    <n v="80000"/>
    <m/>
    <n v="17916793"/>
    <s v="Caisse"/>
    <m/>
    <x v="0"/>
    <x v="0"/>
    <m/>
    <m/>
    <m/>
    <m/>
  </r>
  <r>
    <d v="2023-05-31T00:00:00"/>
    <s v="Hurielle"/>
    <s v="Versement"/>
    <m/>
    <m/>
    <n v="10000"/>
    <n v="17906793"/>
    <s v="Caisse"/>
    <m/>
    <x v="0"/>
    <x v="0"/>
    <m/>
    <m/>
    <m/>
    <m/>
  </r>
  <r>
    <d v="2023-05-31T00:00:00"/>
    <s v="Frais de transfert charden farell à Hurielle"/>
    <s v="Transfer fees"/>
    <s v="Office"/>
    <m/>
    <n v="1500"/>
    <n v="17905293"/>
    <s v="Caisse"/>
    <s v="Oui"/>
    <x v="2"/>
    <x v="1"/>
    <s v="CONGO"/>
    <s v="RALFF-CO4596"/>
    <s v="5.6"/>
    <m/>
  </r>
  <r>
    <d v="2023-05-31T00:00:00"/>
    <s v="Règlement prestation technicienne de surface (mois de Mai  2023)"/>
    <s v="Services"/>
    <s v="Office"/>
    <m/>
    <n v="75625"/>
    <n v="17829668"/>
    <s v="Caisse"/>
    <s v="Oui"/>
    <x v="2"/>
    <x v="2"/>
    <s v="CONGO"/>
    <m/>
    <m/>
    <m/>
  </r>
  <r>
    <d v="2023-05-31T00:00:00"/>
    <s v="Reglemeent Facture Internet (Canal Box_Periode du 31/05 au 01/07 2023)"/>
    <s v="Internet"/>
    <s v="Office"/>
    <m/>
    <n v="45050"/>
    <n v="17784618"/>
    <s v="Caisse"/>
    <s v="Oui"/>
    <x v="1"/>
    <x v="1"/>
    <s v="CONGO"/>
    <s v="RALFF-CO4597"/>
    <s v="4.5"/>
    <m/>
  </r>
  <r>
    <d v="2023-05-31T00:00:00"/>
    <s v="T73"/>
    <s v="Versement"/>
    <m/>
    <m/>
    <n v="153000"/>
    <n v="17631618"/>
    <s v="Caisse"/>
    <m/>
    <x v="0"/>
    <x v="0"/>
    <m/>
    <m/>
    <m/>
    <m/>
  </r>
  <r>
    <d v="2023-05-31T00:00:00"/>
    <s v="Cumul frais de transport local mois de Mai 2023/Merveille"/>
    <s v="Transport"/>
    <s v="Management"/>
    <m/>
    <n v="25400"/>
    <n v="17606218"/>
    <s v="Merveille"/>
    <s v="Décharge"/>
    <x v="2"/>
    <x v="1"/>
    <s v="CONGO"/>
    <s v="RALFF-CO4598"/>
    <s v="2.2"/>
    <m/>
  </r>
  <r>
    <d v="2023-05-31T00:00:00"/>
    <s v="Reçu caisse/T73 "/>
    <s v="Versement"/>
    <m/>
    <n v="153000"/>
    <m/>
    <n v="17784618"/>
    <s v="T73"/>
    <m/>
    <x v="0"/>
    <x v="0"/>
    <m/>
    <m/>
    <m/>
    <m/>
  </r>
  <r>
    <d v="2023-05-31T00:00:00"/>
    <s v="Cumul Frais de Jail visit mois de Mai 2023/Hurielle"/>
    <s v="Jail Visits"/>
    <s v="Legal"/>
    <m/>
    <n v="44300"/>
    <n v="17740318"/>
    <s v="Hurielle"/>
    <s v="Décharge"/>
    <x v="2"/>
    <x v="2"/>
    <s v="CONGO"/>
    <m/>
    <m/>
    <m/>
  </r>
  <r>
    <d v="2023-05-31T00:00:00"/>
    <s v="Cumul Frais de transport local mois de Mai 2023/Hurielle"/>
    <s v="Transport"/>
    <s v="Legal"/>
    <m/>
    <n v="26200"/>
    <n v="17714118"/>
    <s v="Hurielle"/>
    <s v="Décharge"/>
    <x v="2"/>
    <x v="1"/>
    <s v="CONGO"/>
    <s v="RALFF-CO4599"/>
    <s v="2.2"/>
    <m/>
  </r>
  <r>
    <d v="2023-05-31T00:00:00"/>
    <s v="Recu caisse/Hurielle"/>
    <s v="Versement"/>
    <m/>
    <n v="10000"/>
    <m/>
    <n v="17724118"/>
    <s v="Hurielle"/>
    <m/>
    <x v="0"/>
    <x v="0"/>
    <m/>
    <m/>
    <m/>
    <m/>
  </r>
  <r>
    <d v="2023-05-31T00:00:00"/>
    <s v="HURIELLE - CONGO Frais d'hôtel du 27 au 31/05/2023 à Dolisie"/>
    <s v="Travel Subsistence"/>
    <s v="Legal"/>
    <m/>
    <n v="60000"/>
    <n v="17664118"/>
    <s v="Hurielle"/>
    <s v="Oui"/>
    <x v="2"/>
    <x v="1"/>
    <s v="CONGO"/>
    <s v="RALFF-CO4600"/>
    <s v="1.3.2"/>
    <m/>
  </r>
  <r>
    <d v="2023-05-31T00:00:00"/>
    <s v="Reçu de Roméo/Evariste"/>
    <s v="Versement"/>
    <m/>
    <n v="28000"/>
    <m/>
    <n v="17692118"/>
    <s v="Evariste"/>
    <m/>
    <x v="0"/>
    <x v="0"/>
    <m/>
    <m/>
    <m/>
    <m/>
  </r>
  <r>
    <d v="2023-05-31T00:00:00"/>
    <s v="Achat Billet Dolisie-Brazzaville/Evariste"/>
    <s v="Transport"/>
    <s v="Media"/>
    <m/>
    <n v="10000"/>
    <n v="17682118"/>
    <s v="Evariste"/>
    <s v="Oui"/>
    <x v="2"/>
    <x v="1"/>
    <s v="CONGO"/>
    <s v="RALFF-CO4601"/>
    <s v="2.2"/>
    <m/>
  </r>
  <r>
    <d v="2023-05-31T00:00:00"/>
    <s v="EVARISTE - CONGO Frais d'hôtel du 27 au 31 mai 2023 (04 nuitées) à Dolisie"/>
    <s v="Travel Subsistence"/>
    <s v="Media"/>
    <m/>
    <n v="60000"/>
    <n v="17622118"/>
    <s v="Evariste"/>
    <s v="Oui"/>
    <x v="2"/>
    <x v="1"/>
    <s v="CONGO"/>
    <s v="RALFF-CO4602"/>
    <s v="1.3.2"/>
    <m/>
  </r>
  <r>
    <d v="2023-05-31T00:00:00"/>
    <s v="Cumul frais de Transport local mois de Mai 2023/EVARISTE LELOUSSI"/>
    <s v="Transport"/>
    <s v="Media"/>
    <m/>
    <n v="32000"/>
    <n v="17590118"/>
    <s v="Evariste"/>
    <s v="Décharge"/>
    <x v="2"/>
    <x v="1"/>
    <s v="CONGO"/>
    <s v="RALFF-CO4603"/>
    <s v="2.2"/>
    <m/>
  </r>
  <r>
    <d v="2023-05-31T00:00:00"/>
    <s v="Remis à Evariste/Donald"/>
    <s v="Versement"/>
    <m/>
    <m/>
    <n v="28000"/>
    <n v="17562118"/>
    <s v="Donald"/>
    <m/>
    <x v="0"/>
    <x v="0"/>
    <m/>
    <m/>
    <m/>
    <m/>
  </r>
  <r>
    <d v="2023-05-31T00:00:00"/>
    <s v="Cumul Frais de Jail visit du mois Mai 2023/Donald"/>
    <s v="Jail Visits"/>
    <s v="Legal"/>
    <m/>
    <n v="85950"/>
    <n v="17476168"/>
    <s v="Donald"/>
    <s v="Décharge"/>
    <x v="2"/>
    <x v="2"/>
    <s v="CONGO"/>
    <m/>
    <m/>
    <m/>
  </r>
  <r>
    <d v="2023-05-31T00:00:00"/>
    <s v="Cumul Frais de transport local du mois Mai 2023/Donald"/>
    <s v="Transport"/>
    <s v="Legal"/>
    <m/>
    <n v="45500"/>
    <n v="17430668"/>
    <s v="Donald"/>
    <s v="Décharge"/>
    <x v="2"/>
    <x v="1"/>
    <s v="CONGO"/>
    <s v="RALFF-CO4604"/>
    <s v="2.2"/>
    <m/>
  </r>
  <r>
    <d v="2023-05-31T00:00:00"/>
    <s v="Frais d'Impression photos ( 28 photos *200fcfa)"/>
    <s v="Travel Subsistence"/>
    <s v="Operation"/>
    <m/>
    <n v="4800"/>
    <n v="17425868"/>
    <s v="Donald"/>
    <s v="Oui"/>
    <x v="2"/>
    <x v="2"/>
    <s v="CONGO"/>
    <m/>
    <m/>
    <m/>
  </r>
  <r>
    <d v="2023-05-31T00:00:00"/>
    <s v="Cumul frais de transport local mois de Mai 2023/Crépin IBOUILI"/>
    <s v="Transport"/>
    <s v="Management"/>
    <m/>
    <n v="25900"/>
    <n v="17399968"/>
    <s v="Crépin"/>
    <s v="Décharge"/>
    <x v="2"/>
    <x v="1"/>
    <s v="CONGO"/>
    <s v="RALFF-CO4605"/>
    <s v="2.2"/>
    <m/>
  </r>
  <r>
    <d v="2023-05-31T00:00:00"/>
    <s v="Bonus pour 18 gendarmes ayant participé à l'opération du 27/05/2023 à Dolisie"/>
    <s v="Bonus"/>
    <s v="Operation"/>
    <m/>
    <n v="180000"/>
    <n v="17219968"/>
    <s v="Crépin"/>
    <s v="Oui"/>
    <x v="2"/>
    <x v="2"/>
    <s v="CONGO"/>
    <m/>
    <m/>
    <m/>
  </r>
  <r>
    <d v="2023-05-31T00:00:00"/>
    <s v="Bonus pour 04 EF ayant participé à l'opération du 27/05/2023 à Dolisie"/>
    <s v="Bonus"/>
    <s v="Operation"/>
    <m/>
    <n v="40000"/>
    <n v="17179968"/>
    <s v="Crépin"/>
    <s v="Oui"/>
    <x v="2"/>
    <x v="2"/>
    <s v="CONGO"/>
    <m/>
    <m/>
    <m/>
  </r>
  <r>
    <d v="2023-05-31T00:00:00"/>
    <s v="Cumul ris de ration journalière mois de Mai 2023/Oracle"/>
    <s v="Travel Subsistence"/>
    <s v="Legal"/>
    <m/>
    <n v="6000"/>
    <n v="17173968"/>
    <s v="Oracle"/>
    <s v="Décharge"/>
    <x v="2"/>
    <x v="2"/>
    <s v="CONGO"/>
    <m/>
    <m/>
    <m/>
  </r>
  <r>
    <d v="2023-05-31T00:00:00"/>
    <s v="Cumul frais de transport local mois de Mai 2023/Oracle"/>
    <s v="Transport"/>
    <s v="Legal"/>
    <m/>
    <n v="17000"/>
    <n v="17156968"/>
    <s v="Oracle"/>
    <s v="Décharge"/>
    <x v="2"/>
    <x v="2"/>
    <s v="CONGO"/>
    <m/>
    <m/>
    <m/>
  </r>
  <r>
    <d v="2023-05-31T00:00:00"/>
    <s v="CREPIN - CONGO Frais d'hôtel du 27 au 31 mai 2023 (04 nuitées) à Dolisie"/>
    <s v="Travel Subsistence"/>
    <s v="Legal"/>
    <m/>
    <n v="60000"/>
    <n v="17096968"/>
    <s v="Crépin"/>
    <s v="Oui"/>
    <x v="2"/>
    <x v="1"/>
    <s v="CONGO"/>
    <s v="RALFF-CO4606"/>
    <s v="1.3.2"/>
    <m/>
  </r>
  <r>
    <d v="2023-05-31T00:00:00"/>
    <s v="Donald-CONGO Frais d'hôtel (04 Nuitées) du 25 au 31/05/2023 à Dolisie"/>
    <s v="Travel Subsistence"/>
    <s v="Legal"/>
    <m/>
    <n v="60000"/>
    <n v="17036968"/>
    <s v="Donald"/>
    <s v="Oui"/>
    <x v="2"/>
    <x v="1"/>
    <s v="CONGO"/>
    <s v="RALFF-CO4607"/>
    <s v="1.3.2"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3">
  <r>
    <d v="2023-05-01T00:00:00"/>
    <s v="Solde au 01/05/2023"/>
    <x v="0"/>
    <m/>
    <m/>
    <m/>
    <n v="27242867"/>
    <x v="0"/>
    <m/>
    <x v="0"/>
    <m/>
    <m/>
    <m/>
    <m/>
    <m/>
  </r>
  <r>
    <d v="2023-05-02T00:00:00"/>
    <s v="Achat ampoule pour bureau/PALF"/>
    <x v="1"/>
    <s v="Office"/>
    <m/>
    <n v="16000"/>
    <n v="27226867"/>
    <x v="1"/>
    <s v="Oui"/>
    <x v="1"/>
    <s v="RALFF"/>
    <s v="CONGO"/>
    <s v="RALFF-CO4498"/>
    <s v="4.3"/>
    <m/>
  </r>
  <r>
    <d v="2023-05-02T00:00:00"/>
    <s v="Crépin"/>
    <x v="2"/>
    <m/>
    <m/>
    <n v="140000"/>
    <n v="27086867"/>
    <x v="1"/>
    <m/>
    <x v="0"/>
    <m/>
    <m/>
    <m/>
    <m/>
    <m/>
  </r>
  <r>
    <d v="2023-05-02T00:00:00"/>
    <s v="T73"/>
    <x v="2"/>
    <m/>
    <m/>
    <n v="10000"/>
    <n v="27076867"/>
    <x v="1"/>
    <m/>
    <x v="0"/>
    <m/>
    <m/>
    <m/>
    <m/>
    <m/>
  </r>
  <r>
    <d v="2023-05-02T00:00:00"/>
    <s v="D58"/>
    <x v="2"/>
    <m/>
    <m/>
    <n v="20000"/>
    <n v="27056867"/>
    <x v="1"/>
    <m/>
    <x v="0"/>
    <m/>
    <m/>
    <m/>
    <m/>
    <m/>
  </r>
  <r>
    <d v="2023-05-02T00:00:00"/>
    <s v="P29"/>
    <x v="2"/>
    <m/>
    <m/>
    <n v="100000"/>
    <n v="26956867"/>
    <x v="1"/>
    <m/>
    <x v="0"/>
    <m/>
    <m/>
    <m/>
    <m/>
    <m/>
  </r>
  <r>
    <d v="2023-05-02T00:00:00"/>
    <s v="Achat credit  teléphonique MTN/PALF/Prémière partie Mai 2023/Management"/>
    <x v="3"/>
    <s v="Management"/>
    <m/>
    <n v="38000"/>
    <n v="26918867"/>
    <x v="1"/>
    <s v="Oui"/>
    <x v="2"/>
    <s v="RALFF"/>
    <s v="CONGO"/>
    <s v="RALFF-CO4499"/>
    <s v="4.6"/>
    <m/>
  </r>
  <r>
    <d v="2023-05-02T00:00:00"/>
    <s v="Achat credit  teléphonique MTN/PALF/Prémière partie Mai 2023/Legal"/>
    <x v="3"/>
    <s v="Legal"/>
    <m/>
    <n v="53000"/>
    <n v="26865867"/>
    <x v="1"/>
    <s v="Oui"/>
    <x v="2"/>
    <s v="RALFF"/>
    <s v="CONGO"/>
    <s v="RALFF-CO4500"/>
    <s v="4.6"/>
    <m/>
  </r>
  <r>
    <d v="2023-05-02T00:00:00"/>
    <s v="Achat credit  teléphonique MTN/PALF/Prémière partie Mai 2023/Investigation"/>
    <x v="3"/>
    <s v="Investigation"/>
    <m/>
    <n v="52000"/>
    <n v="26813867"/>
    <x v="1"/>
    <s v="Oui"/>
    <x v="2"/>
    <s v="RALFF"/>
    <s v="CONGO"/>
    <s v="RALFF-CO4501"/>
    <s v="4.6"/>
    <m/>
  </r>
  <r>
    <d v="2023-05-02T00:00:00"/>
    <s v="Achat credit  teléphonique MTN/PALF/Prémière partie Mai 2023/Media"/>
    <x v="3"/>
    <s v="Media"/>
    <m/>
    <n v="5000"/>
    <n v="26808867"/>
    <x v="1"/>
    <s v="Oui"/>
    <x v="2"/>
    <s v="RALFF"/>
    <s v="CONGO"/>
    <s v="RALFF-CO4502"/>
    <s v="4.6"/>
    <m/>
  </r>
  <r>
    <d v="2023-05-02T00:00:00"/>
    <s v="Achat credit  teléphonique Airtel/PALF/Prémière partie Mai 2023/Management"/>
    <x v="3"/>
    <s v="Management"/>
    <m/>
    <n v="15000"/>
    <n v="26793867"/>
    <x v="1"/>
    <s v="Oui"/>
    <x v="2"/>
    <s v="RALFF"/>
    <s v="CONGO"/>
    <s v="RALFF-CO4503"/>
    <s v="4.6"/>
    <m/>
  </r>
  <r>
    <d v="2023-05-02T00:00:00"/>
    <s v="Achat credit  teléphonique Airtel/PALF/Prémière partie Mai 2023/Legal"/>
    <x v="3"/>
    <s v="Legal"/>
    <m/>
    <n v="10000"/>
    <n v="26783867"/>
    <x v="1"/>
    <s v="Oui"/>
    <x v="2"/>
    <s v="RALFF"/>
    <s v="CONGO"/>
    <s v="RALFF-CO4504"/>
    <s v="4.6"/>
    <m/>
  </r>
  <r>
    <d v="2023-05-02T00:00:00"/>
    <s v="Achat credit  teléphonique Airtel/PALF/Prémière partie Mai 2023/Investigation"/>
    <x v="3"/>
    <s v="Investigation"/>
    <m/>
    <n v="16000"/>
    <n v="26767867"/>
    <x v="1"/>
    <s v="Oui"/>
    <x v="2"/>
    <s v="RALFF"/>
    <s v="CONGO"/>
    <s v="RALFF-CO4505"/>
    <s v="4.6"/>
    <m/>
  </r>
  <r>
    <d v="2023-05-02T00:00:00"/>
    <s v="Achat credit  teléphonique Airtel/PALF/Prémière partie MaI 2023/Media"/>
    <x v="3"/>
    <s v="Media"/>
    <m/>
    <n v="11000"/>
    <n v="26756867"/>
    <x v="1"/>
    <s v="Oui"/>
    <x v="2"/>
    <s v="RALFF"/>
    <s v="CONGO"/>
    <s v="RALFF-CO4506"/>
    <s v="4.6"/>
    <m/>
  </r>
  <r>
    <d v="2023-05-02T00:00:00"/>
    <s v="Bonus media portant sur la formation CARE des agents PALF"/>
    <x v="4"/>
    <s v="Media"/>
    <m/>
    <n v="42000"/>
    <n v="26714867"/>
    <x v="1"/>
    <s v="Oui"/>
    <x v="2"/>
    <s v="PALF"/>
    <s v="CONGO"/>
    <m/>
    <m/>
    <m/>
  </r>
  <r>
    <d v="2023-05-02T00:00:00"/>
    <s v="Frais bancaire/Compte 34"/>
    <x v="5"/>
    <s v="Office"/>
    <m/>
    <n v="23345"/>
    <n v="26691522"/>
    <x v="2"/>
    <s v="Relevé"/>
    <x v="2"/>
    <s v="PALF"/>
    <s v="CONGO"/>
    <m/>
    <m/>
    <m/>
  </r>
  <r>
    <d v="2023-05-02T00:00:00"/>
    <s v="Frais bancaire/Compte 56"/>
    <x v="5"/>
    <s v="Office"/>
    <m/>
    <n v="15836"/>
    <n v="26675686"/>
    <x v="3"/>
    <s v="Relevé"/>
    <x v="1"/>
    <s v="RALFF"/>
    <s v="CONGO"/>
    <s v="RALFF-CO4507"/>
    <s v="5.6"/>
    <m/>
  </r>
  <r>
    <d v="2023-05-02T00:00:00"/>
    <s v="Recu caisse/D58"/>
    <x v="2"/>
    <m/>
    <n v="20000"/>
    <m/>
    <n v="26695686"/>
    <x v="4"/>
    <m/>
    <x v="0"/>
    <m/>
    <m/>
    <m/>
    <m/>
    <m/>
  </r>
  <r>
    <d v="2023-05-02T00:00:00"/>
    <s v="Reçu caisse/T73 "/>
    <x v="2"/>
    <m/>
    <n v="10000"/>
    <m/>
    <n v="26705686"/>
    <x v="5"/>
    <m/>
    <x v="0"/>
    <m/>
    <m/>
    <m/>
    <m/>
    <m/>
  </r>
  <r>
    <d v="2023-05-02T00:00:00"/>
    <s v="Reçu de caisse/Crépin"/>
    <x v="2"/>
    <m/>
    <n v="140000"/>
    <m/>
    <n v="26845686"/>
    <x v="6"/>
    <m/>
    <x v="0"/>
    <m/>
    <m/>
    <m/>
    <m/>
    <m/>
  </r>
  <r>
    <d v="2023-05-03T00:00:00"/>
    <s v="Achat 02 Cartouches d'encre imprimante RICOH et un paquet de chemise cartonnée"/>
    <x v="1"/>
    <s v="Office"/>
    <m/>
    <n v="165000"/>
    <n v="26680686"/>
    <x v="1"/>
    <s v="Oui"/>
    <x v="1"/>
    <s v="RALFF"/>
    <s v="CONGO"/>
    <s v="RALFF-CO4508"/>
    <s v="4.3"/>
    <m/>
  </r>
  <r>
    <d v="2023-05-03T00:00:00"/>
    <s v="Hurielle"/>
    <x v="2"/>
    <m/>
    <m/>
    <n v="3000"/>
    <n v="26677686"/>
    <x v="1"/>
    <m/>
    <x v="0"/>
    <m/>
    <m/>
    <m/>
    <m/>
    <m/>
  </r>
  <r>
    <d v="2023-05-03T00:00:00"/>
    <s v="Reçu de caisse/P29"/>
    <x v="2"/>
    <m/>
    <n v="100000"/>
    <m/>
    <n v="26777686"/>
    <x v="7"/>
    <m/>
    <x v="0"/>
    <m/>
    <m/>
    <m/>
    <m/>
    <m/>
  </r>
  <r>
    <d v="2023-05-03T00:00:00"/>
    <s v="Recu caisse/Hurielle"/>
    <x v="2"/>
    <m/>
    <n v="3000"/>
    <m/>
    <n v="26780686"/>
    <x v="8"/>
    <m/>
    <x v="0"/>
    <m/>
    <m/>
    <m/>
    <m/>
    <m/>
  </r>
  <r>
    <d v="2023-05-08T00:00:00"/>
    <s v="Crépin"/>
    <x v="2"/>
    <m/>
    <m/>
    <n v="30000"/>
    <n v="26750686"/>
    <x v="1"/>
    <m/>
    <x v="0"/>
    <m/>
    <m/>
    <m/>
    <m/>
    <m/>
  </r>
  <r>
    <d v="2023-05-08T00:00:00"/>
    <s v="Reçu de caisse/Crépin"/>
    <x v="2"/>
    <m/>
    <n v="30000"/>
    <m/>
    <n v="26780686"/>
    <x v="6"/>
    <m/>
    <x v="0"/>
    <m/>
    <m/>
    <m/>
    <m/>
    <m/>
  </r>
  <r>
    <d v="2023-05-08T00:00:00"/>
    <s v="Billet: Brazzaville-Pointe-Noire/Crépin"/>
    <x v="6"/>
    <s v="Management"/>
    <m/>
    <n v="15000"/>
    <n v="26765686"/>
    <x v="6"/>
    <s v="Oui"/>
    <x v="2"/>
    <s v="RALFF"/>
    <s v="CONGO"/>
    <s v="RALFF-CO4509"/>
    <s v="2.2"/>
    <m/>
  </r>
  <r>
    <d v="2023-05-09T00:00:00"/>
    <s v="Crépin"/>
    <x v="2"/>
    <m/>
    <m/>
    <n v="120000"/>
    <n v="26645686"/>
    <x v="1"/>
    <m/>
    <x v="0"/>
    <m/>
    <m/>
    <m/>
    <m/>
    <m/>
  </r>
  <r>
    <d v="2023-05-09T00:00:00"/>
    <s v="Frais de transfert charden farell à Crépin"/>
    <x v="7"/>
    <s v="Office"/>
    <m/>
    <n v="3600"/>
    <n v="26642086"/>
    <x v="1"/>
    <s v="Oui"/>
    <x v="2"/>
    <s v="RALFF"/>
    <s v="CONGO"/>
    <s v="RALFF-CO4510"/>
    <s v="5.6"/>
    <m/>
  </r>
  <r>
    <d v="2023-05-09T00:00:00"/>
    <s v="D58"/>
    <x v="2"/>
    <m/>
    <m/>
    <n v="83000"/>
    <n v="26559086"/>
    <x v="1"/>
    <m/>
    <x v="0"/>
    <m/>
    <m/>
    <m/>
    <m/>
    <m/>
  </r>
  <r>
    <d v="2023-05-09T00:00:00"/>
    <s v="T73"/>
    <x v="2"/>
    <m/>
    <m/>
    <n v="91500"/>
    <n v="26467586"/>
    <x v="1"/>
    <m/>
    <x v="0"/>
    <m/>
    <m/>
    <m/>
    <m/>
    <m/>
  </r>
  <r>
    <d v="2023-05-09T00:00:00"/>
    <s v="P29"/>
    <x v="2"/>
    <m/>
    <m/>
    <n v="80000"/>
    <n v="26387586"/>
    <x v="1"/>
    <m/>
    <x v="0"/>
    <m/>
    <m/>
    <m/>
    <m/>
    <m/>
  </r>
  <r>
    <d v="2023-05-09T00:00:00"/>
    <s v="Recu caisse/D58"/>
    <x v="2"/>
    <m/>
    <n v="83000"/>
    <m/>
    <n v="26470586"/>
    <x v="4"/>
    <m/>
    <x v="0"/>
    <m/>
    <m/>
    <m/>
    <m/>
    <m/>
  </r>
  <r>
    <d v="2023-05-09T00:00:00"/>
    <s v="Achat billet  Brazzaville - Pointe Noire  /D58"/>
    <x v="6"/>
    <s v="Investigation"/>
    <m/>
    <n v="15000"/>
    <n v="26455586"/>
    <x v="4"/>
    <s v="Oui"/>
    <x v="2"/>
    <s v="RALFF"/>
    <s v="CONGO"/>
    <s v="RALFF-CO4511"/>
    <s v="2.2"/>
    <m/>
  </r>
  <r>
    <d v="2023-05-09T00:00:00"/>
    <s v="Reçu caisse/T73 "/>
    <x v="2"/>
    <m/>
    <n v="91500"/>
    <m/>
    <n v="26547086"/>
    <x v="5"/>
    <m/>
    <x v="0"/>
    <m/>
    <m/>
    <m/>
    <m/>
    <m/>
  </r>
  <r>
    <d v="2023-05-09T00:00:00"/>
    <s v="Recu de caisse/P29"/>
    <x v="2"/>
    <m/>
    <n v="80000"/>
    <m/>
    <n v="26627086"/>
    <x v="7"/>
    <m/>
    <x v="0"/>
    <m/>
    <m/>
    <m/>
    <m/>
    <m/>
  </r>
  <r>
    <d v="2023-05-09T00:00:00"/>
    <s v="CREPIN - CONGO Food-Allowance du 09 au 13/05/2023 à Pointe-Noire (04 nuitées)"/>
    <x v="8"/>
    <s v="Management"/>
    <m/>
    <n v="40000"/>
    <n v="26587086"/>
    <x v="6"/>
    <s v="Décharge"/>
    <x v="1"/>
    <s v="RALFF"/>
    <s v="CONGO"/>
    <s v="RALFF-CO4512"/>
    <s v="1.3.2"/>
    <m/>
  </r>
  <r>
    <d v="2023-05-09T00:00:00"/>
    <s v="Reçu de caisse/Crépin"/>
    <x v="2"/>
    <m/>
    <n v="120000"/>
    <m/>
    <n v="26707086"/>
    <x v="6"/>
    <m/>
    <x v="0"/>
    <m/>
    <m/>
    <m/>
    <m/>
    <m/>
  </r>
  <r>
    <d v="2023-05-09T00:00:00"/>
    <s v="Achat billet,brazzaville-Oyo/P29"/>
    <x v="6"/>
    <s v="Investigation"/>
    <m/>
    <n v="5000"/>
    <n v="26702086"/>
    <x v="7"/>
    <s v="Oui"/>
    <x v="2"/>
    <s v="RALFF"/>
    <s v="CONGO"/>
    <s v="RALFF-CO4513"/>
    <s v="2.2"/>
    <m/>
  </r>
  <r>
    <d v="2023-05-10T00:00:00"/>
    <s v="Achat produits d'entretien bureau/Javel,sucre,papier toilette,café,lait,nescafé,lipton et sac poubelle"/>
    <x v="1"/>
    <s v="Office"/>
    <m/>
    <n v="52600"/>
    <n v="26649486"/>
    <x v="1"/>
    <s v="Oui"/>
    <x v="1"/>
    <s v="RALFF"/>
    <s v="CONGO"/>
    <s v="RALFF-CO4514"/>
    <s v="4.3"/>
    <m/>
  </r>
  <r>
    <d v="2023-05-10T00:00:00"/>
    <s v="Bonus media portant sur la formation CARE des agents PALF"/>
    <x v="4"/>
    <s v="Media"/>
    <m/>
    <n v="16000"/>
    <n v="26633486"/>
    <x v="1"/>
    <s v="Décharge"/>
    <x v="2"/>
    <s v="PALF"/>
    <s v="CONGO"/>
    <m/>
    <m/>
    <m/>
  </r>
  <r>
    <d v="2023-05-10T00:00:00"/>
    <s v="Achat eau Minerale (4 Bobonnes)/PALF"/>
    <x v="1"/>
    <s v="Office"/>
    <m/>
    <n v="18000"/>
    <n v="26615486"/>
    <x v="1"/>
    <s v="Oui"/>
    <x v="1"/>
    <s v="RALFF"/>
    <s v="CONGO"/>
    <s v="RALFF-CO4515"/>
    <s v="4.3"/>
    <m/>
  </r>
  <r>
    <d v="2023-05-10T00:00:00"/>
    <s v="D58 - CONGO Food Alloance du 10 au 15/05/2023 (05 nuitées)"/>
    <x v="8"/>
    <s v="Investigation"/>
    <m/>
    <n v="50000"/>
    <n v="26565486"/>
    <x v="4"/>
    <s v="Décharge"/>
    <x v="1"/>
    <s v="RALFF"/>
    <s v="CONGO"/>
    <s v="RALFF-CO4516"/>
    <s v="1.3.2"/>
    <m/>
  </r>
  <r>
    <d v="2023-05-10T00:00:00"/>
    <s v="achat billet ( brazzaville  - pointe noire)/T73"/>
    <x v="6"/>
    <s v="Investigation"/>
    <m/>
    <n v="15000"/>
    <n v="26550486"/>
    <x v="5"/>
    <s v="Oui"/>
    <x v="2"/>
    <s v="RALFF"/>
    <s v="CONGO"/>
    <s v="RALFF-CO4517"/>
    <s v="2.2"/>
    <m/>
  </r>
  <r>
    <d v="2023-05-10T00:00:00"/>
    <s v="T73 - CONGO Food Allowance du 10 au 27/05/2023 (17 nuitées)"/>
    <x v="8"/>
    <s v="Investigation"/>
    <m/>
    <n v="170000"/>
    <n v="26380486"/>
    <x v="5"/>
    <s v="Oui"/>
    <x v="1"/>
    <s v="RALFF"/>
    <s v="CONGO"/>
    <s v="RALFF-CO4518"/>
    <s v="1.3.2"/>
    <m/>
  </r>
  <r>
    <d v="2023-05-10T00:00:00"/>
    <s v="P29 - CONGO Food allowance mission du 10 au 15/05/2023 (05 nuitées) "/>
    <x v="8"/>
    <s v="Investigation"/>
    <m/>
    <n v="50000"/>
    <n v="26330486"/>
    <x v="7"/>
    <s v="Décharge"/>
    <x v="1"/>
    <s v="RALFF"/>
    <s v="CONGO"/>
    <s v="RALFF-CO4519"/>
    <s v="1.3.2"/>
    <m/>
  </r>
  <r>
    <d v="2023-05-12T00:00:00"/>
    <s v="D58"/>
    <x v="2"/>
    <m/>
    <m/>
    <n v="100000"/>
    <n v="26230486"/>
    <x v="1"/>
    <m/>
    <x v="0"/>
    <m/>
    <m/>
    <m/>
    <m/>
    <m/>
  </r>
  <r>
    <d v="2023-05-12T00:00:00"/>
    <s v="T73"/>
    <x v="2"/>
    <m/>
    <m/>
    <n v="100000"/>
    <n v="26130486"/>
    <x v="1"/>
    <m/>
    <x v="0"/>
    <m/>
    <m/>
    <m/>
    <m/>
    <m/>
  </r>
  <r>
    <d v="2023-05-12T00:00:00"/>
    <s v="P29"/>
    <x v="2"/>
    <m/>
    <m/>
    <n v="100000"/>
    <n v="26030486"/>
    <x v="1"/>
    <m/>
    <x v="0"/>
    <m/>
    <m/>
    <m/>
    <m/>
    <m/>
  </r>
  <r>
    <d v="2023-05-12T00:00:00"/>
    <s v="Frais de transfert charden farell à D58/P29/T73"/>
    <x v="7"/>
    <s v="Office"/>
    <m/>
    <n v="9000"/>
    <n v="26021486"/>
    <x v="1"/>
    <s v="Oui"/>
    <x v="2"/>
    <s v="RALFF"/>
    <s v="CONGO"/>
    <s v="RALFF-CO4520"/>
    <s v="5.6"/>
    <m/>
  </r>
  <r>
    <d v="2023-05-12T00:00:00"/>
    <s v="Donald-Roméo"/>
    <x v="2"/>
    <m/>
    <m/>
    <n v="144000"/>
    <n v="25877486"/>
    <x v="1"/>
    <m/>
    <x v="0"/>
    <m/>
    <m/>
    <m/>
    <m/>
    <m/>
  </r>
  <r>
    <d v="2023-05-12T00:00:00"/>
    <s v="Remboursement frais de loyer mois de MaI 2023 /Appartement Tiffany GOBERT"/>
    <x v="9"/>
    <s v="Management"/>
    <m/>
    <n v="237623"/>
    <n v="25639863"/>
    <x v="1"/>
    <s v="Oui"/>
    <x v="2"/>
    <s v="PALF"/>
    <s v="CONGO"/>
    <m/>
    <m/>
    <m/>
  </r>
  <r>
    <d v="2023-05-12T00:00:00"/>
    <s v="Recu caisse/D58"/>
    <x v="2"/>
    <m/>
    <n v="100000"/>
    <m/>
    <n v="25739863"/>
    <x v="4"/>
    <m/>
    <x v="0"/>
    <m/>
    <m/>
    <m/>
    <m/>
    <m/>
  </r>
  <r>
    <d v="2023-05-12T00:00:00"/>
    <s v="Reçu caisse/T73 "/>
    <x v="2"/>
    <m/>
    <n v="100000"/>
    <m/>
    <n v="25839863"/>
    <x v="5"/>
    <m/>
    <x v="0"/>
    <m/>
    <m/>
    <m/>
    <m/>
    <m/>
  </r>
  <r>
    <d v="2023-05-12T00:00:00"/>
    <s v="Reçu de caisse/P29"/>
    <x v="2"/>
    <m/>
    <n v="100000"/>
    <m/>
    <n v="25939863"/>
    <x v="7"/>
    <m/>
    <x v="0"/>
    <m/>
    <m/>
    <m/>
    <m/>
    <m/>
  </r>
  <r>
    <d v="2023-05-12T00:00:00"/>
    <s v="Reçu caisse/Donald"/>
    <x v="2"/>
    <m/>
    <n v="144000"/>
    <m/>
    <n v="26083863"/>
    <x v="9"/>
    <m/>
    <x v="0"/>
    <m/>
    <m/>
    <m/>
    <m/>
    <m/>
  </r>
  <r>
    <d v="2023-05-12T00:00:00"/>
    <s v="Achat billet Brazzaville-Dolisie/Donald"/>
    <x v="6"/>
    <s v="Legal"/>
    <m/>
    <n v="10000"/>
    <n v="26073863"/>
    <x v="9"/>
    <s v="Oui"/>
    <x v="2"/>
    <s v="RALFF"/>
    <s v="CONGO"/>
    <s v="RALFF-CO4521"/>
    <s v="2.2"/>
    <m/>
  </r>
  <r>
    <d v="2023-05-13T00:00:00"/>
    <s v="D58 - CONGO Frais d'hotel du 10 au 13/05/2023 à Pointe Noire (03 nuitées)"/>
    <x v="8"/>
    <s v="Investigation"/>
    <m/>
    <n v="45000"/>
    <n v="26028863"/>
    <x v="4"/>
    <s v="Oui"/>
    <x v="1"/>
    <s v="RALFF"/>
    <s v="CONGO"/>
    <s v="RALFF-CO4522"/>
    <s v="1.3.2"/>
    <m/>
  </r>
  <r>
    <d v="2023-05-13T00:00:00"/>
    <s v="Achat billet  Pointe Noire - Dolisie  /D58"/>
    <x v="6"/>
    <s v="Investigation"/>
    <m/>
    <n v="5000"/>
    <n v="26023863"/>
    <x v="4"/>
    <s v="Oui"/>
    <x v="2"/>
    <s v="RALFF"/>
    <s v="CONGO"/>
    <s v="RALFF-CO4523"/>
    <s v="2.2"/>
    <m/>
  </r>
  <r>
    <d v="2023-05-13T00:00:00"/>
    <s v="T73 - CONGO Frais d'Hotel du 10 au 13/05/2023 (03 nuitées) à Pointe-Noire"/>
    <x v="8"/>
    <s v="Investigation"/>
    <m/>
    <n v="45000"/>
    <n v="25978863"/>
    <x v="5"/>
    <s v="Oui"/>
    <x v="1"/>
    <s v="RALFF"/>
    <s v="CONGO"/>
    <s v="RALFF-CO4524"/>
    <s v="1.3.2"/>
    <m/>
  </r>
  <r>
    <d v="2023-05-13T00:00:00"/>
    <s v="achat billet ( pointe noire - loudima)/T73"/>
    <x v="6"/>
    <s v="Investigation"/>
    <m/>
    <n v="7000"/>
    <n v="25971863"/>
    <x v="5"/>
    <s v="Oui"/>
    <x v="2"/>
    <s v="RALFF"/>
    <s v="CONGO"/>
    <s v="RALFF-CO4525"/>
    <s v="2.2"/>
    <m/>
  </r>
  <r>
    <d v="2023-05-13T00:00:00"/>
    <s v="achat billet ( loudima - sibiti )/T73"/>
    <x v="6"/>
    <s v="Investigation"/>
    <m/>
    <n v="3500"/>
    <n v="25968363"/>
    <x v="5"/>
    <s v="Oui"/>
    <x v="2"/>
    <s v="RALFF"/>
    <s v="CONGO"/>
    <s v="RALFF-CO4526"/>
    <s v="2.2"/>
    <m/>
  </r>
  <r>
    <d v="2023-05-13T00:00:00"/>
    <s v="P29 - CONGO Frais d'hotel du 10  au 13/05/2023 (03 nuitées) à oyo"/>
    <x v="8"/>
    <s v="Investigation"/>
    <m/>
    <n v="45000"/>
    <n v="25923363"/>
    <x v="7"/>
    <s v="Oui"/>
    <x v="1"/>
    <s v="RALFF"/>
    <s v="CONGO"/>
    <s v="RALFF-CO4527"/>
    <s v="1.3.2"/>
    <m/>
  </r>
  <r>
    <d v="2023-05-13T00:00:00"/>
    <s v="Achat billet ,oyo-owando/P29"/>
    <x v="6"/>
    <s v="Investigation"/>
    <m/>
    <n v="4000"/>
    <n v="25919363"/>
    <x v="7"/>
    <s v="Oui"/>
    <x v="2"/>
    <s v="RALFF"/>
    <s v="CONGO"/>
    <s v="RALFF-CO4528"/>
    <s v="2.2"/>
    <m/>
  </r>
  <r>
    <d v="2023-05-13T00:00:00"/>
    <s v="Donald-CONGO Food Allowance Mission (04 nuitées) du 13 au 17/05/2023"/>
    <x v="8"/>
    <s v="Legal"/>
    <m/>
    <n v="40000"/>
    <n v="25879363"/>
    <x v="9"/>
    <s v="Oui"/>
    <x v="1"/>
    <s v="RALFF"/>
    <s v="CONGO"/>
    <s v="RALFF-CO4529"/>
    <s v="1.3.2"/>
    <m/>
  </r>
  <r>
    <d v="2023-05-13T00:00:00"/>
    <s v="CREPIN - CONGO Frais d'hotel du 09 au 13/05/2023 à Pointe-Noire (04 nuitées)"/>
    <x v="8"/>
    <s v="Management"/>
    <m/>
    <n v="60000"/>
    <n v="25819363"/>
    <x v="6"/>
    <s v="Oui"/>
    <x v="1"/>
    <s v="RALFF"/>
    <s v="CONGO"/>
    <s v="RALFF-CO4530"/>
    <s v="1.3.2"/>
    <m/>
  </r>
  <r>
    <d v="2023-05-13T00:00:00"/>
    <s v="Billet: Pointe-Noire Brazzaville/Crépin"/>
    <x v="6"/>
    <s v="Management"/>
    <m/>
    <n v="15000"/>
    <n v="25804363"/>
    <x v="6"/>
    <s v="Oui"/>
    <x v="2"/>
    <s v="RALFF"/>
    <s v="CONGO"/>
    <s v="RALFF-CO4531"/>
    <s v="2.2"/>
    <m/>
  </r>
  <r>
    <d v="2023-05-15T00:00:00"/>
    <s v="T73"/>
    <x v="2"/>
    <m/>
    <m/>
    <n v="65000"/>
    <n v="25734363"/>
    <x v="1"/>
    <m/>
    <x v="0"/>
    <m/>
    <m/>
    <m/>
    <m/>
    <m/>
  </r>
  <r>
    <d v="2023-05-15T00:00:00"/>
    <s v="Donald-Roméo"/>
    <x v="2"/>
    <m/>
    <m/>
    <n v="126000"/>
    <n v="25608363"/>
    <x v="1"/>
    <m/>
    <x v="0"/>
    <m/>
    <m/>
    <m/>
    <m/>
    <m/>
  </r>
  <r>
    <d v="2023-05-15T00:00:00"/>
    <s v="Frais de transfert charden farell à Donald et P29"/>
    <x v="7"/>
    <s v="Office"/>
    <m/>
    <n v="5730"/>
    <n v="25602633"/>
    <x v="1"/>
    <s v="Oui"/>
    <x v="2"/>
    <s v="RALFF"/>
    <s v="CONGO"/>
    <s v="RALFF-CO4532"/>
    <s v="5.6"/>
    <m/>
  </r>
  <r>
    <d v="2023-05-15T00:00:00"/>
    <s v="Achat credit  teléphonique MTN/PALF/Deuxième partie Mai 2023/Management"/>
    <x v="3"/>
    <s v="Management"/>
    <m/>
    <n v="25000"/>
    <n v="25577633"/>
    <x v="1"/>
    <s v="Oui"/>
    <x v="2"/>
    <s v="RALFF"/>
    <s v="CONGO"/>
    <s v="RALFF-CO4533"/>
    <s v="4.6"/>
    <m/>
  </r>
  <r>
    <d v="2023-05-15T00:00:00"/>
    <s v="Achat credit  teléphonique MTN/PALF/Deuxième partie Mai 2023/Legal"/>
    <x v="3"/>
    <s v="Legal"/>
    <m/>
    <n v="20000"/>
    <n v="25557633"/>
    <x v="1"/>
    <s v="Oui"/>
    <x v="2"/>
    <s v="RALFF"/>
    <s v="CONGO"/>
    <s v="RALFF-CO4534"/>
    <s v="4.6"/>
    <m/>
  </r>
  <r>
    <d v="2023-05-15T00:00:00"/>
    <s v="Achat credit  teléphonique MTN/PALF/Deuxième partie Mai 2023/Investigation"/>
    <x v="3"/>
    <s v="Investigation"/>
    <m/>
    <n v="30000"/>
    <n v="25527633"/>
    <x v="1"/>
    <s v="Oui"/>
    <x v="2"/>
    <s v="RALFF"/>
    <s v="CONGO"/>
    <s v="RALFF-CO4535"/>
    <s v="4.6"/>
    <m/>
  </r>
  <r>
    <d v="2023-05-15T00:00:00"/>
    <s v="Achat credit  teléphonique MTN/PALF/Deuxième partie Mai 2023/Media"/>
    <x v="3"/>
    <s v="Media"/>
    <m/>
    <n v="10000"/>
    <n v="25517633"/>
    <x v="1"/>
    <s v="Oui"/>
    <x v="2"/>
    <s v="RALFF"/>
    <s v="CONGO"/>
    <s v="RALFF-CO4536"/>
    <s v="4.6"/>
    <m/>
  </r>
  <r>
    <d v="2023-05-15T00:00:00"/>
    <s v="Achat credit  teléphonique Airtel/PALF/Deuxième partie Mai 2023/Management"/>
    <x v="3"/>
    <s v="Management"/>
    <m/>
    <n v="5000"/>
    <n v="25512633"/>
    <x v="1"/>
    <s v="Oui"/>
    <x v="2"/>
    <s v="RALFF"/>
    <s v="CONGO"/>
    <s v="RALFF-CO4537"/>
    <s v="4.6"/>
    <m/>
  </r>
  <r>
    <d v="2023-05-15T00:00:00"/>
    <s v="Achat credit  teléphonique Airtel/PALF/Deuxième partie Mai 2023/Legal"/>
    <x v="3"/>
    <s v="Legal"/>
    <m/>
    <n v="10000"/>
    <n v="25502633"/>
    <x v="1"/>
    <s v="Oui"/>
    <x v="2"/>
    <s v="RALFF"/>
    <s v="CONGO"/>
    <s v="RALFF-CO4538"/>
    <s v="4.6"/>
    <m/>
  </r>
  <r>
    <d v="2023-05-15T00:00:00"/>
    <s v="Achat credit  teléphonique Airtel/PALF/Deuxième partie Mai 2023/Investigation"/>
    <x v="3"/>
    <s v="Investigation"/>
    <m/>
    <n v="5000"/>
    <n v="25799363"/>
    <x v="1"/>
    <s v="Oui"/>
    <x v="2"/>
    <s v="RALFF"/>
    <s v="CONGO"/>
    <s v="RALFF-CO4539"/>
    <s v="4.6"/>
    <m/>
  </r>
  <r>
    <d v="2023-05-15T00:00:00"/>
    <s v="D58 - CONGO Frais d'hotel du 13 au 15/05/2023 à Dolisie (02 nuitées)"/>
    <x v="8"/>
    <s v="Investigation"/>
    <m/>
    <n v="30000"/>
    <n v="25472633"/>
    <x v="4"/>
    <s v="Oui"/>
    <x v="1"/>
    <s v="RALFF"/>
    <s v="CONGO"/>
    <s v="RALFF-CO4540"/>
    <s v="1.3.2"/>
    <m/>
  </r>
  <r>
    <d v="2023-05-15T00:00:00"/>
    <s v="Achat billet  Dolisie - Brazzaville  /D58"/>
    <x v="6"/>
    <s v="Investigation"/>
    <m/>
    <n v="10000"/>
    <n v="25462633"/>
    <x v="4"/>
    <s v="Oui"/>
    <x v="2"/>
    <s v="RALFF"/>
    <s v="CONGO"/>
    <s v="RALFF-CO4541"/>
    <s v="2.2"/>
    <m/>
  </r>
  <r>
    <d v="2023-05-15T00:00:00"/>
    <s v="T73 - CONGO Frais d'Hotel du 13 au 15/05/2023 (02 nuitées) à sibiti"/>
    <x v="8"/>
    <s v="Investigation"/>
    <m/>
    <n v="20000"/>
    <n v="25442633"/>
    <x v="5"/>
    <s v="Oui"/>
    <x v="1"/>
    <s v="RALFF"/>
    <s v="CONGO"/>
    <s v="RALFF-CO4542"/>
    <s v="1.3.2"/>
    <m/>
  </r>
  <r>
    <d v="2023-05-15T00:00:00"/>
    <s v="achat billet (sibiti - dolisie)/T73"/>
    <x v="6"/>
    <s v="Investigation"/>
    <m/>
    <n v="5000"/>
    <n v="25437633"/>
    <x v="5"/>
    <s v="Oui"/>
    <x v="2"/>
    <s v="RALFF"/>
    <s v="CONGO"/>
    <s v="RALFF-CO4543"/>
    <s v="2.2"/>
    <m/>
  </r>
  <r>
    <d v="2023-05-15T00:00:00"/>
    <s v="Reçu caisse/T73 "/>
    <x v="2"/>
    <m/>
    <n v="65000"/>
    <m/>
    <n v="25502633"/>
    <x v="5"/>
    <m/>
    <x v="0"/>
    <m/>
    <m/>
    <m/>
    <m/>
    <m/>
  </r>
  <r>
    <d v="2023-05-15T00:00:00"/>
    <s v="Achat billet Owando - Brazzaville /P29"/>
    <x v="6"/>
    <s v="Investigation"/>
    <m/>
    <n v="8000"/>
    <n v="25494633"/>
    <x v="7"/>
    <s v="Oui"/>
    <x v="2"/>
    <s v="RALFF"/>
    <s v="CONGO"/>
    <s v="RALFF-CO4544"/>
    <s v="2.2"/>
    <m/>
  </r>
  <r>
    <d v="2023-05-15T00:00:00"/>
    <s v="P29 - CONGO Frais d'hotel du 13  au 15/05/2023 (02 nuitées) à owando"/>
    <x v="8"/>
    <s v="Investigation"/>
    <m/>
    <n v="30000"/>
    <n v="25464633"/>
    <x v="7"/>
    <s v="Oui"/>
    <x v="2"/>
    <s v="RALFF"/>
    <s v="CONGO"/>
    <s v="RALFF-CO4545"/>
    <s v="1.3.2"/>
    <m/>
  </r>
  <r>
    <d v="2023-05-15T00:00:00"/>
    <s v="Reçu caisse/Donald"/>
    <x v="2"/>
    <m/>
    <n v="126000"/>
    <m/>
    <n v="25590633"/>
    <x v="9"/>
    <m/>
    <x v="0"/>
    <m/>
    <m/>
    <m/>
    <m/>
    <m/>
  </r>
  <r>
    <d v="2023-05-16T00:00:00"/>
    <s v="Frais d'Examens médicaux,détenue MANGUILA,(GERH,SDWF)"/>
    <x v="10"/>
    <s v="Legal"/>
    <m/>
    <n v="4500"/>
    <n v="25586133"/>
    <x v="9"/>
    <s v="Oui"/>
    <x v="2"/>
    <s v="PALF"/>
    <s v="CONGO"/>
    <m/>
    <m/>
    <m/>
  </r>
  <r>
    <d v="2023-05-16T00:00:00"/>
    <s v="Achat produit pharmaceutiques détenu MANGUILA"/>
    <x v="10"/>
    <s v="Legal"/>
    <m/>
    <n v="12450"/>
    <n v="25573683"/>
    <x v="9"/>
    <s v="Oui"/>
    <x v="2"/>
    <s v="PALF"/>
    <s v="CONGO"/>
    <m/>
    <m/>
    <m/>
  </r>
  <r>
    <d v="2023-05-17T00:00:00"/>
    <s v="T73"/>
    <x v="2"/>
    <m/>
    <m/>
    <n v="90000"/>
    <n v="25483683"/>
    <x v="1"/>
    <m/>
    <x v="0"/>
    <m/>
    <m/>
    <m/>
    <m/>
    <m/>
  </r>
  <r>
    <d v="2023-05-17T00:00:00"/>
    <s v="Frais de transfert à T73"/>
    <x v="7"/>
    <s v="Office"/>
    <m/>
    <n v="3150"/>
    <n v="25480533"/>
    <x v="1"/>
    <s v="Oui"/>
    <x v="2"/>
    <s v="RALFF"/>
    <s v="CONGO"/>
    <s v="RALFF-CO4546"/>
    <s v="5.6"/>
    <m/>
  </r>
  <r>
    <d v="2023-05-17T00:00:00"/>
    <s v="Reglement electricité periode mars avril 2023"/>
    <x v="11"/>
    <s v="Office"/>
    <m/>
    <n v="61066"/>
    <n v="25419467"/>
    <x v="1"/>
    <s v="Oui"/>
    <x v="1"/>
    <s v="RALFF"/>
    <s v="CONGO"/>
    <s v="RALFF-CO4547"/>
    <s v="4.4"/>
    <m/>
  </r>
  <r>
    <d v="2023-05-17T00:00:00"/>
    <s v="Frais taxe sur Reglement electricité periode mars avril 2023"/>
    <x v="11"/>
    <s v="Office"/>
    <m/>
    <n v="12590"/>
    <n v="25406877"/>
    <x v="1"/>
    <s v="Oui"/>
    <x v="2"/>
    <s v="PALF"/>
    <s v="CONGO"/>
    <m/>
    <m/>
    <m/>
  </r>
  <r>
    <d v="2023-05-17T00:00:00"/>
    <s v="D58"/>
    <x v="2"/>
    <m/>
    <m/>
    <n v="181500"/>
    <n v="25225377"/>
    <x v="1"/>
    <m/>
    <x v="0"/>
    <m/>
    <m/>
    <m/>
    <m/>
    <m/>
  </r>
  <r>
    <d v="2023-05-17T00:00:00"/>
    <s v="Recu caisse/D58"/>
    <x v="2"/>
    <m/>
    <n v="181500"/>
    <m/>
    <n v="25406877"/>
    <x v="4"/>
    <m/>
    <x v="0"/>
    <m/>
    <m/>
    <m/>
    <m/>
    <m/>
  </r>
  <r>
    <d v="2023-05-17T00:00:00"/>
    <s v="Reçu caisse/T73 "/>
    <x v="2"/>
    <m/>
    <n v="90000"/>
    <m/>
    <n v="25496877"/>
    <x v="5"/>
    <m/>
    <x v="0"/>
    <m/>
    <m/>
    <m/>
    <m/>
    <m/>
  </r>
  <r>
    <d v="2023-05-17T00:00:00"/>
    <s v="Donald-CONGO Frais d'hôtel (04 Nuitées) du 13 au 17/05/2023 à Dolisie"/>
    <x v="8"/>
    <s v="Legal"/>
    <m/>
    <n v="60000"/>
    <n v="25436877"/>
    <x v="9"/>
    <s v="Oui"/>
    <x v="2"/>
    <s v="RALFF"/>
    <s v="CONGO"/>
    <s v="RALFF-CO4548"/>
    <s v="1.3.2"/>
    <m/>
  </r>
  <r>
    <d v="2023-05-17T00:00:00"/>
    <s v="Achat billet Dolisie-Brazzalle/Donald"/>
    <x v="6"/>
    <s v="Legal"/>
    <m/>
    <n v="10000"/>
    <n v="25426877"/>
    <x v="9"/>
    <s v="Oui"/>
    <x v="2"/>
    <s v="RALFF"/>
    <s v="CONGO"/>
    <s v="RALFF-CO4549"/>
    <s v="2.2"/>
    <m/>
  </r>
  <r>
    <d v="2023-05-19T00:00:00"/>
    <s v="P29"/>
    <x v="2"/>
    <m/>
    <m/>
    <n v="133000"/>
    <n v="25293877"/>
    <x v="1"/>
    <m/>
    <x v="0"/>
    <m/>
    <m/>
    <m/>
    <m/>
    <m/>
  </r>
  <r>
    <d v="2023-05-19T00:00:00"/>
    <s v="Donald-Roméo"/>
    <x v="2"/>
    <m/>
    <n v="70000"/>
    <m/>
    <n v="25363877"/>
    <x v="1"/>
    <m/>
    <x v="0"/>
    <m/>
    <m/>
    <m/>
    <m/>
    <m/>
  </r>
  <r>
    <d v="2023-05-19T00:00:00"/>
    <s v="Bonus du mois d'Avril 2023/Evariste"/>
    <x v="4"/>
    <s v="Media"/>
    <m/>
    <n v="20000"/>
    <n v="25343877"/>
    <x v="1"/>
    <s v="Décharge"/>
    <x v="2"/>
    <s v="PALF"/>
    <s v="CONGO"/>
    <m/>
    <m/>
    <m/>
  </r>
  <r>
    <d v="2023-05-19T00:00:00"/>
    <s v="Bonus du mois d'Avril 2023/Merveille"/>
    <x v="4"/>
    <s v="Management"/>
    <m/>
    <n v="20000"/>
    <n v="25323877"/>
    <x v="1"/>
    <s v="Décharge"/>
    <x v="2"/>
    <s v="PALF"/>
    <s v="CONGO"/>
    <m/>
    <m/>
    <m/>
  </r>
  <r>
    <d v="2023-05-19T00:00:00"/>
    <s v="Bonus du mois d'Avril 2023/Hurielle"/>
    <x v="4"/>
    <s v="Legal"/>
    <m/>
    <n v="20000"/>
    <n v="25303877"/>
    <x v="1"/>
    <s v="Décharge"/>
    <x v="2"/>
    <s v="PALF"/>
    <s v="CONGO"/>
    <m/>
    <m/>
    <m/>
  </r>
  <r>
    <d v="2023-05-19T00:00:00"/>
    <s v="Bonus du mois d'Avril 2023/Donald"/>
    <x v="4"/>
    <s v="Legal"/>
    <m/>
    <n v="20000"/>
    <n v="25283877"/>
    <x v="1"/>
    <s v="Décharge"/>
    <x v="2"/>
    <s v="PALF"/>
    <s v="CONGO"/>
    <m/>
    <m/>
    <m/>
  </r>
  <r>
    <d v="2023-05-19T00:00:00"/>
    <s v="Bonus du mois d'Avril 2023/Crépin"/>
    <x v="4"/>
    <s v="Legal"/>
    <m/>
    <n v="50000"/>
    <n v="25233877"/>
    <x v="1"/>
    <s v="Décharge"/>
    <x v="2"/>
    <s v="PALF"/>
    <s v="CONGO"/>
    <m/>
    <m/>
    <m/>
  </r>
  <r>
    <d v="2023-05-19T00:00:00"/>
    <s v="T73"/>
    <x v="2"/>
    <m/>
    <m/>
    <n v="70000"/>
    <n v="25163877"/>
    <x v="1"/>
    <m/>
    <x v="0"/>
    <m/>
    <m/>
    <m/>
    <m/>
    <m/>
  </r>
  <r>
    <d v="2023-05-19T00:00:00"/>
    <s v="Achat billet  Brazzaville - Pointe Noire /D58"/>
    <x v="6"/>
    <s v="Investigation"/>
    <m/>
    <n v="7000"/>
    <n v="25156877"/>
    <x v="4"/>
    <s v="Oui"/>
    <x v="2"/>
    <s v="RALFF"/>
    <s v="CONGO"/>
    <s v="RALFF-CO4550"/>
    <s v="2.2"/>
    <m/>
  </r>
  <r>
    <d v="2023-05-19T00:00:00"/>
    <s v="D58 - CONGO Food Allowance du 19 au 24/05/2023 (05 nuitées)"/>
    <x v="8"/>
    <s v="Investigation"/>
    <m/>
    <n v="50000"/>
    <n v="25106877"/>
    <x v="4"/>
    <s v="Décharge"/>
    <x v="2"/>
    <s v="RALFF"/>
    <s v="CONGO"/>
    <s v="RALFF-CO4551"/>
    <s v="1.3.2"/>
    <m/>
  </r>
  <r>
    <d v="2023-05-19T00:00:00"/>
    <s v="Reçu de caisse/P29"/>
    <x v="2"/>
    <m/>
    <n v="133000"/>
    <m/>
    <n v="25239877"/>
    <x v="7"/>
    <m/>
    <x v="0"/>
    <m/>
    <m/>
    <m/>
    <m/>
    <m/>
  </r>
  <r>
    <d v="2023-05-19T00:00:00"/>
    <s v="Achat billet brazzaville-dolisie/P29"/>
    <x v="6"/>
    <s v="Investigation"/>
    <m/>
    <n v="10000"/>
    <n v="25229877"/>
    <x v="7"/>
    <s v="Oui"/>
    <x v="2"/>
    <s v="RALFF"/>
    <s v="CONGO"/>
    <s v="RALFF-CO4552"/>
    <s v="2.2"/>
    <m/>
  </r>
  <r>
    <d v="2023-05-19T00:00:00"/>
    <s v="Retour caisse/Donald"/>
    <x v="2"/>
    <m/>
    <m/>
    <n v="70000"/>
    <n v="25159877"/>
    <x v="9"/>
    <m/>
    <x v="0"/>
    <m/>
    <m/>
    <m/>
    <m/>
    <m/>
  </r>
  <r>
    <d v="2023-05-20T00:00:00"/>
    <s v="Reçu caisse/T73 "/>
    <x v="2"/>
    <m/>
    <n v="70000"/>
    <m/>
    <n v="25229877"/>
    <x v="5"/>
    <m/>
    <x v="0"/>
    <m/>
    <m/>
    <m/>
    <m/>
    <m/>
  </r>
  <r>
    <d v="2023-05-20T00:00:00"/>
    <s v="P29 - CONGO Food allowance mission du 20 au 27/05/2023 (07 nuitées) "/>
    <x v="8"/>
    <s v="Investigation"/>
    <m/>
    <n v="70000"/>
    <n v="25159877"/>
    <x v="7"/>
    <s v="Décharge"/>
    <x v="2"/>
    <s v="RALFF"/>
    <s v="CONGO"/>
    <s v="RALFF-CO4553"/>
    <s v="1.3.2"/>
    <m/>
  </r>
  <r>
    <d v="2023-05-22T00:00:00"/>
    <s v="Oracle"/>
    <x v="2"/>
    <m/>
    <m/>
    <n v="15000"/>
    <n v="25144877"/>
    <x v="1"/>
    <m/>
    <x v="0"/>
    <m/>
    <m/>
    <m/>
    <m/>
    <m/>
  </r>
  <r>
    <d v="2023-05-22T00:00:00"/>
    <s v="P29"/>
    <x v="2"/>
    <m/>
    <m/>
    <n v="110000"/>
    <n v="25034877"/>
    <x v="1"/>
    <m/>
    <x v="0"/>
    <m/>
    <m/>
    <m/>
    <m/>
    <m/>
  </r>
  <r>
    <d v="2023-05-22T00:00:00"/>
    <s v="T73"/>
    <x v="2"/>
    <m/>
    <m/>
    <n v="90000"/>
    <n v="24944877"/>
    <x v="1"/>
    <m/>
    <x v="0"/>
    <m/>
    <m/>
    <m/>
    <m/>
    <m/>
  </r>
  <r>
    <d v="2023-05-22T00:00:00"/>
    <s v="Frais de transfert charden farell à P29 et T73"/>
    <x v="7"/>
    <s v="Office"/>
    <m/>
    <n v="6000"/>
    <n v="24938877"/>
    <x v="1"/>
    <s v="Oui"/>
    <x v="2"/>
    <s v="RALFF"/>
    <s v="CONGO"/>
    <s v="RALFF-CO4554"/>
    <s v="5.6"/>
    <m/>
  </r>
  <r>
    <d v="2023-05-22T00:00:00"/>
    <s v="Paiement attestation d'hebergement pour Mr Luc "/>
    <x v="12"/>
    <s v="CCU"/>
    <m/>
    <n v="10000"/>
    <n v="24928877"/>
    <x v="1"/>
    <s v="Oui"/>
    <x v="2"/>
    <s v="PALF"/>
    <s v="CONGO"/>
    <m/>
    <m/>
    <m/>
  </r>
  <r>
    <d v="2023-05-22T00:00:00"/>
    <s v="Achat crédit MTN /Legal Volontaire/Oracle"/>
    <x v="3"/>
    <s v="Legal"/>
    <m/>
    <n v="5000"/>
    <n v="24923877"/>
    <x v="1"/>
    <s v="Oui"/>
    <x v="2"/>
    <s v="PALF"/>
    <s v="CONGO"/>
    <m/>
    <m/>
    <m/>
  </r>
  <r>
    <d v="2023-05-22T00:00:00"/>
    <s v="Bonus du mois d'avril 2023/Grace"/>
    <x v="4"/>
    <s v="Management"/>
    <m/>
    <n v="50000"/>
    <n v="24873877"/>
    <x v="1"/>
    <s v="Décharge"/>
    <x v="2"/>
    <s v="PALF"/>
    <s v="CONGO"/>
    <m/>
    <m/>
    <m/>
  </r>
  <r>
    <d v="2023-05-22T00:00:00"/>
    <s v="D58 - CONGO Frais d'hotel du 19  au 22/05/2023 à Pointe Noire (03 nuitées)"/>
    <x v="8"/>
    <s v="Investigation"/>
    <m/>
    <n v="45000"/>
    <n v="24828877"/>
    <x v="4"/>
    <s v="Oui"/>
    <x v="2"/>
    <s v="RALFF"/>
    <s v="CONGO"/>
    <s v="RALFF-CO4555"/>
    <s v="1.3.2"/>
    <m/>
  </r>
  <r>
    <d v="2023-05-22T00:00:00"/>
    <s v="Achat billet  Pointe Noire- Loudima  /D58"/>
    <x v="6"/>
    <s v="Investigation"/>
    <m/>
    <n v="7000"/>
    <n v="24821877"/>
    <x v="4"/>
    <s v="Oui"/>
    <x v="2"/>
    <s v="RALFF"/>
    <s v="CONGO"/>
    <s v="RALFF-CO4556"/>
    <s v="2.2"/>
    <m/>
  </r>
  <r>
    <d v="2023-05-22T00:00:00"/>
    <s v="Achat billet Loudima- Sibiti  /D58"/>
    <x v="6"/>
    <s v="Investigation"/>
    <m/>
    <n v="3500"/>
    <n v="24818377"/>
    <x v="4"/>
    <s v="Oui"/>
    <x v="2"/>
    <s v="RALFF"/>
    <s v="CONGO"/>
    <s v="RALFF-CO4557"/>
    <s v="2.2"/>
    <m/>
  </r>
  <r>
    <d v="2023-05-22T00:00:00"/>
    <s v="Reçu caisse/T73 "/>
    <x v="2"/>
    <m/>
    <n v="90000"/>
    <m/>
    <n v="24908377"/>
    <x v="5"/>
    <m/>
    <x v="0"/>
    <m/>
    <m/>
    <m/>
    <m/>
    <m/>
  </r>
  <r>
    <d v="2023-05-22T00:00:00"/>
    <s v="Reçu de caisse/P29"/>
    <x v="2"/>
    <m/>
    <n v="110000"/>
    <m/>
    <n v="25018377"/>
    <x v="7"/>
    <m/>
    <x v="0"/>
    <m/>
    <m/>
    <m/>
    <m/>
    <m/>
  </r>
  <r>
    <d v="2023-05-22T00:00:00"/>
    <s v="Reçu caisse/Oracle"/>
    <x v="2"/>
    <m/>
    <n v="15000"/>
    <m/>
    <n v="25033377"/>
    <x v="10"/>
    <m/>
    <x v="0"/>
    <m/>
    <m/>
    <m/>
    <m/>
    <m/>
  </r>
  <r>
    <d v="2023-05-23T00:00:00"/>
    <s v="Paiement Certificat d'hebergement pour Mr Luc "/>
    <x v="12"/>
    <s v="CCU"/>
    <m/>
    <n v="30000"/>
    <n v="25003377"/>
    <x v="1"/>
    <s v="Oui"/>
    <x v="2"/>
    <s v="PALF"/>
    <s v="CONGO"/>
    <m/>
    <m/>
    <m/>
  </r>
  <r>
    <d v="2023-05-23T00:00:00"/>
    <s v="BCI-36545457-34"/>
    <x v="2"/>
    <m/>
    <n v="2000000"/>
    <m/>
    <n v="27003377"/>
    <x v="1"/>
    <m/>
    <x v="0"/>
    <m/>
    <m/>
    <m/>
    <m/>
    <m/>
  </r>
  <r>
    <d v="2023-05-23T00:00:00"/>
    <s v="Retrait especes/appro caisse/bord n°3654548"/>
    <x v="2"/>
    <m/>
    <m/>
    <n v="2000000"/>
    <n v="25003377"/>
    <x v="2"/>
    <n v="3654547"/>
    <x v="0"/>
    <m/>
    <m/>
    <m/>
    <m/>
    <m/>
  </r>
  <r>
    <d v="2023-05-23T00:00:00"/>
    <s v="Paiement salaire mois de Mai 2023/ Crépin IBOUILI IBOUILI/ CH N°3667300"/>
    <x v="9"/>
    <s v="Legal"/>
    <m/>
    <n v="359500"/>
    <n v="24643877"/>
    <x v="3"/>
    <n v="3667300"/>
    <x v="1"/>
    <s v="RALFF"/>
    <s v="CONGO"/>
    <s v="RALFF-CO4558"/>
    <s v="1.1.1.7"/>
    <m/>
  </r>
  <r>
    <d v="2023-05-23T00:00:00"/>
    <s v="Paiement salaire mois de Mai 2023/ Tiffany GOBERT/ CH N°3667328"/>
    <x v="9"/>
    <s v="Management"/>
    <m/>
    <n v="1311914"/>
    <n v="23331963"/>
    <x v="3"/>
    <n v="3667328"/>
    <x v="1"/>
    <s v="RALFF"/>
    <s v="CONGO"/>
    <s v="RALFF-CO4559"/>
    <s v="1.1.1.1"/>
    <m/>
  </r>
  <r>
    <d v="2023-05-23T00:00:00"/>
    <s v="Paiement salaire mois de Mai 2023/ MFOULOU Hurielle/ CH N°3667339"/>
    <x v="9"/>
    <s v="Legal"/>
    <m/>
    <n v="200000"/>
    <n v="23131963"/>
    <x v="3"/>
    <n v="3667339"/>
    <x v="1"/>
    <s v="RALFF"/>
    <s v="CONGO"/>
    <s v="RALFF-CO4560"/>
    <s v="1.1.1.7"/>
    <m/>
  </r>
  <r>
    <d v="2023-05-23T00:00:00"/>
    <s v="Paiement salaire mois de Mai 2023/ PINDI BINGA/ CH N°3667340"/>
    <x v="9"/>
    <s v="Legal"/>
    <m/>
    <n v="200000"/>
    <n v="22931963"/>
    <x v="3"/>
    <n v="3667340"/>
    <x v="1"/>
    <s v="RALFF"/>
    <s v="CONGO"/>
    <s v="RALFF-CO4561"/>
    <s v="1.1.1.7"/>
    <m/>
  </r>
  <r>
    <d v="2023-05-23T00:00:00"/>
    <s v="Paiement salaire mois de Mai 2023/ MOLENDE Grace/ CH N°3667341"/>
    <x v="9"/>
    <s v="Management"/>
    <m/>
    <n v="350000"/>
    <n v="22581963"/>
    <x v="3"/>
    <n v="3667341"/>
    <x v="1"/>
    <s v="RALFF"/>
    <s v="CONGO"/>
    <s v="RALFF-CO4562"/>
    <s v="1.1.2.1"/>
    <m/>
  </r>
  <r>
    <d v="2023-05-23T00:00:00"/>
    <s v="Paiement salaire mois de Mai 2023/ MAHANGA Merveille/ CH N°3667342"/>
    <x v="9"/>
    <s v="Management"/>
    <m/>
    <n v="300000"/>
    <n v="22281963"/>
    <x v="3"/>
    <n v="3667342"/>
    <x v="1"/>
    <s v="RALFF"/>
    <s v="CONGO"/>
    <s v="RALFF-CO4563"/>
    <s v="1.1.2.1"/>
    <m/>
  </r>
  <r>
    <d v="2023-05-23T00:00:00"/>
    <s v="Paiement salaire mois de Mai 2023/ LELOUSSI Evariste/ CH N°3667344"/>
    <x v="9"/>
    <s v="Media"/>
    <m/>
    <n v="235600"/>
    <n v="22046363"/>
    <x v="3"/>
    <n v="3667344"/>
    <x v="1"/>
    <s v="RALFF"/>
    <s v="CONGO"/>
    <s v="RALFF-CO4564"/>
    <s v="1.1.1.4"/>
    <m/>
  </r>
  <r>
    <d v="2023-05-24T00:00:00"/>
    <s v="Hurielle"/>
    <x v="2"/>
    <m/>
    <m/>
    <n v="193000"/>
    <n v="21853363"/>
    <x v="1"/>
    <m/>
    <x v="0"/>
    <m/>
    <m/>
    <m/>
    <m/>
    <m/>
  </r>
  <r>
    <d v="2023-05-24T00:00:00"/>
    <s v="Donald-Roméo"/>
    <x v="2"/>
    <m/>
    <m/>
    <n v="323000"/>
    <n v="21530363"/>
    <x v="1"/>
    <m/>
    <x v="0"/>
    <m/>
    <m/>
    <m/>
    <m/>
    <m/>
  </r>
  <r>
    <d v="2023-05-24T00:00:00"/>
    <s v="Crépin"/>
    <x v="2"/>
    <m/>
    <m/>
    <n v="231000"/>
    <n v="21299363"/>
    <x v="1"/>
    <m/>
    <x v="0"/>
    <m/>
    <m/>
    <m/>
    <m/>
    <m/>
  </r>
  <r>
    <d v="2023-05-24T00:00:00"/>
    <s v="Grace"/>
    <x v="2"/>
    <m/>
    <m/>
    <n v="382000"/>
    <n v="20917363"/>
    <x v="1"/>
    <m/>
    <x v="0"/>
    <m/>
    <m/>
    <m/>
    <m/>
    <m/>
  </r>
  <r>
    <d v="2023-05-24T00:00:00"/>
    <s v="Merveille"/>
    <x v="2"/>
    <m/>
    <m/>
    <n v="132000"/>
    <n v="20785363"/>
    <x v="1"/>
    <m/>
    <x v="0"/>
    <m/>
    <m/>
    <m/>
    <m/>
    <m/>
  </r>
  <r>
    <d v="2023-05-24T00:00:00"/>
    <s v="T73"/>
    <x v="2"/>
    <m/>
    <m/>
    <n v="128000"/>
    <n v="20657363"/>
    <x v="1"/>
    <m/>
    <x v="0"/>
    <m/>
    <m/>
    <m/>
    <m/>
    <m/>
  </r>
  <r>
    <d v="2023-05-24T00:00:00"/>
    <s v="P29"/>
    <x v="2"/>
    <m/>
    <m/>
    <n v="90000"/>
    <n v="20567363"/>
    <x v="1"/>
    <m/>
    <x v="0"/>
    <m/>
    <m/>
    <m/>
    <m/>
    <m/>
  </r>
  <r>
    <d v="2023-05-24T00:00:00"/>
    <s v="Evariste"/>
    <x v="2"/>
    <m/>
    <m/>
    <n v="140000"/>
    <n v="20427363"/>
    <x v="1"/>
    <m/>
    <x v="0"/>
    <m/>
    <m/>
    <m/>
    <m/>
    <m/>
  </r>
  <r>
    <d v="2023-05-24T00:00:00"/>
    <s v="Crépin"/>
    <x v="2"/>
    <m/>
    <n v="30000"/>
    <m/>
    <n v="20457363"/>
    <x v="1"/>
    <m/>
    <x v="0"/>
    <m/>
    <m/>
    <m/>
    <m/>
    <m/>
  </r>
  <r>
    <d v="2023-05-24T00:00:00"/>
    <s v="Reçu Caisse/Grace MOLENDE"/>
    <x v="2"/>
    <m/>
    <n v="382000"/>
    <m/>
    <n v="20839363"/>
    <x v="11"/>
    <m/>
    <x v="0"/>
    <m/>
    <m/>
    <m/>
    <m/>
    <m/>
  </r>
  <r>
    <d v="2023-05-24T00:00:00"/>
    <s v="Reçu caisse/Merveille"/>
    <x v="2"/>
    <m/>
    <n v="132000"/>
    <m/>
    <n v="20971363"/>
    <x v="12"/>
    <m/>
    <x v="0"/>
    <m/>
    <m/>
    <m/>
    <m/>
    <m/>
  </r>
  <r>
    <d v="2023-05-24T00:00:00"/>
    <s v="D58 - CONGO Frais d'hotel du 22 au 24/05/2023 à Sibiti (02nuitées)"/>
    <x v="8"/>
    <s v="Investigation"/>
    <m/>
    <n v="20000"/>
    <n v="20951363"/>
    <x v="4"/>
    <s v="Décharge"/>
    <x v="2"/>
    <s v="RALFF"/>
    <s v="CONGO"/>
    <s v="RALFF-CO4565"/>
    <s v="1.3.2"/>
    <m/>
  </r>
  <r>
    <d v="2023-05-24T00:00:00"/>
    <s v="Achat billet Sibiti - Loudima  /D58"/>
    <x v="6"/>
    <s v="Investigation"/>
    <m/>
    <n v="3500"/>
    <n v="20947863"/>
    <x v="4"/>
    <s v="Oui"/>
    <x v="2"/>
    <s v="RALFF"/>
    <s v="CONGO"/>
    <s v="RALFF-CO4566"/>
    <s v="2.2"/>
    <m/>
  </r>
  <r>
    <d v="2023-05-24T00:00:00"/>
    <s v="Achat billet Loudima- Brazzaville  /D58"/>
    <x v="6"/>
    <s v="Investigation"/>
    <m/>
    <n v="7000"/>
    <n v="20940863"/>
    <x v="4"/>
    <s v="Oui"/>
    <x v="2"/>
    <s v="RALFF"/>
    <s v="CONGO"/>
    <s v="RALFF-CO4567"/>
    <s v="2.2"/>
    <m/>
  </r>
  <r>
    <d v="2023-05-24T00:00:00"/>
    <s v="Recu caisse/Hurielle"/>
    <x v="2"/>
    <m/>
    <n v="193000"/>
    <m/>
    <n v="21133863"/>
    <x v="8"/>
    <s v="Décharge"/>
    <x v="0"/>
    <m/>
    <m/>
    <m/>
    <m/>
    <m/>
  </r>
  <r>
    <d v="2023-05-24T00:00:00"/>
    <s v="Reçu de la caisse/Evariste"/>
    <x v="2"/>
    <m/>
    <n v="140000"/>
    <m/>
    <n v="21273863"/>
    <x v="13"/>
    <m/>
    <x v="0"/>
    <m/>
    <m/>
    <m/>
    <m/>
    <m/>
  </r>
  <r>
    <d v="2023-05-24T00:00:00"/>
    <s v="Reçu caisse/Donald"/>
    <x v="2"/>
    <m/>
    <n v="323000"/>
    <m/>
    <n v="21596863"/>
    <x v="9"/>
    <m/>
    <x v="0"/>
    <m/>
    <m/>
    <m/>
    <m/>
    <m/>
  </r>
  <r>
    <d v="2023-05-24T00:00:00"/>
    <s v="Retour caisse/Crépin"/>
    <x v="2"/>
    <m/>
    <m/>
    <n v="30000"/>
    <n v="21566863"/>
    <x v="6"/>
    <m/>
    <x v="0"/>
    <m/>
    <m/>
    <m/>
    <m/>
    <m/>
  </r>
  <r>
    <d v="2023-05-24T00:00:00"/>
    <s v="Reçu de caisse/Crépin"/>
    <x v="2"/>
    <m/>
    <n v="231000"/>
    <m/>
    <n v="21797863"/>
    <x v="6"/>
    <m/>
    <x v="0"/>
    <m/>
    <m/>
    <m/>
    <m/>
    <m/>
  </r>
  <r>
    <d v="2023-05-25T00:00:00"/>
    <s v="Achat Billet Brazzaville - Dolisie /GRACE MOLENDE"/>
    <x v="6"/>
    <s v="Management"/>
    <m/>
    <n v="10000"/>
    <n v="21787863"/>
    <x v="11"/>
    <s v="Oui"/>
    <x v="2"/>
    <s v="RALFF"/>
    <s v="CONGO"/>
    <s v="RALFF-CO4568"/>
    <s v="2.2"/>
    <m/>
  </r>
  <r>
    <d v="2023-05-25T00:00:00"/>
    <s v="GRACE MOLENDE - CONGO Food Allowance du 25 au 27/05/23 (02 Nuitées) à Dolisie"/>
    <x v="8"/>
    <s v="Management"/>
    <m/>
    <n v="20000"/>
    <n v="21767863"/>
    <x v="11"/>
    <s v="Décharge"/>
    <x v="2"/>
    <s v="RALFF"/>
    <s v="CONGO"/>
    <s v="RALFF-CO4569"/>
    <s v="1.3.2"/>
    <m/>
  </r>
  <r>
    <d v="2023-05-25T00:00:00"/>
    <s v="Achat billet Brazzaville - Dolisie/Merveille"/>
    <x v="6"/>
    <s v="Management"/>
    <m/>
    <n v="10000"/>
    <n v="21757863"/>
    <x v="12"/>
    <s v="Oui"/>
    <x v="2"/>
    <s v="RALFF"/>
    <s v="CONGO"/>
    <s v="RALFF-CO4570"/>
    <s v="2.2"/>
    <m/>
  </r>
  <r>
    <d v="2023-05-25T00:00:00"/>
    <s v="MERVEILLE-CONGO Food allowance mission du 25 au 27 Mai 2023 ( 03 Nuitées) à Dolisie"/>
    <x v="8"/>
    <s v="Management"/>
    <m/>
    <n v="20000"/>
    <n v="21737863"/>
    <x v="12"/>
    <s v="Décharge"/>
    <x v="2"/>
    <s v="RALFF"/>
    <s v="CONGO"/>
    <s v="RALFF-CO4571"/>
    <s v="1.3.2"/>
    <m/>
  </r>
  <r>
    <d v="2023-05-25T00:00:00"/>
    <s v="Reglement loyer mois d'Avril 2023/Pluriel solution ch N°3667298"/>
    <x v="11"/>
    <s v="Office"/>
    <m/>
    <n v="500000"/>
    <n v="21237863"/>
    <x v="3"/>
    <n v="3667298"/>
    <x v="1"/>
    <s v="RALFF"/>
    <s v="CONGO"/>
    <s v="RALFF-CO4572"/>
    <s v="4.2"/>
    <m/>
  </r>
  <r>
    <d v="2023-05-25T00:00:00"/>
    <s v="Reglement loyer mois de Mai 2023/Pluriel solution ch N°3667321"/>
    <x v="11"/>
    <s v="Office"/>
    <m/>
    <n v="500000"/>
    <n v="20737863"/>
    <x v="3"/>
    <n v="3667321"/>
    <x v="1"/>
    <s v="RALFF"/>
    <s v="CONGO"/>
    <s v="RALFF-CO4573"/>
    <s v="4.2"/>
    <m/>
  </r>
  <r>
    <d v="2023-05-25T00:00:00"/>
    <s v="Cumul frais de Trust Building du mois de Mai 2023 / D58"/>
    <x v="13"/>
    <s v="Investigation"/>
    <m/>
    <n v="18000"/>
    <n v="20719863"/>
    <x v="4"/>
    <s v="Décharge"/>
    <x v="2"/>
    <s v="PALF"/>
    <s v="CONGO"/>
    <m/>
    <m/>
    <m/>
  </r>
  <r>
    <d v="2023-05-25T00:00:00"/>
    <s v="T73 - CONGO Frais d'Hotel du 15 au 25/05/2023 (10 nuitées) à dolisie"/>
    <x v="8"/>
    <s v="Investigation"/>
    <m/>
    <n v="150000"/>
    <n v="20569863"/>
    <x v="5"/>
    <s v="Oui"/>
    <x v="2"/>
    <s v="RALFF"/>
    <s v="CONGO"/>
    <s v="RALFF-CO4574"/>
    <s v="1.3.2"/>
    <m/>
  </r>
  <r>
    <d v="2023-05-25T00:00:00"/>
    <s v="Reçu caisse/T73 "/>
    <x v="2"/>
    <m/>
    <n v="128000"/>
    <m/>
    <n v="20697863"/>
    <x v="5"/>
    <m/>
    <x v="0"/>
    <m/>
    <m/>
    <m/>
    <m/>
    <m/>
  </r>
  <r>
    <d v="2023-05-25T00:00:00"/>
    <s v="P29 - CONGO Frais d'hotel du 20  au 25/05/2023  à Dolisie (05 nuitées) "/>
    <x v="8"/>
    <s v="Investigation"/>
    <m/>
    <n v="75000"/>
    <n v="20622863"/>
    <x v="7"/>
    <s v="Oui"/>
    <x v="2"/>
    <s v="RALFF"/>
    <s v="CONGO"/>
    <s v="RALFF-CO4575"/>
    <s v="1.3.2"/>
    <m/>
  </r>
  <r>
    <d v="2023-05-25T00:00:00"/>
    <s v="Reçu de caisse/P29"/>
    <x v="2"/>
    <m/>
    <n v="90000"/>
    <m/>
    <n v="20712863"/>
    <x v="7"/>
    <m/>
    <x v="0"/>
    <m/>
    <m/>
    <m/>
    <m/>
    <m/>
  </r>
  <r>
    <d v="2023-05-25T00:00:00"/>
    <s v="Achat billet aller Brazzaville-Dolisie/Hurielle"/>
    <x v="6"/>
    <s v="Legal"/>
    <m/>
    <n v="10000"/>
    <n v="20702863"/>
    <x v="8"/>
    <s v="Oui"/>
    <x v="2"/>
    <s v="RALFF"/>
    <s v="CONGO"/>
    <s v="RALFF-CO4576"/>
    <s v="2.2"/>
    <m/>
  </r>
  <r>
    <d v="2023-05-25T00:00:00"/>
    <s v="HURIELLE - CONGO Food Allowance du 25 au 03/09/2023 à Dolisie (09 nuitées)"/>
    <x v="8"/>
    <s v="Legal"/>
    <m/>
    <n v="90000"/>
    <n v="20612863"/>
    <x v="8"/>
    <s v="Décharge"/>
    <x v="2"/>
    <s v="RALFF"/>
    <s v="CONGO"/>
    <s v="RALFF-CO4577"/>
    <s v="1.3.2"/>
    <m/>
  </r>
  <r>
    <d v="2023-05-25T00:00:00"/>
    <s v="Achat billet Brazzaville-Dolisie/Evariste"/>
    <x v="6"/>
    <s v="Media"/>
    <m/>
    <n v="10000"/>
    <n v="20602863"/>
    <x v="13"/>
    <s v="Oui"/>
    <x v="2"/>
    <s v="RALFF"/>
    <s v="CONGO"/>
    <s v="RALFF-CO4578"/>
    <s v="2.2"/>
    <m/>
  </r>
  <r>
    <d v="2023-05-25T00:00:00"/>
    <s v="EVARISTE - CONGO Food Allowance du 25 au 31 mai 2023 (06 nuitées) à Dolisie"/>
    <x v="8"/>
    <s v="Media"/>
    <m/>
    <n v="60000"/>
    <n v="20542863"/>
    <x v="13"/>
    <s v="Décharge"/>
    <x v="2"/>
    <s v="RALFF"/>
    <s v="CONGO"/>
    <s v="RALFF-CO4579"/>
    <s v="1.3.2"/>
    <m/>
  </r>
  <r>
    <d v="2023-05-25T00:00:00"/>
    <s v="Achat billet Brazzaville-Dolisie/Donald"/>
    <x v="6"/>
    <s v="Legal"/>
    <m/>
    <n v="10000"/>
    <n v="20532863"/>
    <x v="9"/>
    <s v="Oui"/>
    <x v="2"/>
    <s v="RALFF"/>
    <s v="CONGO"/>
    <s v="RALFF-CO4580"/>
    <s v="2.2"/>
    <m/>
  </r>
  <r>
    <d v="2023-05-25T00:00:00"/>
    <s v="Donald-CONGO Food Allowance Mission (09 Nuitées)  du 25 mai au 03/06/2023"/>
    <x v="8"/>
    <s v="Legal"/>
    <m/>
    <n v="90000"/>
    <n v="20442863"/>
    <x v="9"/>
    <s v="Oui"/>
    <x v="2"/>
    <s v="RALFF"/>
    <s v="CONGO"/>
    <s v="RALFF-CO4581"/>
    <s v="1.3.2"/>
    <m/>
  </r>
  <r>
    <d v="2023-05-25T00:00:00"/>
    <s v="CREPIN - CONGO Food-Allowance du 25/05/ au 03/06/2023 à Dolisie (09 nuitées)"/>
    <x v="8"/>
    <s v="Management"/>
    <m/>
    <n v="90000"/>
    <n v="20352863"/>
    <x v="6"/>
    <s v="Décharge"/>
    <x v="2"/>
    <s v="RALFF"/>
    <s v="CONGO"/>
    <s v="RALFF-CO4582"/>
    <s v="1.3.2"/>
    <m/>
  </r>
  <r>
    <d v="2023-05-25T00:00:00"/>
    <s v="Billet: Brazzaville-Dolisie/Crépin"/>
    <x v="6"/>
    <s v="Management"/>
    <m/>
    <n v="10000"/>
    <n v="20342863"/>
    <x v="6"/>
    <s v="Oui"/>
    <x v="2"/>
    <s v="RALFF"/>
    <s v="CONGO"/>
    <s v="RALFF-CO4583"/>
    <s v="2.2"/>
    <m/>
  </r>
  <r>
    <d v="2023-05-26T00:00:00"/>
    <s v="Transfert à Crépin/Grace MOLENDE"/>
    <x v="2"/>
    <m/>
    <m/>
    <n v="40000"/>
    <n v="20302863"/>
    <x v="11"/>
    <m/>
    <x v="0"/>
    <m/>
    <m/>
    <m/>
    <m/>
    <m/>
  </r>
  <r>
    <d v="2023-05-26T00:00:00"/>
    <s v="Transfert à P29/Grace MOLENDE"/>
    <x v="2"/>
    <m/>
    <m/>
    <n v="40000"/>
    <n v="20262863"/>
    <x v="11"/>
    <m/>
    <x v="0"/>
    <m/>
    <m/>
    <m/>
    <m/>
    <m/>
  </r>
  <r>
    <d v="2023-05-26T00:00:00"/>
    <s v="Transfert à T73/Grace MOLENDE"/>
    <x v="2"/>
    <m/>
    <m/>
    <n v="40000"/>
    <n v="20222863"/>
    <x v="11"/>
    <m/>
    <x v="0"/>
    <m/>
    <m/>
    <m/>
    <m/>
    <m/>
  </r>
  <r>
    <d v="2023-05-26T00:00:00"/>
    <s v="Cumul frais de transport local du mois de Mai 2023 / D58"/>
    <x v="6"/>
    <s v="Investigation"/>
    <m/>
    <n v="53800"/>
    <n v="20169063"/>
    <x v="4"/>
    <s v="Décharge"/>
    <x v="2"/>
    <s v="RALFF"/>
    <s v="CONGO"/>
    <s v="RALFF-CO4584"/>
    <s v="2.2"/>
    <m/>
  </r>
  <r>
    <d v="2023-05-26T00:00:00"/>
    <s v="Cumul frais de transport local du mois de Mai 2023/T73"/>
    <x v="6"/>
    <s v="Investigation"/>
    <m/>
    <n v="69400"/>
    <n v="20099663"/>
    <x v="5"/>
    <s v="Décharge"/>
    <x v="2"/>
    <s v="RALFF"/>
    <s v="CONGO"/>
    <s v="RALFF-CO4585"/>
    <s v="2.2"/>
    <m/>
  </r>
  <r>
    <d v="2023-05-26T00:00:00"/>
    <s v="Cumul frais de Trust Building mois de Mai 2023/T73"/>
    <x v="13"/>
    <s v="Investigation"/>
    <m/>
    <n v="52000"/>
    <n v="20047663"/>
    <x v="5"/>
    <s v="Décharge"/>
    <x v="2"/>
    <s v="PALF"/>
    <s v="CONGO"/>
    <m/>
    <m/>
    <m/>
  </r>
  <r>
    <d v="2023-05-26T00:00:00"/>
    <s v="Reçu de caisse/P29"/>
    <x v="2"/>
    <m/>
    <n v="40000"/>
    <m/>
    <n v="20087663"/>
    <x v="7"/>
    <m/>
    <x v="0"/>
    <m/>
    <m/>
    <m/>
    <m/>
    <m/>
  </r>
  <r>
    <d v="2023-05-26T00:00:00"/>
    <s v="Frais d'Impression documents"/>
    <x v="1"/>
    <s v="Office"/>
    <m/>
    <n v="250"/>
    <n v="20087413"/>
    <x v="13"/>
    <s v="Oui"/>
    <x v="2"/>
    <s v="PALF"/>
    <s v="CONGO"/>
    <m/>
    <m/>
    <m/>
  </r>
  <r>
    <d v="2023-05-26T00:00:00"/>
    <s v="Fais produit pharmaceutiques du detenu KONDO MABIALA"/>
    <x v="10"/>
    <s v="Legal"/>
    <m/>
    <n v="27410"/>
    <n v="20060003"/>
    <x v="9"/>
    <s v="Oui"/>
    <x v="2"/>
    <s v="PALF"/>
    <s v="CONGO"/>
    <m/>
    <m/>
    <m/>
  </r>
  <r>
    <d v="2023-05-26T00:00:00"/>
    <s v="Reçu de Grâce /Crépin"/>
    <x v="2"/>
    <m/>
    <n v="40000"/>
    <m/>
    <n v="20100003"/>
    <x v="6"/>
    <m/>
    <x v="0"/>
    <m/>
    <m/>
    <m/>
    <m/>
    <m/>
  </r>
  <r>
    <d v="2023-05-27T00:00:00"/>
    <s v="Achat Raffraichissement Divers (Biscuits et Jus)/Autorité OPJ et EF"/>
    <x v="8"/>
    <s v="Operation"/>
    <m/>
    <n v="6000"/>
    <n v="20094003"/>
    <x v="11"/>
    <s v="Oui"/>
    <x v="2"/>
    <s v="PALF"/>
    <s v="CONGO"/>
    <m/>
    <m/>
    <m/>
  </r>
  <r>
    <d v="2023-05-27T00:00:00"/>
    <s v="Transfert à Crépin/Grace MOLENDE"/>
    <x v="2"/>
    <m/>
    <m/>
    <n v="100000"/>
    <n v="19994003"/>
    <x v="11"/>
    <m/>
    <x v="0"/>
    <m/>
    <m/>
    <m/>
    <m/>
    <m/>
  </r>
  <r>
    <d v="2023-05-27T00:00:00"/>
    <s v="Frais Location taxi  extraction P29 et T73/ Dolisie - Brazzaville"/>
    <x v="6"/>
    <s v="Operation"/>
    <m/>
    <n v="60000"/>
    <n v="19934003"/>
    <x v="12"/>
    <s v="Oui"/>
    <x v="2"/>
    <s v="PALF"/>
    <s v="CONGO"/>
    <m/>
    <m/>
    <m/>
  </r>
  <r>
    <d v="2023-05-27T00:00:00"/>
    <s v="Reçu de Grace/T73 "/>
    <x v="2"/>
    <m/>
    <n v="40000"/>
    <m/>
    <n v="19974003"/>
    <x v="5"/>
    <m/>
    <x v="0"/>
    <m/>
    <m/>
    <m/>
    <m/>
    <m/>
  </r>
  <r>
    <d v="2023-05-27T00:00:00"/>
    <s v="T73 - CONGO Frais d'Hotel du 25 au 27/05/2023 dans la suite (02 nuitées) à dolisie op"/>
    <x v="8"/>
    <s v="Operation"/>
    <m/>
    <n v="80000"/>
    <n v="19894003"/>
    <x v="5"/>
    <s v="Oui"/>
    <x v="1"/>
    <s v="RALFF"/>
    <s v="CONGO"/>
    <s v="RALFF-CO4586"/>
    <s v="1.3.2"/>
    <m/>
  </r>
  <r>
    <d v="2023-05-27T00:00:00"/>
    <s v="P29 - CONGO Frais d'hotel du 25  au 27/05/2023  dans la suite à Dolisie lieu op (02 nuitées)"/>
    <x v="8"/>
    <s v="Operation"/>
    <m/>
    <n v="80000"/>
    <n v="19814003"/>
    <x v="7"/>
    <s v="Oui"/>
    <x v="1"/>
    <s v="RALFF"/>
    <s v="CONGO"/>
    <s v="RALFF-CO4587"/>
    <s v="1.3.2"/>
    <m/>
  </r>
  <r>
    <d v="2023-05-27T00:00:00"/>
    <s v="Cumul frais de Transport local mois de Mai 2023/P29"/>
    <x v="6"/>
    <s v="Investigation"/>
    <m/>
    <n v="42200"/>
    <n v="19771803"/>
    <x v="7"/>
    <s v="Décharge"/>
    <x v="2"/>
    <s v="RALFF"/>
    <s v="CONGO"/>
    <s v="RALFF-CO4588"/>
    <s v="2.2"/>
    <m/>
  </r>
  <r>
    <d v="2023-05-27T00:00:00"/>
    <s v="Cumul frais de Trust Bulding mois de Mai 2023/P29"/>
    <x v="13"/>
    <s v="Investigation"/>
    <m/>
    <n v="55000"/>
    <n v="19716803"/>
    <x v="7"/>
    <s v="Décharge"/>
    <x v="2"/>
    <s v="PALF"/>
    <s v="CONGO"/>
    <m/>
    <m/>
    <m/>
  </r>
  <r>
    <d v="2023-05-27T00:00:00"/>
    <s v="Rafraichissement de l'OP pour OPJ et agent EF"/>
    <x v="8"/>
    <s v="Operation"/>
    <m/>
    <n v="4900"/>
    <n v="19711903"/>
    <x v="8"/>
    <s v="Oui"/>
    <x v="2"/>
    <s v="PALF"/>
    <s v="CONGO"/>
    <m/>
    <m/>
    <m/>
  </r>
  <r>
    <d v="2023-05-27T00:00:00"/>
    <s v="Rafraichissement (opération du 27 mai 2023 à Dolisie) OPJ et EF"/>
    <x v="8"/>
    <s v="Operation"/>
    <m/>
    <n v="4800"/>
    <n v="19707103"/>
    <x v="13"/>
    <s v="Oui"/>
    <x v="2"/>
    <s v="PALF"/>
    <s v="CONGO"/>
    <m/>
    <m/>
    <m/>
  </r>
  <r>
    <d v="2023-05-27T00:00:00"/>
    <s v="Achat raffraichissement (10 biscuit, 05 Reaktor,05 jus coca-cola,16 bouiteille d'eau vival)"/>
    <x v="8"/>
    <s v="Operation"/>
    <m/>
    <n v="9750"/>
    <n v="19697353"/>
    <x v="9"/>
    <s v="Oui"/>
    <x v="2"/>
    <s v="PALF"/>
    <s v="CONGO"/>
    <m/>
    <m/>
    <m/>
  </r>
  <r>
    <d v="2023-05-27T00:00:00"/>
    <s v="Achat carburant BJ de la gendarmerie"/>
    <x v="6"/>
    <s v="Operation"/>
    <m/>
    <n v="25000"/>
    <n v="19672353"/>
    <x v="9"/>
    <s v="Oui"/>
    <x v="2"/>
    <s v="PALF"/>
    <s v="CONGO"/>
    <m/>
    <m/>
    <m/>
  </r>
  <r>
    <d v="2023-05-27T00:00:00"/>
    <s v="CREPIN - CONGO Frais d'hotel du 25 au 27/05/2023 suite à Dolisie (02 nuitées) pour OP"/>
    <x v="8"/>
    <s v="Operation"/>
    <m/>
    <n v="80000"/>
    <n v="19592353"/>
    <x v="6"/>
    <s v="Oui"/>
    <x v="2"/>
    <s v="RALFF"/>
    <s v="CONGO"/>
    <s v="RALFF-CO4589"/>
    <s v="1.3.2"/>
    <m/>
  </r>
  <r>
    <d v="2023-05-27T00:00:00"/>
    <s v="CREPIN - CONGO Frais d'hotel du 27 au 28/05/2023 suite à Dolisie (01 nuitée) "/>
    <x v="8"/>
    <s v="Legal"/>
    <m/>
    <n v="40000"/>
    <n v="19552353"/>
    <x v="6"/>
    <s v="Oui"/>
    <x v="2"/>
    <s v="PALF"/>
    <s v="CONGO"/>
    <m/>
    <m/>
    <m/>
  </r>
  <r>
    <d v="2023-05-27T00:00:00"/>
    <s v="Raffraichissement pendant l'attente de l'opération pour 02 gendarmes, 01 agent EF et moi (Grillades, manioc et bieres)"/>
    <x v="8"/>
    <s v="Operation"/>
    <m/>
    <n v="9500"/>
    <n v="19542853"/>
    <x v="6"/>
    <s v="Oui"/>
    <x v="2"/>
    <s v="PALF"/>
    <s v="CONGO"/>
    <m/>
    <m/>
    <m/>
  </r>
  <r>
    <d v="2023-05-27T00:00:00"/>
    <s v="Reçu de Grace/Crépin"/>
    <x v="2"/>
    <m/>
    <n v="100000"/>
    <m/>
    <n v="19642853"/>
    <x v="6"/>
    <m/>
    <x v="0"/>
    <m/>
    <m/>
    <m/>
    <m/>
    <m/>
  </r>
  <r>
    <d v="2023-05-28T00:00:00"/>
    <s v="Donald-CONGO Frais d'hôtel (03 Nuitées) OP du 25 au 28/05/2023  à Dolisie"/>
    <x v="8"/>
    <s v="Operation"/>
    <m/>
    <n v="45000"/>
    <n v="19597853"/>
    <x v="9"/>
    <s v="Oui"/>
    <x v="2"/>
    <s v="PALF"/>
    <s v="CONGO"/>
    <m/>
    <m/>
    <m/>
  </r>
  <r>
    <d v="2023-05-28T00:00:00"/>
    <s v="GRACE MOLENDE - CONGO Frais d'Hotel 25 au 28/05/23 (03 Nuitées) à Dolisie OP"/>
    <x v="8"/>
    <s v="Operation"/>
    <m/>
    <n v="45000"/>
    <n v="19552853"/>
    <x v="11"/>
    <s v="Oui"/>
    <x v="2"/>
    <s v="PALF"/>
    <s v="CONGO"/>
    <m/>
    <m/>
    <m/>
  </r>
  <r>
    <d v="2023-05-28T00:00:00"/>
    <s v="MERVEILLE-CONGO Frais d'hotel du 25 au 28 Mai 2023 ( 03 Nuitées) à Dolisie,op"/>
    <x v="8"/>
    <s v="Operation"/>
    <m/>
    <n v="45000"/>
    <n v="19507853"/>
    <x v="12"/>
    <s v="Oui"/>
    <x v="2"/>
    <s v="PALF"/>
    <s v="CONGO"/>
    <m/>
    <m/>
    <m/>
  </r>
  <r>
    <d v="2023-05-28T00:00:00"/>
    <s v="T73 - CONGO Frais d'Hotel du 27 au 28/05/2023 dans la suite (01 nuitée) à dolisie"/>
    <x v="8"/>
    <s v="Investigation"/>
    <m/>
    <n v="40000"/>
    <n v="19467853"/>
    <x v="5"/>
    <s v="Oui"/>
    <x v="2"/>
    <s v="PALF"/>
    <s v="CONGO"/>
    <m/>
    <m/>
    <m/>
  </r>
  <r>
    <d v="2023-05-28T00:00:00"/>
    <s v="P29 - CONGO Frais d'hotel du 27  au 28/05/2023  dans la suite à Dolisie (01 nuitée)"/>
    <x v="8"/>
    <s v="Operation"/>
    <m/>
    <n v="40000"/>
    <n v="19427853"/>
    <x v="7"/>
    <s v="Oui"/>
    <x v="2"/>
    <s v="PALF"/>
    <s v="CONGO"/>
    <m/>
    <m/>
    <m/>
  </r>
  <r>
    <d v="2023-05-28T00:00:00"/>
    <s v="HURIELLE - CONGO Frais d'Hôtel du 25 au 28/05/2023 à Dolisie OP"/>
    <x v="8"/>
    <s v="Operation"/>
    <m/>
    <n v="45000"/>
    <n v="19382853"/>
    <x v="8"/>
    <s v="Oui"/>
    <x v="2"/>
    <s v="PALF"/>
    <s v="CONGO"/>
    <m/>
    <m/>
    <m/>
  </r>
  <r>
    <d v="2023-05-28T00:00:00"/>
    <s v="EVARISTE - CONGOFrais d'hôtel du 25 au 28 mai 2023 (03 nuitées) à Dolisie OP"/>
    <x v="8"/>
    <s v="Operation"/>
    <m/>
    <n v="45000"/>
    <n v="19337853"/>
    <x v="13"/>
    <s v="Oui"/>
    <x v="2"/>
    <s v="PALF"/>
    <s v="CONGO"/>
    <m/>
    <m/>
    <m/>
  </r>
  <r>
    <d v="2023-05-29T00:00:00"/>
    <s v="Cumul frais de transport local mois de Mai 2023/Tiffany"/>
    <x v="6"/>
    <s v="Management"/>
    <m/>
    <n v="10000"/>
    <n v="19327853"/>
    <x v="14"/>
    <s v="Décharge"/>
    <x v="2"/>
    <s v="RALFF"/>
    <s v="CONGO"/>
    <s v="RALFF-CO4590"/>
    <s v="2.2"/>
    <m/>
  </r>
  <r>
    <d v="2023-05-30T00:00:00"/>
    <s v="Crépin"/>
    <x v="2"/>
    <m/>
    <m/>
    <n v="244000"/>
    <n v="19083853"/>
    <x v="1"/>
    <m/>
    <x v="0"/>
    <m/>
    <m/>
    <m/>
    <m/>
    <m/>
  </r>
  <r>
    <d v="2023-05-30T00:00:00"/>
    <s v="Hurielle"/>
    <x v="2"/>
    <m/>
    <m/>
    <n v="129000"/>
    <n v="18954853"/>
    <x v="1"/>
    <m/>
    <x v="0"/>
    <m/>
    <m/>
    <m/>
    <m/>
    <m/>
  </r>
  <r>
    <d v="2023-05-30T00:00:00"/>
    <s v="Donald-Roméo"/>
    <x v="2"/>
    <m/>
    <m/>
    <n v="129000"/>
    <n v="18825853"/>
    <x v="1"/>
    <m/>
    <x v="0"/>
    <m/>
    <m/>
    <m/>
    <m/>
    <m/>
  </r>
  <r>
    <d v="2023-05-30T00:00:00"/>
    <s v="Frais de transfert charden farell à Crépin, Hurielle et Donald"/>
    <x v="7"/>
    <s v="Office"/>
    <m/>
    <n v="15060"/>
    <n v="18810793"/>
    <x v="1"/>
    <s v="Oui"/>
    <x v="2"/>
    <s v="RALFF"/>
    <s v="CONGO"/>
    <s v="RALFF-CO4591"/>
    <s v="5.6"/>
    <m/>
  </r>
  <r>
    <d v="2023-05-30T00:00:00"/>
    <s v="Frais de mission maitre Marie Hélène MALONGA à Dolisie du 31 Mai et 02 Juin 2023"/>
    <x v="14"/>
    <s v="Legal"/>
    <m/>
    <n v="76000"/>
    <n v="18734793"/>
    <x v="1"/>
    <s v="Oui"/>
    <x v="1"/>
    <s v="RALFF"/>
    <s v="CONGO"/>
    <s v="RALFF-CO4592"/>
    <s v="5.2.2"/>
    <m/>
  </r>
  <r>
    <d v="2023-05-30T00:00:00"/>
    <s v="Oracle"/>
    <x v="2"/>
    <m/>
    <m/>
    <n v="20000"/>
    <n v="18714793"/>
    <x v="1"/>
    <m/>
    <x v="0"/>
    <m/>
    <m/>
    <m/>
    <m/>
    <m/>
  </r>
  <r>
    <d v="2023-05-30T00:00:00"/>
    <s v="Entretretien général Jardin, Bureau PALF Mois de Mai 2023"/>
    <x v="15"/>
    <s v="Office"/>
    <m/>
    <n v="20000"/>
    <n v="18694793"/>
    <x v="1"/>
    <s v="Oui"/>
    <x v="2"/>
    <s v="PALF"/>
    <s v="CONGO"/>
    <m/>
    <m/>
    <m/>
  </r>
  <r>
    <d v="2023-05-30T00:00:00"/>
    <s v="Reglement Facture Honoraire Me LOCKO Christian Mois d'Avril 2023/3654548"/>
    <x v="14"/>
    <s v="Legal"/>
    <m/>
    <n v="150000"/>
    <n v="18544793"/>
    <x v="2"/>
    <n v="3654548"/>
    <x v="2"/>
    <s v="PALF"/>
    <s v="CONGO"/>
    <m/>
    <m/>
    <m/>
  </r>
  <r>
    <d v="2023-05-30T00:00:00"/>
    <s v="Reglement Facture Gardiennage Mois de Mai 2023/3654549"/>
    <x v="15"/>
    <s v="Office"/>
    <m/>
    <n v="260000"/>
    <n v="18284793"/>
    <x v="2"/>
    <n v="3654549"/>
    <x v="2"/>
    <s v="PALF"/>
    <s v="CONGO"/>
    <m/>
    <m/>
    <m/>
  </r>
  <r>
    <d v="2023-05-30T00:00:00"/>
    <s v="Reglement Facture Honoraire Me LOCKO Christian Mois de Mai 2023/3654550"/>
    <x v="14"/>
    <s v="Legal"/>
    <m/>
    <n v="150000"/>
    <n v="18134793"/>
    <x v="2"/>
    <n v="3654550"/>
    <x v="2"/>
    <s v="PALF"/>
    <s v="CONGO"/>
    <m/>
    <m/>
    <m/>
  </r>
  <r>
    <d v="2023-05-30T00:00:00"/>
    <s v="Retour Caisse / Grace MOLENDE"/>
    <x v="2"/>
    <m/>
    <m/>
    <n v="80000"/>
    <n v="18054793"/>
    <x v="11"/>
    <m/>
    <x v="0"/>
    <m/>
    <m/>
    <m/>
    <m/>
    <m/>
  </r>
  <r>
    <d v="2023-05-30T00:00:00"/>
    <s v="Cumul frais de transfert mois de  Mai 2023 / GRACE MOLENDE"/>
    <x v="6"/>
    <s v="Management"/>
    <m/>
    <n v="10000"/>
    <n v="18044793"/>
    <x v="11"/>
    <s v="Décharge"/>
    <x v="2"/>
    <s v="RALFF"/>
    <s v="CONGO"/>
    <s v="RALFF-CO4593"/>
    <s v="2.2"/>
    <m/>
  </r>
  <r>
    <d v="2023-05-30T00:00:00"/>
    <s v="Reglement Facture Honoraire mois de Mai 2023/P29"/>
    <x v="9"/>
    <s v="Investigation"/>
    <m/>
    <n v="390000"/>
    <n v="17654793"/>
    <x v="3"/>
    <n v="3667345"/>
    <x v="1"/>
    <s v="RALFF"/>
    <s v="CONGO"/>
    <s v="RALFF-CO4594"/>
    <s v="1.1.1.9"/>
    <m/>
  </r>
  <r>
    <d v="2023-05-30T00:00:00"/>
    <s v="Reglement Facture Honoraire mois de Mai 2023/T73"/>
    <x v="9"/>
    <s v="Investigation"/>
    <m/>
    <n v="340000"/>
    <n v="17314793"/>
    <x v="3"/>
    <n v="3667346"/>
    <x v="1"/>
    <s v="RALFF"/>
    <s v="CONGO"/>
    <s v="RALFF-CO4595"/>
    <s v="1.1.1.9"/>
    <m/>
  </r>
  <r>
    <d v="2023-05-30T00:00:00"/>
    <s v="Recu caisse/Hurielle"/>
    <x v="2"/>
    <m/>
    <n v="129000"/>
    <m/>
    <n v="17443793"/>
    <x v="8"/>
    <m/>
    <x v="0"/>
    <m/>
    <m/>
    <m/>
    <m/>
    <m/>
  </r>
  <r>
    <d v="2023-05-30T00:00:00"/>
    <s v="Reçu de Crépin/Evariste"/>
    <x v="2"/>
    <m/>
    <n v="43000"/>
    <m/>
    <n v="17486793"/>
    <x v="13"/>
    <m/>
    <x v="0"/>
    <m/>
    <m/>
    <m/>
    <m/>
    <m/>
  </r>
  <r>
    <d v="2023-05-30T00:00:00"/>
    <s v="Reçu caisse/Donald"/>
    <x v="2"/>
    <m/>
    <n v="129000"/>
    <m/>
    <n v="17615793"/>
    <x v="9"/>
    <m/>
    <x v="0"/>
    <m/>
    <m/>
    <m/>
    <m/>
    <m/>
  </r>
  <r>
    <d v="2023-05-30T00:00:00"/>
    <s v="Reçu de caisse/Crépin"/>
    <x v="2"/>
    <m/>
    <n v="244000"/>
    <m/>
    <n v="17859793"/>
    <x v="6"/>
    <m/>
    <x v="0"/>
    <m/>
    <m/>
    <m/>
    <m/>
    <m/>
  </r>
  <r>
    <d v="2023-05-30T00:00:00"/>
    <s v="Moi à Evariste/Crépin"/>
    <x v="2"/>
    <m/>
    <m/>
    <n v="43000"/>
    <n v="17816793"/>
    <x v="6"/>
    <m/>
    <x v="0"/>
    <m/>
    <m/>
    <m/>
    <m/>
    <m/>
  </r>
  <r>
    <d v="2023-05-30T00:00:00"/>
    <s v="Reçu caisse/Oracle"/>
    <x v="2"/>
    <m/>
    <n v="20000"/>
    <m/>
    <n v="17836793"/>
    <x v="10"/>
    <m/>
    <x v="0"/>
    <m/>
    <m/>
    <m/>
    <m/>
    <m/>
  </r>
  <r>
    <d v="2023-05-31T00:00:00"/>
    <s v="Grace"/>
    <x v="2"/>
    <m/>
    <n v="80000"/>
    <m/>
    <n v="17916793"/>
    <x v="1"/>
    <m/>
    <x v="0"/>
    <m/>
    <m/>
    <m/>
    <m/>
    <m/>
  </r>
  <r>
    <d v="2023-05-31T00:00:00"/>
    <s v="Hurielle"/>
    <x v="2"/>
    <m/>
    <m/>
    <n v="10000"/>
    <n v="17906793"/>
    <x v="1"/>
    <m/>
    <x v="0"/>
    <m/>
    <m/>
    <m/>
    <m/>
    <m/>
  </r>
  <r>
    <d v="2023-05-31T00:00:00"/>
    <s v="Frais de transfert charden farell à Hurielle"/>
    <x v="7"/>
    <s v="Office"/>
    <m/>
    <n v="1500"/>
    <n v="17905293"/>
    <x v="1"/>
    <s v="Oui"/>
    <x v="2"/>
    <s v="RALFF"/>
    <s v="CONGO"/>
    <s v="RALFF-CO4596"/>
    <s v="5.6"/>
    <m/>
  </r>
  <r>
    <d v="2023-05-31T00:00:00"/>
    <s v="Règlement prestation technicienne de surface (mois de Mai  2023)"/>
    <x v="15"/>
    <s v="Office"/>
    <m/>
    <n v="75625"/>
    <n v="17829668"/>
    <x v="1"/>
    <s v="Oui"/>
    <x v="2"/>
    <s v="PALF"/>
    <s v="CONGO"/>
    <m/>
    <m/>
    <m/>
  </r>
  <r>
    <d v="2023-05-31T00:00:00"/>
    <s v="Reglemeent Facture Internet (Canal Box_Periode du 31/05 au 01/07 2023)"/>
    <x v="16"/>
    <s v="Office"/>
    <m/>
    <n v="45050"/>
    <n v="17784618"/>
    <x v="1"/>
    <s v="Oui"/>
    <x v="1"/>
    <s v="RALFF"/>
    <s v="CONGO"/>
    <s v="RALFF-CO4597"/>
    <s v="4.5"/>
    <m/>
  </r>
  <r>
    <d v="2023-05-31T00:00:00"/>
    <s v="T73"/>
    <x v="2"/>
    <m/>
    <m/>
    <n v="153000"/>
    <n v="17631618"/>
    <x v="1"/>
    <m/>
    <x v="0"/>
    <m/>
    <m/>
    <m/>
    <m/>
    <m/>
  </r>
  <r>
    <d v="2023-05-31T00:00:00"/>
    <s v="Cumul frais de transport local mois de Mai 2023/Merveille"/>
    <x v="6"/>
    <s v="Management"/>
    <m/>
    <n v="25400"/>
    <n v="17606218"/>
    <x v="12"/>
    <s v="Décharge"/>
    <x v="2"/>
    <s v="RALFF"/>
    <s v="CONGO"/>
    <s v="RALFF-CO4598"/>
    <s v="2.2"/>
    <m/>
  </r>
  <r>
    <d v="2023-05-31T00:00:00"/>
    <s v="Reçu caisse/T73 "/>
    <x v="2"/>
    <m/>
    <n v="153000"/>
    <m/>
    <n v="17784618"/>
    <x v="5"/>
    <m/>
    <x v="0"/>
    <m/>
    <m/>
    <m/>
    <m/>
    <m/>
  </r>
  <r>
    <d v="2023-05-31T00:00:00"/>
    <s v="Cumul Frais de Jail visit mois de Mai 2023/Hurielle"/>
    <x v="10"/>
    <s v="Legal"/>
    <m/>
    <n v="44300"/>
    <n v="17740318"/>
    <x v="8"/>
    <s v="Décharge"/>
    <x v="2"/>
    <s v="PALF"/>
    <s v="CONGO"/>
    <m/>
    <m/>
    <m/>
  </r>
  <r>
    <d v="2023-05-31T00:00:00"/>
    <s v="Cumul Frais de transport local mois de Mai 2023/Hurielle"/>
    <x v="6"/>
    <s v="Legal"/>
    <m/>
    <n v="26200"/>
    <n v="17714118"/>
    <x v="8"/>
    <s v="Décharge"/>
    <x v="2"/>
    <s v="RALFF"/>
    <s v="CONGO"/>
    <s v="RALFF-CO4599"/>
    <s v="2.2"/>
    <m/>
  </r>
  <r>
    <d v="2023-05-31T00:00:00"/>
    <s v="Recu caisse/Hurielle"/>
    <x v="2"/>
    <m/>
    <n v="10000"/>
    <m/>
    <n v="17724118"/>
    <x v="8"/>
    <m/>
    <x v="0"/>
    <m/>
    <m/>
    <m/>
    <m/>
    <m/>
  </r>
  <r>
    <d v="2023-05-31T00:00:00"/>
    <s v="HURIELLE - CONGO Frais d'hôtel du 27 au 31/05/2023 à Dolisie"/>
    <x v="8"/>
    <s v="Legal"/>
    <m/>
    <n v="60000"/>
    <n v="17664118"/>
    <x v="8"/>
    <s v="Oui"/>
    <x v="2"/>
    <s v="RALFF"/>
    <s v="CONGO"/>
    <s v="RALFF-CO4600"/>
    <s v="1.3.2"/>
    <m/>
  </r>
  <r>
    <d v="2023-05-31T00:00:00"/>
    <s v="Reçu de Roméo/Evariste"/>
    <x v="2"/>
    <m/>
    <n v="28000"/>
    <m/>
    <n v="17692118"/>
    <x v="13"/>
    <m/>
    <x v="0"/>
    <m/>
    <m/>
    <m/>
    <m/>
    <m/>
  </r>
  <r>
    <d v="2023-05-31T00:00:00"/>
    <s v="Achat Billet Dolisie-Brazzaville/Evariste"/>
    <x v="6"/>
    <s v="Media"/>
    <m/>
    <n v="10000"/>
    <n v="17682118"/>
    <x v="13"/>
    <s v="Oui"/>
    <x v="2"/>
    <s v="RALFF"/>
    <s v="CONGO"/>
    <s v="RALFF-CO4601"/>
    <s v="2.2"/>
    <m/>
  </r>
  <r>
    <d v="2023-05-31T00:00:00"/>
    <s v="EVARISTE - CONGO Frais d'hôtel du 27 au 31 mai 2023 (04 nuitées) à Dolisie"/>
    <x v="8"/>
    <s v="Media"/>
    <m/>
    <n v="60000"/>
    <n v="17622118"/>
    <x v="13"/>
    <s v="Oui"/>
    <x v="2"/>
    <s v="RALFF"/>
    <s v="CONGO"/>
    <s v="RALFF-CO4602"/>
    <s v="1.3.2"/>
    <m/>
  </r>
  <r>
    <d v="2023-05-31T00:00:00"/>
    <s v="Cumul frais de Transport local mois de Mai 2023/EVARISTE LELOUSSI"/>
    <x v="6"/>
    <s v="Media"/>
    <m/>
    <n v="32000"/>
    <n v="17590118"/>
    <x v="13"/>
    <s v="Décharge"/>
    <x v="2"/>
    <s v="RALFF"/>
    <s v="CONGO"/>
    <s v="RALFF-CO4603"/>
    <s v="2.2"/>
    <m/>
  </r>
  <r>
    <d v="2023-05-31T00:00:00"/>
    <s v="Remis à Evariste/Donald"/>
    <x v="2"/>
    <m/>
    <m/>
    <n v="28000"/>
    <n v="17562118"/>
    <x v="9"/>
    <m/>
    <x v="0"/>
    <m/>
    <m/>
    <m/>
    <m/>
    <m/>
  </r>
  <r>
    <d v="2023-05-31T00:00:00"/>
    <s v="Cumul Frais de Jail visit du mois Mai 2023/Donald"/>
    <x v="10"/>
    <s v="Legal"/>
    <m/>
    <n v="85950"/>
    <n v="17476168"/>
    <x v="9"/>
    <s v="Décharge"/>
    <x v="2"/>
    <s v="PALF"/>
    <s v="CONGO"/>
    <m/>
    <m/>
    <m/>
  </r>
  <r>
    <d v="2023-05-31T00:00:00"/>
    <s v="Cumul Frais de transport local du mois Mai 2023/Donald"/>
    <x v="6"/>
    <s v="Legal"/>
    <m/>
    <n v="45500"/>
    <n v="17430668"/>
    <x v="9"/>
    <s v="Décharge"/>
    <x v="2"/>
    <s v="RALFF"/>
    <s v="CONGO"/>
    <s v="RALFF-CO4604"/>
    <s v="2.2"/>
    <m/>
  </r>
  <r>
    <d v="2023-05-31T00:00:00"/>
    <s v="Frais d'Impression photos ( 28 photos *200fcfa)"/>
    <x v="8"/>
    <s v="Operation"/>
    <m/>
    <n v="4800"/>
    <n v="17425868"/>
    <x v="9"/>
    <s v="Oui"/>
    <x v="2"/>
    <s v="PALF"/>
    <s v="CONGO"/>
    <m/>
    <m/>
    <m/>
  </r>
  <r>
    <d v="2023-05-31T00:00:00"/>
    <s v="Cumul frais de transport local mois de Mai 2023/Crépin IBOUILI"/>
    <x v="6"/>
    <s v="Management"/>
    <m/>
    <n v="25900"/>
    <n v="17399968"/>
    <x v="6"/>
    <s v="Décharge"/>
    <x v="2"/>
    <s v="RALFF"/>
    <s v="CONGO"/>
    <s v="RALFF-CO4605"/>
    <s v="2.2"/>
    <m/>
  </r>
  <r>
    <d v="2023-05-31T00:00:00"/>
    <s v="Bonus pour 18 gendarmes ayant participé à l'opération du 27/05/2023 à Dolisie"/>
    <x v="4"/>
    <s v="Operation"/>
    <m/>
    <n v="180000"/>
    <n v="17219968"/>
    <x v="6"/>
    <s v="Oui"/>
    <x v="2"/>
    <s v="PALF"/>
    <s v="CONGO"/>
    <m/>
    <m/>
    <m/>
  </r>
  <r>
    <d v="2023-05-31T00:00:00"/>
    <s v="Bonus pour 04 EF ayant participé à l'opération du 27/05/2023 à Dolisie"/>
    <x v="4"/>
    <s v="Operation"/>
    <m/>
    <n v="40000"/>
    <n v="17179968"/>
    <x v="6"/>
    <s v="Oui"/>
    <x v="2"/>
    <s v="PALF"/>
    <s v="CONGO"/>
    <m/>
    <m/>
    <m/>
  </r>
  <r>
    <d v="2023-05-31T00:00:00"/>
    <s v="Cumul ris de ration journalière mois de Mai 2023/Oracle"/>
    <x v="8"/>
    <s v="Legal"/>
    <m/>
    <n v="6000"/>
    <n v="17173968"/>
    <x v="10"/>
    <s v="Décharge"/>
    <x v="2"/>
    <s v="PALF"/>
    <s v="CONGO"/>
    <m/>
    <m/>
    <m/>
  </r>
  <r>
    <d v="2023-05-31T00:00:00"/>
    <s v="Cumul frais de transport local mois de Mai 2023/Oracle"/>
    <x v="6"/>
    <s v="Legal"/>
    <m/>
    <n v="17000"/>
    <n v="17156968"/>
    <x v="10"/>
    <s v="Décharge"/>
    <x v="2"/>
    <s v="PALF"/>
    <s v="CONGO"/>
    <m/>
    <m/>
    <m/>
  </r>
  <r>
    <d v="2023-05-31T00:00:00"/>
    <s v="CREPIN - CONGO Frais d'hôtel du 27 au 31 mai 2023 (04 nuitées) à Dolisie"/>
    <x v="8"/>
    <s v="Legal"/>
    <m/>
    <n v="60000"/>
    <n v="17096968"/>
    <x v="6"/>
    <s v="Oui"/>
    <x v="2"/>
    <s v="RALFF"/>
    <s v="CONGO"/>
    <s v="RALFF-CO4606"/>
    <s v="1.3.2"/>
    <m/>
  </r>
  <r>
    <d v="2023-05-31T00:00:00"/>
    <s v="Donald-CONGO Frais d'hôtel (04 Nuitées) du 25 au 31/05/2023 à Dolisie"/>
    <x v="8"/>
    <s v="Legal"/>
    <m/>
    <n v="60000"/>
    <n v="17036968"/>
    <x v="9"/>
    <s v="Oui"/>
    <x v="2"/>
    <s v="RALFF"/>
    <s v="CONGO"/>
    <s v="RALFF-CO4607"/>
    <s v="1.3.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2" cacheId="76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6" firstHeaderRow="1" firstDataRow="1" firstDataCol="1"/>
  <pivotFields count="15">
    <pivotField showAll="0"/>
    <pivotField showAll="0"/>
    <pivotField showAll="0"/>
    <pivotField showAll="0"/>
    <pivotField showAll="0"/>
    <pivotField dataField="1" showAll="0"/>
    <pivotField numFmtId="166" showAll="0"/>
    <pivotField showAll="0"/>
    <pivotField showAll="0"/>
    <pivotField axis="axisRow" showAll="0">
      <items count="4">
        <item x="1"/>
        <item x="2"/>
        <item h="1" x="0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Items count="1">
    <i/>
  </colItems>
  <dataFields count="1">
    <dataField name="Somme de Spent" fld="5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3" cacheId="75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13:D17" firstHeaderRow="1" firstDataRow="2" firstDataCol="1"/>
  <pivotFields count="15">
    <pivotField numFmtId="172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Col" showAll="0">
      <items count="6">
        <item m="1" x="3"/>
        <item x="1"/>
        <item h="1" m="1" x="4"/>
        <item h="1" x="0"/>
        <item x="2"/>
        <item t="default"/>
      </items>
    </pivotField>
    <pivotField axis="axisRow" showAll="0">
      <items count="4">
        <item x="2"/>
        <item x="1"/>
        <item h="1" x="0"/>
        <item t="default"/>
      </items>
    </pivotField>
    <pivotField showAll="0"/>
    <pivotField showAll="0"/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Fields count="1">
    <field x="9"/>
  </colFields>
  <colItems count="3">
    <i>
      <x v="1"/>
    </i>
    <i>
      <x v="4"/>
    </i>
    <i t="grand">
      <x/>
    </i>
  </colItems>
  <dataFields count="1">
    <dataField name="Somme de Spent" fld="5" baseField="0" baseItem="0"/>
  </dataFields>
  <formats count="6">
    <format dxfId="5">
      <pivotArea dataOnly="0" outline="0" fieldPosition="0">
        <references count="1">
          <reference field="9" count="1">
            <x v="0"/>
          </reference>
        </references>
      </pivotArea>
    </format>
    <format dxfId="4">
      <pivotArea collapsedLevelsAreSubtotals="1" fieldPosition="0">
        <references count="1">
          <reference field="10" count="0"/>
        </references>
      </pivotArea>
    </format>
    <format dxfId="3">
      <pivotArea field="10" grandCol="1" collapsedLevelsAreSubtotals="1" axis="axisRow" fieldPosition="0">
        <references count="1">
          <reference field="10" count="0"/>
        </references>
      </pivotArea>
    </format>
    <format dxfId="2">
      <pivotArea collapsedLevelsAreSubtotals="1" fieldPosition="0">
        <references count="2">
          <reference field="9" count="1" selected="0">
            <x v="1"/>
          </reference>
          <reference field="10" count="1">
            <x v="1"/>
          </reference>
        </references>
      </pivotArea>
    </format>
    <format dxfId="1">
      <pivotArea collapsedLevelsAreSubtotals="1" fieldPosition="0">
        <references count="2">
          <reference field="9" count="1" selected="0">
            <x v="4"/>
          </reference>
          <reference field="10" count="1">
            <x v="0"/>
          </reference>
        </references>
      </pivotArea>
    </format>
    <format dxfId="0">
      <pivotArea collapsedLevelsAreSubtotals="1" fieldPosition="0">
        <references count="2">
          <reference field="9" count="1" selected="0">
            <x v="4"/>
          </reference>
          <reference field="10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eau croisé dynamique1" cacheId="76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AI20" firstHeaderRow="1" firstDataRow="3" firstDataCol="1"/>
  <pivotFields count="15">
    <pivotField showAll="0"/>
    <pivotField showAll="0"/>
    <pivotField axis="axisCol" showAll="0">
      <items count="18">
        <item x="5"/>
        <item x="4"/>
        <item x="16"/>
        <item x="10"/>
        <item x="14"/>
        <item x="1"/>
        <item x="9"/>
        <item x="11"/>
        <item x="15"/>
        <item x="3"/>
        <item x="7"/>
        <item x="6"/>
        <item x="12"/>
        <item x="8"/>
        <item x="13"/>
        <item x="2"/>
        <item x="0"/>
        <item t="default"/>
      </items>
    </pivotField>
    <pivotField showAll="0"/>
    <pivotField dataField="1" showAll="0"/>
    <pivotField dataField="1" showAll="0"/>
    <pivotField numFmtId="166" showAll="0"/>
    <pivotField axis="axisRow" showAll="0">
      <items count="16">
        <item x="2"/>
        <item x="3"/>
        <item x="1"/>
        <item x="6"/>
        <item x="4"/>
        <item x="9"/>
        <item x="13"/>
        <item x="11"/>
        <item x="8"/>
        <item x="12"/>
        <item x="10"/>
        <item x="7"/>
        <item x="5"/>
        <item x="14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2">
    <field x="2"/>
    <field x="-2"/>
  </colFields>
  <colItems count="3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 t="grand">
      <x/>
    </i>
    <i t="grand" i="1">
      <x/>
    </i>
  </colItems>
  <dataFields count="2">
    <dataField name="Somme de Received" fld="4" baseField="0" baseItem="0"/>
    <dataField name="Somme de Spent" fld="5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U1309"/>
  <sheetViews>
    <sheetView zoomScale="73" zoomScaleNormal="73" workbookViewId="0">
      <pane xSplit="1" topLeftCell="B1" activePane="topRight" state="frozen"/>
      <selection pane="topRight" activeCell="A13" sqref="A13:XFD13"/>
    </sheetView>
  </sheetViews>
  <sheetFormatPr defaultColWidth="11.44140625" defaultRowHeight="14.4" x14ac:dyDescent="0.3"/>
  <cols>
    <col min="1" max="1" width="46.109375" style="5" customWidth="1"/>
    <col min="2" max="2" width="25.6640625" style="5" customWidth="1"/>
    <col min="3" max="3" width="28.33203125" style="5" customWidth="1"/>
    <col min="4" max="4" width="29.44140625" style="5" customWidth="1"/>
    <col min="5" max="5" width="19.5546875" style="5" customWidth="1"/>
    <col min="6" max="6" width="21" style="5" customWidth="1"/>
    <col min="7" max="7" width="36.33203125" style="5" customWidth="1"/>
    <col min="8" max="8" width="20.5546875" style="5" customWidth="1"/>
    <col min="9" max="9" width="19.6640625" style="5" customWidth="1"/>
    <col min="10" max="10" width="22" style="5" customWidth="1"/>
    <col min="11" max="11" width="18.6640625" style="5" customWidth="1"/>
    <col min="12" max="12" width="16" style="46" customWidth="1"/>
    <col min="13" max="13" width="18.6640625" style="46" customWidth="1"/>
    <col min="14" max="14" width="14.109375" style="46" customWidth="1"/>
    <col min="15" max="15" width="14.88671875" style="46" customWidth="1"/>
    <col min="16" max="16" width="11.44140625" style="5"/>
    <col min="17" max="17" width="2.88671875" style="5" customWidth="1"/>
    <col min="18" max="16384" width="11.44140625" style="5"/>
  </cols>
  <sheetData>
    <row r="3" spans="1:21" ht="15.6" x14ac:dyDescent="0.3">
      <c r="A3" s="6" t="s">
        <v>36</v>
      </c>
      <c r="B3" s="6" t="s">
        <v>1</v>
      </c>
      <c r="C3" s="6">
        <v>45047</v>
      </c>
      <c r="D3" s="7" t="s">
        <v>37</v>
      </c>
      <c r="E3" s="7" t="s">
        <v>38</v>
      </c>
      <c r="F3" s="7" t="s">
        <v>39</v>
      </c>
      <c r="G3" s="7" t="s">
        <v>40</v>
      </c>
      <c r="H3" s="6">
        <v>45076</v>
      </c>
      <c r="I3" s="7" t="s">
        <v>41</v>
      </c>
      <c r="K3" s="45"/>
      <c r="L3" s="45" t="s">
        <v>42</v>
      </c>
      <c r="M3" s="45" t="s">
        <v>43</v>
      </c>
      <c r="N3" s="45" t="s">
        <v>44</v>
      </c>
      <c r="O3" s="45" t="s">
        <v>45</v>
      </c>
    </row>
    <row r="4" spans="1:21" x14ac:dyDescent="0.3">
      <c r="A4" s="58" t="str">
        <f>K4</f>
        <v>BCI</v>
      </c>
      <c r="B4" s="59" t="s">
        <v>46</v>
      </c>
      <c r="C4" s="61">
        <v>17286490</v>
      </c>
      <c r="D4" s="61">
        <f>+L4</f>
        <v>0</v>
      </c>
      <c r="E4" s="61">
        <f>+N4</f>
        <v>583345</v>
      </c>
      <c r="F4" s="61">
        <f>+M4</f>
        <v>2000000</v>
      </c>
      <c r="G4" s="61">
        <f t="shared" ref="G4:G19" si="0">+O4</f>
        <v>0</v>
      </c>
      <c r="H4" s="61">
        <v>14703145</v>
      </c>
      <c r="I4" s="61">
        <f>+C4+D4-E4-F4+G4</f>
        <v>14703145</v>
      </c>
      <c r="J4" s="9">
        <f>I4-H4</f>
        <v>0</v>
      </c>
      <c r="K4" s="45" t="s">
        <v>24</v>
      </c>
      <c r="L4" s="182">
        <v>0</v>
      </c>
      <c r="M4" s="182">
        <v>2000000</v>
      </c>
      <c r="N4" s="182">
        <v>583345</v>
      </c>
      <c r="O4" s="182">
        <v>0</v>
      </c>
      <c r="R4"/>
      <c r="S4"/>
      <c r="T4"/>
      <c r="U4"/>
    </row>
    <row r="5" spans="1:21" x14ac:dyDescent="0.3">
      <c r="A5" s="58" t="str">
        <f t="shared" ref="A5:A19" si="1">K5</f>
        <v>BCI-Sous Compte</v>
      </c>
      <c r="B5" s="59" t="s">
        <v>46</v>
      </c>
      <c r="C5" s="61">
        <v>5202151</v>
      </c>
      <c r="D5" s="61">
        <f t="shared" ref="D5:D19" si="2">+L5</f>
        <v>0</v>
      </c>
      <c r="E5" s="61">
        <f t="shared" ref="E5:E10" si="3">+N5</f>
        <v>4702850</v>
      </c>
      <c r="F5" s="61">
        <f t="shared" ref="F5:F19" si="4">+M5</f>
        <v>0</v>
      </c>
      <c r="G5" s="61">
        <f t="shared" si="0"/>
        <v>0</v>
      </c>
      <c r="H5" s="61">
        <v>499301</v>
      </c>
      <c r="I5" s="61">
        <f>+C5+D5-E5-F5+G5</f>
        <v>499301</v>
      </c>
      <c r="J5" s="9">
        <f t="shared" ref="J5:J12" si="5">I5-H5</f>
        <v>0</v>
      </c>
      <c r="K5" s="45" t="s">
        <v>155</v>
      </c>
      <c r="L5" s="182">
        <v>0</v>
      </c>
      <c r="M5" s="182">
        <v>0</v>
      </c>
      <c r="N5" s="182">
        <v>4702850</v>
      </c>
      <c r="O5" s="182">
        <v>0</v>
      </c>
      <c r="R5"/>
      <c r="S5"/>
      <c r="T5"/>
      <c r="U5"/>
    </row>
    <row r="6" spans="1:21" x14ac:dyDescent="0.3">
      <c r="A6" s="58" t="str">
        <f t="shared" si="1"/>
        <v>Caisse</v>
      </c>
      <c r="B6" s="59" t="s">
        <v>25</v>
      </c>
      <c r="C6" s="61">
        <v>3813317</v>
      </c>
      <c r="D6" s="61">
        <f t="shared" si="2"/>
        <v>2180000</v>
      </c>
      <c r="E6" s="61">
        <f t="shared" si="3"/>
        <v>1411594</v>
      </c>
      <c r="F6" s="61">
        <f t="shared" si="4"/>
        <v>4306000</v>
      </c>
      <c r="G6" s="61">
        <f t="shared" si="0"/>
        <v>0</v>
      </c>
      <c r="H6" s="61">
        <v>275723</v>
      </c>
      <c r="I6" s="61">
        <f>+C6+D6-E6-F6+G6</f>
        <v>275723</v>
      </c>
      <c r="J6" s="102">
        <f t="shared" si="5"/>
        <v>0</v>
      </c>
      <c r="K6" s="45" t="s">
        <v>25</v>
      </c>
      <c r="L6" s="182">
        <v>2180000</v>
      </c>
      <c r="M6" s="182">
        <v>4306000</v>
      </c>
      <c r="N6" s="182">
        <v>1411594</v>
      </c>
      <c r="O6" s="182">
        <v>0</v>
      </c>
      <c r="R6"/>
      <c r="S6"/>
      <c r="T6"/>
      <c r="U6"/>
    </row>
    <row r="7" spans="1:21" x14ac:dyDescent="0.3">
      <c r="A7" s="58" t="str">
        <f t="shared" si="1"/>
        <v>Crépin</v>
      </c>
      <c r="B7" s="59" t="s">
        <v>161</v>
      </c>
      <c r="C7" s="61">
        <v>74020</v>
      </c>
      <c r="D7" s="61">
        <f t="shared" si="2"/>
        <v>905000</v>
      </c>
      <c r="E7" s="61">
        <f t="shared" si="3"/>
        <v>665400</v>
      </c>
      <c r="F7" s="61">
        <f t="shared" si="4"/>
        <v>73000</v>
      </c>
      <c r="G7" s="61">
        <f t="shared" si="0"/>
        <v>0</v>
      </c>
      <c r="H7" s="61">
        <v>240620</v>
      </c>
      <c r="I7" s="61">
        <f>+C7+D7-E7-F7+G7</f>
        <v>240620</v>
      </c>
      <c r="J7" s="9">
        <f t="shared" si="5"/>
        <v>0</v>
      </c>
      <c r="K7" s="45" t="s">
        <v>47</v>
      </c>
      <c r="L7" s="182">
        <v>905000</v>
      </c>
      <c r="M7" s="182">
        <v>73000</v>
      </c>
      <c r="N7" s="182">
        <v>665400</v>
      </c>
      <c r="O7" s="182">
        <v>0</v>
      </c>
      <c r="R7"/>
      <c r="S7"/>
      <c r="T7"/>
      <c r="U7"/>
    </row>
    <row r="8" spans="1:21" x14ac:dyDescent="0.3">
      <c r="A8" s="58" t="str">
        <f t="shared" si="1"/>
        <v>D58</v>
      </c>
      <c r="B8" s="59" t="s">
        <v>4</v>
      </c>
      <c r="C8" s="61">
        <v>0</v>
      </c>
      <c r="D8" s="61">
        <f t="shared" si="2"/>
        <v>384500</v>
      </c>
      <c r="E8" s="61">
        <f t="shared" si="3"/>
        <v>369800</v>
      </c>
      <c r="F8" s="61">
        <f t="shared" si="4"/>
        <v>0</v>
      </c>
      <c r="G8" s="61">
        <f t="shared" si="0"/>
        <v>0</v>
      </c>
      <c r="H8" s="61">
        <v>14700</v>
      </c>
      <c r="I8" s="61">
        <f>+C8+D8-E8-F8+G8</f>
        <v>14700</v>
      </c>
      <c r="J8" s="9">
        <f t="shared" si="5"/>
        <v>0</v>
      </c>
      <c r="K8" s="45" t="s">
        <v>277</v>
      </c>
      <c r="L8" s="182">
        <v>384500</v>
      </c>
      <c r="M8" s="182">
        <v>0</v>
      </c>
      <c r="N8" s="182">
        <v>369800</v>
      </c>
      <c r="O8" s="182">
        <v>0</v>
      </c>
      <c r="R8"/>
      <c r="S8"/>
      <c r="T8"/>
      <c r="U8"/>
    </row>
    <row r="9" spans="1:21" x14ac:dyDescent="0.3">
      <c r="A9" s="58" t="str">
        <f t="shared" si="1"/>
        <v>Donald</v>
      </c>
      <c r="B9" s="59" t="s">
        <v>161</v>
      </c>
      <c r="C9" s="61">
        <v>28350</v>
      </c>
      <c r="D9" s="61">
        <f t="shared" si="2"/>
        <v>722000</v>
      </c>
      <c r="E9" s="61">
        <f t="shared" si="3"/>
        <v>540360</v>
      </c>
      <c r="F9" s="61">
        <f t="shared" si="4"/>
        <v>98000</v>
      </c>
      <c r="G9" s="61">
        <f t="shared" si="0"/>
        <v>0</v>
      </c>
      <c r="H9" s="61">
        <v>111990</v>
      </c>
      <c r="I9" s="61">
        <f t="shared" ref="I9:I10" si="6">+C9+D9-E9-F9+G9</f>
        <v>111990</v>
      </c>
      <c r="J9" s="9">
        <f t="shared" si="5"/>
        <v>0</v>
      </c>
      <c r="K9" s="45" t="s">
        <v>263</v>
      </c>
      <c r="L9" s="182">
        <v>722000</v>
      </c>
      <c r="M9" s="182">
        <v>98000</v>
      </c>
      <c r="N9" s="182">
        <v>540360</v>
      </c>
      <c r="O9" s="182">
        <v>0</v>
      </c>
      <c r="R9"/>
      <c r="S9"/>
      <c r="T9"/>
      <c r="U9"/>
    </row>
    <row r="10" spans="1:21" x14ac:dyDescent="0.3">
      <c r="A10" s="58" t="str">
        <f t="shared" si="1"/>
        <v>Evariste</v>
      </c>
      <c r="B10" s="59" t="s">
        <v>162</v>
      </c>
      <c r="C10" s="61">
        <v>39425</v>
      </c>
      <c r="D10" s="61">
        <f t="shared" si="2"/>
        <v>211000</v>
      </c>
      <c r="E10" s="61">
        <f t="shared" si="3"/>
        <v>222050</v>
      </c>
      <c r="F10" s="61">
        <f t="shared" si="4"/>
        <v>0</v>
      </c>
      <c r="G10" s="61">
        <f t="shared" si="0"/>
        <v>0</v>
      </c>
      <c r="H10" s="61">
        <v>28375</v>
      </c>
      <c r="I10" s="61">
        <f t="shared" si="6"/>
        <v>28375</v>
      </c>
      <c r="J10" s="9">
        <f t="shared" si="5"/>
        <v>0</v>
      </c>
      <c r="K10" s="45" t="s">
        <v>31</v>
      </c>
      <c r="L10" s="182">
        <v>211000</v>
      </c>
      <c r="M10" s="182">
        <v>0</v>
      </c>
      <c r="N10" s="182">
        <v>222050</v>
      </c>
      <c r="O10" s="182">
        <v>0</v>
      </c>
      <c r="R10"/>
      <c r="S10"/>
      <c r="T10"/>
      <c r="U10"/>
    </row>
    <row r="11" spans="1:21" x14ac:dyDescent="0.3">
      <c r="A11" s="58" t="str">
        <f t="shared" si="1"/>
        <v>I55S</v>
      </c>
      <c r="B11" s="116" t="s">
        <v>4</v>
      </c>
      <c r="C11" s="118">
        <v>233614</v>
      </c>
      <c r="D11" s="118">
        <f t="shared" si="2"/>
        <v>0</v>
      </c>
      <c r="E11" s="118">
        <f>+N11</f>
        <v>0</v>
      </c>
      <c r="F11" s="118">
        <f t="shared" si="4"/>
        <v>0</v>
      </c>
      <c r="G11" s="118">
        <f t="shared" si="0"/>
        <v>0</v>
      </c>
      <c r="H11" s="118">
        <v>233614</v>
      </c>
      <c r="I11" s="118">
        <f>+C11+D11-E11-F11+G11</f>
        <v>233614</v>
      </c>
      <c r="J11" s="9">
        <f t="shared" si="5"/>
        <v>0</v>
      </c>
      <c r="K11" s="45" t="s">
        <v>84</v>
      </c>
      <c r="L11" s="182">
        <v>0</v>
      </c>
      <c r="M11" s="182">
        <v>0</v>
      </c>
      <c r="N11" s="182">
        <v>0</v>
      </c>
      <c r="O11" s="182">
        <v>0</v>
      </c>
      <c r="R11"/>
      <c r="S11"/>
      <c r="T11"/>
      <c r="U11"/>
    </row>
    <row r="12" spans="1:21" x14ac:dyDescent="0.3">
      <c r="A12" s="58" t="str">
        <f t="shared" si="1"/>
        <v>I73X</v>
      </c>
      <c r="B12" s="116" t="s">
        <v>4</v>
      </c>
      <c r="C12" s="118">
        <v>249769</v>
      </c>
      <c r="D12" s="118">
        <f t="shared" si="2"/>
        <v>0</v>
      </c>
      <c r="E12" s="118">
        <f>+N12</f>
        <v>0</v>
      </c>
      <c r="F12" s="118">
        <f t="shared" si="4"/>
        <v>0</v>
      </c>
      <c r="G12" s="118">
        <f t="shared" si="0"/>
        <v>0</v>
      </c>
      <c r="H12" s="118">
        <v>249769</v>
      </c>
      <c r="I12" s="118">
        <f t="shared" ref="I12:I17" si="7">+C12+D12-E12-F12+G12</f>
        <v>249769</v>
      </c>
      <c r="J12" s="9">
        <f t="shared" si="5"/>
        <v>0</v>
      </c>
      <c r="K12" s="45" t="s">
        <v>83</v>
      </c>
      <c r="L12" s="182">
        <v>0</v>
      </c>
      <c r="M12" s="182">
        <v>0</v>
      </c>
      <c r="N12" s="182">
        <v>0</v>
      </c>
      <c r="O12" s="182">
        <v>0</v>
      </c>
      <c r="R12"/>
      <c r="S12"/>
      <c r="T12"/>
      <c r="U12"/>
    </row>
    <row r="13" spans="1:21" s="189" customFormat="1" ht="15.6" x14ac:dyDescent="0.3">
      <c r="A13" s="58" t="str">
        <f t="shared" si="1"/>
        <v>Grace</v>
      </c>
      <c r="B13" s="59" t="s">
        <v>2</v>
      </c>
      <c r="C13" s="185">
        <v>55550</v>
      </c>
      <c r="D13" s="61">
        <f t="shared" si="2"/>
        <v>382000</v>
      </c>
      <c r="E13" s="61">
        <f t="shared" ref="E13:E19" si="8">+N13</f>
        <v>91000</v>
      </c>
      <c r="F13" s="61">
        <f t="shared" si="4"/>
        <v>300000</v>
      </c>
      <c r="G13" s="61">
        <f t="shared" si="0"/>
        <v>0</v>
      </c>
      <c r="H13" s="185">
        <v>46550</v>
      </c>
      <c r="I13" s="185">
        <f t="shared" si="7"/>
        <v>46550</v>
      </c>
      <c r="J13" s="186">
        <f>I13-H13</f>
        <v>0</v>
      </c>
      <c r="K13" s="187" t="s">
        <v>150</v>
      </c>
      <c r="L13" s="182">
        <v>382000</v>
      </c>
      <c r="M13" s="182">
        <v>300000</v>
      </c>
      <c r="N13" s="182">
        <v>91000</v>
      </c>
      <c r="O13" s="182">
        <v>0</v>
      </c>
      <c r="R13"/>
      <c r="S13"/>
      <c r="T13"/>
      <c r="U13"/>
    </row>
    <row r="14" spans="1:21" x14ac:dyDescent="0.3">
      <c r="A14" s="58" t="str">
        <f t="shared" si="1"/>
        <v>Hurielle</v>
      </c>
      <c r="B14" s="98" t="s">
        <v>161</v>
      </c>
      <c r="C14" s="61">
        <v>30005</v>
      </c>
      <c r="D14" s="61">
        <f t="shared" si="2"/>
        <v>335000</v>
      </c>
      <c r="E14" s="61">
        <f t="shared" si="8"/>
        <v>280400</v>
      </c>
      <c r="F14" s="61">
        <f t="shared" si="4"/>
        <v>0</v>
      </c>
      <c r="G14" s="61">
        <f t="shared" si="0"/>
        <v>0</v>
      </c>
      <c r="H14" s="61">
        <v>84605</v>
      </c>
      <c r="I14" s="61">
        <f t="shared" si="7"/>
        <v>84605</v>
      </c>
      <c r="J14" s="9">
        <f t="shared" ref="J14" si="9">I14-H14</f>
        <v>0</v>
      </c>
      <c r="K14" s="45" t="s">
        <v>204</v>
      </c>
      <c r="L14" s="182">
        <v>335000</v>
      </c>
      <c r="M14" s="182">
        <v>0</v>
      </c>
      <c r="N14" s="182">
        <v>280400</v>
      </c>
      <c r="O14" s="182">
        <v>0</v>
      </c>
      <c r="R14"/>
      <c r="S14"/>
      <c r="T14"/>
      <c r="U14"/>
    </row>
    <row r="15" spans="1:21" s="189" customFormat="1" ht="15.6" x14ac:dyDescent="0.3">
      <c r="A15" s="58" t="str">
        <f t="shared" si="1"/>
        <v>Merveille</v>
      </c>
      <c r="B15" s="59" t="s">
        <v>2</v>
      </c>
      <c r="C15" s="185">
        <v>20800</v>
      </c>
      <c r="D15" s="61">
        <f t="shared" si="2"/>
        <v>132000</v>
      </c>
      <c r="E15" s="61">
        <f t="shared" si="8"/>
        <v>160400</v>
      </c>
      <c r="F15" s="61">
        <f t="shared" si="4"/>
        <v>0</v>
      </c>
      <c r="G15" s="61">
        <f t="shared" si="0"/>
        <v>0</v>
      </c>
      <c r="H15" s="185">
        <v>-7600</v>
      </c>
      <c r="I15" s="185">
        <f t="shared" si="7"/>
        <v>-7600</v>
      </c>
      <c r="J15" s="186">
        <f>I15-H15</f>
        <v>0</v>
      </c>
      <c r="K15" s="187" t="s">
        <v>93</v>
      </c>
      <c r="L15" s="182">
        <v>132000</v>
      </c>
      <c r="M15" s="182">
        <v>0</v>
      </c>
      <c r="N15" s="182">
        <v>160400</v>
      </c>
      <c r="O15" s="182">
        <v>0</v>
      </c>
      <c r="R15"/>
      <c r="S15"/>
      <c r="T15"/>
      <c r="U15"/>
    </row>
    <row r="16" spans="1:21" x14ac:dyDescent="0.3">
      <c r="A16" s="58" t="s">
        <v>346</v>
      </c>
      <c r="B16" s="98" t="s">
        <v>161</v>
      </c>
      <c r="C16" s="61">
        <v>0</v>
      </c>
      <c r="D16" s="61">
        <f t="shared" si="2"/>
        <v>35000</v>
      </c>
      <c r="E16" s="61">
        <f t="shared" si="8"/>
        <v>23000</v>
      </c>
      <c r="F16" s="61">
        <f t="shared" si="4"/>
        <v>0</v>
      </c>
      <c r="G16" s="61">
        <f t="shared" si="0"/>
        <v>0</v>
      </c>
      <c r="H16" s="61">
        <v>12000</v>
      </c>
      <c r="I16" s="61">
        <f t="shared" ref="I16" si="10">+C16+D16-E16-F16+G16</f>
        <v>12000</v>
      </c>
      <c r="J16" s="9">
        <f t="shared" ref="J16" si="11">I16-H16</f>
        <v>0</v>
      </c>
      <c r="K16" s="45" t="s">
        <v>346</v>
      </c>
      <c r="L16" s="182">
        <v>35000</v>
      </c>
      <c r="M16" s="182">
        <v>0</v>
      </c>
      <c r="N16" s="182">
        <v>23000</v>
      </c>
      <c r="O16" s="182">
        <v>0</v>
      </c>
      <c r="R16"/>
      <c r="S16"/>
      <c r="T16"/>
      <c r="U16"/>
    </row>
    <row r="17" spans="1:21" x14ac:dyDescent="0.3">
      <c r="A17" s="58" t="str">
        <f t="shared" si="1"/>
        <v>P29</v>
      </c>
      <c r="B17" s="98" t="s">
        <v>4</v>
      </c>
      <c r="C17" s="61">
        <v>11000</v>
      </c>
      <c r="D17" s="61">
        <f t="shared" si="2"/>
        <v>653000</v>
      </c>
      <c r="E17" s="61">
        <f t="shared" si="8"/>
        <v>514200</v>
      </c>
      <c r="F17" s="61">
        <f t="shared" si="4"/>
        <v>0</v>
      </c>
      <c r="G17" s="61">
        <f t="shared" si="0"/>
        <v>0</v>
      </c>
      <c r="H17" s="61">
        <v>149800</v>
      </c>
      <c r="I17" s="61">
        <f t="shared" si="7"/>
        <v>149800</v>
      </c>
      <c r="J17" s="9">
        <f t="shared" ref="J17:J18" si="12">I17-H17</f>
        <v>0</v>
      </c>
      <c r="K17" s="45" t="s">
        <v>29</v>
      </c>
      <c r="L17" s="182">
        <v>653000</v>
      </c>
      <c r="M17" s="182">
        <v>0</v>
      </c>
      <c r="N17" s="182">
        <v>514200</v>
      </c>
      <c r="O17" s="182">
        <v>0</v>
      </c>
      <c r="R17"/>
      <c r="S17"/>
      <c r="T17"/>
      <c r="U17"/>
    </row>
    <row r="18" spans="1:21" x14ac:dyDescent="0.3">
      <c r="A18" s="58" t="str">
        <f t="shared" si="1"/>
        <v>T73</v>
      </c>
      <c r="B18" s="59" t="s">
        <v>4</v>
      </c>
      <c r="C18" s="61">
        <v>173700</v>
      </c>
      <c r="D18" s="61">
        <f t="shared" si="2"/>
        <v>837500</v>
      </c>
      <c r="E18" s="61">
        <f t="shared" si="8"/>
        <v>656900</v>
      </c>
      <c r="F18" s="61">
        <f t="shared" si="4"/>
        <v>0</v>
      </c>
      <c r="G18" s="61">
        <f t="shared" si="0"/>
        <v>0</v>
      </c>
      <c r="H18" s="61">
        <v>354300</v>
      </c>
      <c r="I18" s="61">
        <f>+C18+D18-E18-F18+G18</f>
        <v>354300</v>
      </c>
      <c r="J18" s="9">
        <f t="shared" si="12"/>
        <v>0</v>
      </c>
      <c r="K18" s="45" t="s">
        <v>276</v>
      </c>
      <c r="L18" s="182">
        <v>837500</v>
      </c>
      <c r="M18" s="182">
        <v>0</v>
      </c>
      <c r="N18" s="182">
        <v>656900</v>
      </c>
      <c r="O18" s="182">
        <v>0</v>
      </c>
    </row>
    <row r="19" spans="1:21" x14ac:dyDescent="0.3">
      <c r="A19" s="58" t="str">
        <f t="shared" si="1"/>
        <v>Tiffany</v>
      </c>
      <c r="B19" s="59" t="s">
        <v>2</v>
      </c>
      <c r="C19" s="61">
        <v>24676</v>
      </c>
      <c r="D19" s="61">
        <f t="shared" si="2"/>
        <v>0</v>
      </c>
      <c r="E19" s="61">
        <f t="shared" si="8"/>
        <v>10000</v>
      </c>
      <c r="F19" s="61">
        <f t="shared" si="4"/>
        <v>0</v>
      </c>
      <c r="G19" s="61">
        <f t="shared" si="0"/>
        <v>0</v>
      </c>
      <c r="H19" s="61">
        <v>14676</v>
      </c>
      <c r="I19" s="61">
        <f>+C19+D19-E19-F19+G19</f>
        <v>14676</v>
      </c>
      <c r="J19" s="9">
        <f>I19-H19</f>
        <v>0</v>
      </c>
      <c r="K19" s="45" t="s">
        <v>113</v>
      </c>
      <c r="L19" s="182">
        <v>0</v>
      </c>
      <c r="M19" s="182">
        <v>0</v>
      </c>
      <c r="N19" s="182">
        <v>10000</v>
      </c>
      <c r="O19" s="182">
        <v>0</v>
      </c>
    </row>
    <row r="20" spans="1:21" x14ac:dyDescent="0.3">
      <c r="A20" s="10" t="s">
        <v>50</v>
      </c>
      <c r="B20" s="11"/>
      <c r="C20" s="12">
        <f t="shared" ref="C20:I20" si="13">SUM(C4:C19)</f>
        <v>27242867</v>
      </c>
      <c r="D20" s="57">
        <f t="shared" si="13"/>
        <v>6777000</v>
      </c>
      <c r="E20" s="57">
        <f t="shared" si="13"/>
        <v>10231299</v>
      </c>
      <c r="F20" s="57">
        <f t="shared" si="13"/>
        <v>6777000</v>
      </c>
      <c r="G20" s="57">
        <f t="shared" si="13"/>
        <v>0</v>
      </c>
      <c r="H20" s="57">
        <f t="shared" si="13"/>
        <v>17011568</v>
      </c>
      <c r="I20" s="57">
        <f t="shared" si="13"/>
        <v>17011568</v>
      </c>
      <c r="J20" s="9">
        <f>I20-H20</f>
        <v>0</v>
      </c>
      <c r="K20" s="3"/>
      <c r="L20" s="47">
        <f>+SUM(L4:L19)</f>
        <v>6777000</v>
      </c>
      <c r="M20" s="47">
        <f>+SUM(M4:M19)</f>
        <v>6777000</v>
      </c>
      <c r="N20" s="47">
        <f>+SUM(N4:N19)</f>
        <v>10231299</v>
      </c>
      <c r="O20" s="47">
        <f>+SUM(O4:O19)</f>
        <v>0</v>
      </c>
    </row>
    <row r="21" spans="1:21" x14ac:dyDescent="0.3">
      <c r="A21" s="10"/>
      <c r="B21" s="11"/>
      <c r="C21" s="12"/>
      <c r="D21" s="13"/>
      <c r="E21" s="12"/>
      <c r="F21" s="13"/>
      <c r="G21" s="12"/>
      <c r="H21" s="12"/>
      <c r="I21" s="134" t="b">
        <f>I20=D23</f>
        <v>1</v>
      </c>
      <c r="J21" s="9">
        <f>H20-I20</f>
        <v>0</v>
      </c>
      <c r="L21" s="5"/>
      <c r="M21" s="5"/>
      <c r="N21" s="5"/>
      <c r="O21" s="5"/>
    </row>
    <row r="22" spans="1:21" ht="15.6" x14ac:dyDescent="0.3">
      <c r="A22" s="10" t="s">
        <v>306</v>
      </c>
      <c r="B22" s="11" t="s">
        <v>216</v>
      </c>
      <c r="C22" s="12" t="s">
        <v>215</v>
      </c>
      <c r="D22" s="12" t="s">
        <v>307</v>
      </c>
      <c r="E22" s="12" t="s">
        <v>51</v>
      </c>
      <c r="F22" s="12"/>
      <c r="G22" s="12">
        <f>+D20-F20</f>
        <v>0</v>
      </c>
      <c r="H22" s="12"/>
      <c r="I22" s="218"/>
    </row>
    <row r="23" spans="1:21" x14ac:dyDescent="0.3">
      <c r="A23" s="14">
        <f>C20</f>
        <v>27242867</v>
      </c>
      <c r="B23" s="15">
        <f>G20</f>
        <v>0</v>
      </c>
      <c r="C23" s="12">
        <f>E20</f>
        <v>10231299</v>
      </c>
      <c r="D23" s="12">
        <f>A23+B23-C23</f>
        <v>17011568</v>
      </c>
      <c r="E23" s="13">
        <f>I20-D23</f>
        <v>0</v>
      </c>
      <c r="F23" s="12"/>
      <c r="G23" s="12"/>
      <c r="H23" s="12"/>
      <c r="I23" s="12"/>
    </row>
    <row r="24" spans="1:21" x14ac:dyDescent="0.3">
      <c r="A24" s="14"/>
      <c r="B24" s="15"/>
      <c r="C24" s="12"/>
      <c r="D24" s="12"/>
      <c r="E24" s="13"/>
      <c r="F24" s="12"/>
      <c r="G24" s="12"/>
      <c r="H24" s="12"/>
      <c r="I24" s="12"/>
    </row>
    <row r="25" spans="1:21" x14ac:dyDescent="0.3">
      <c r="A25" s="16" t="s">
        <v>52</v>
      </c>
      <c r="B25" s="16"/>
      <c r="C25" s="16"/>
      <c r="D25" s="17"/>
      <c r="E25" s="17"/>
      <c r="F25" s="17"/>
      <c r="G25" s="17"/>
      <c r="H25" s="17"/>
      <c r="I25" s="17"/>
    </row>
    <row r="26" spans="1:21" x14ac:dyDescent="0.3">
      <c r="A26" s="18" t="s">
        <v>308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21" x14ac:dyDescent="0.3">
      <c r="A27" s="19"/>
      <c r="B27" s="17"/>
      <c r="C27" s="20"/>
      <c r="D27" s="20"/>
      <c r="E27" s="20"/>
      <c r="F27" s="20"/>
      <c r="G27" s="20"/>
      <c r="H27" s="17"/>
      <c r="I27" s="17"/>
    </row>
    <row r="28" spans="1:21" ht="45" customHeight="1" x14ac:dyDescent="0.3">
      <c r="A28" s="276" t="s">
        <v>53</v>
      </c>
      <c r="B28" s="278" t="s">
        <v>54</v>
      </c>
      <c r="C28" s="280" t="s">
        <v>309</v>
      </c>
      <c r="D28" s="282" t="s">
        <v>55</v>
      </c>
      <c r="E28" s="283"/>
      <c r="F28" s="283"/>
      <c r="G28" s="284"/>
      <c r="H28" s="285" t="s">
        <v>56</v>
      </c>
      <c r="I28" s="287" t="s">
        <v>57</v>
      </c>
      <c r="J28" s="213"/>
    </row>
    <row r="29" spans="1:21" ht="28.5" customHeight="1" x14ac:dyDescent="0.3">
      <c r="A29" s="277"/>
      <c r="B29" s="279"/>
      <c r="C29" s="281"/>
      <c r="D29" s="21" t="s">
        <v>24</v>
      </c>
      <c r="E29" s="21" t="s">
        <v>25</v>
      </c>
      <c r="F29" s="281" t="s">
        <v>123</v>
      </c>
      <c r="G29" s="21" t="s">
        <v>58</v>
      </c>
      <c r="H29" s="286"/>
      <c r="I29" s="288"/>
      <c r="J29" s="289" t="s">
        <v>310</v>
      </c>
      <c r="K29" s="143"/>
    </row>
    <row r="30" spans="1:21" x14ac:dyDescent="0.3">
      <c r="A30" s="23"/>
      <c r="B30" s="24" t="s">
        <v>59</v>
      </c>
      <c r="C30" s="25"/>
      <c r="D30" s="25"/>
      <c r="E30" s="25"/>
      <c r="F30" s="25"/>
      <c r="G30" s="25"/>
      <c r="H30" s="25"/>
      <c r="I30" s="26"/>
      <c r="J30" s="289"/>
      <c r="K30" s="143"/>
    </row>
    <row r="31" spans="1:21" x14ac:dyDescent="0.3">
      <c r="A31" s="122" t="s">
        <v>134</v>
      </c>
      <c r="B31" s="127" t="s">
        <v>47</v>
      </c>
      <c r="C31" s="32">
        <f>+C7</f>
        <v>74020</v>
      </c>
      <c r="D31" s="31"/>
      <c r="E31" s="32">
        <f>+D7</f>
        <v>905000</v>
      </c>
      <c r="F31" s="32"/>
      <c r="G31" s="32"/>
      <c r="H31" s="55">
        <f>+F7</f>
        <v>73000</v>
      </c>
      <c r="I31" s="32">
        <f>+E7</f>
        <v>665400</v>
      </c>
      <c r="J31" s="30">
        <f t="shared" ref="J31:J34" si="14">+SUM(C31:G31)-(H31+I31)</f>
        <v>240620</v>
      </c>
      <c r="K31" s="144" t="b">
        <f t="shared" ref="K31:K43" si="15">J31=I7</f>
        <v>1</v>
      </c>
    </row>
    <row r="32" spans="1:21" x14ac:dyDescent="0.3">
      <c r="A32" s="122" t="str">
        <f>+A31</f>
        <v>MAI</v>
      </c>
      <c r="B32" s="127" t="s">
        <v>277</v>
      </c>
      <c r="C32" s="32">
        <f t="shared" ref="C32:C34" si="16">+C8</f>
        <v>0</v>
      </c>
      <c r="D32" s="31"/>
      <c r="E32" s="32">
        <f t="shared" ref="E32:E34" si="17">+D8</f>
        <v>384500</v>
      </c>
      <c r="F32" s="32"/>
      <c r="G32" s="32"/>
      <c r="H32" s="55">
        <f t="shared" ref="H32:H34" si="18">+F8</f>
        <v>0</v>
      </c>
      <c r="I32" s="32">
        <f t="shared" ref="I32:I34" si="19">+E8</f>
        <v>369800</v>
      </c>
      <c r="J32" s="30">
        <f t="shared" si="14"/>
        <v>14700</v>
      </c>
      <c r="K32" s="144" t="b">
        <f t="shared" si="15"/>
        <v>1</v>
      </c>
    </row>
    <row r="33" spans="1:11" x14ac:dyDescent="0.3">
      <c r="A33" s="122" t="str">
        <f t="shared" ref="A33:A43" si="20">+A32</f>
        <v>MAI</v>
      </c>
      <c r="B33" s="127" t="s">
        <v>263</v>
      </c>
      <c r="C33" s="32">
        <f t="shared" si="16"/>
        <v>28350</v>
      </c>
      <c r="D33" s="31"/>
      <c r="E33" s="32">
        <f t="shared" si="17"/>
        <v>722000</v>
      </c>
      <c r="F33" s="32"/>
      <c r="G33" s="32"/>
      <c r="H33" s="55">
        <f t="shared" si="18"/>
        <v>98000</v>
      </c>
      <c r="I33" s="32">
        <f t="shared" si="19"/>
        <v>540360</v>
      </c>
      <c r="J33" s="30">
        <f t="shared" si="14"/>
        <v>111990</v>
      </c>
      <c r="K33" s="144" t="b">
        <f t="shared" si="15"/>
        <v>1</v>
      </c>
    </row>
    <row r="34" spans="1:11" x14ac:dyDescent="0.3">
      <c r="A34" s="122" t="str">
        <f t="shared" si="20"/>
        <v>MAI</v>
      </c>
      <c r="B34" s="127" t="s">
        <v>31</v>
      </c>
      <c r="C34" s="32">
        <f t="shared" si="16"/>
        <v>39425</v>
      </c>
      <c r="D34" s="31"/>
      <c r="E34" s="32">
        <f t="shared" si="17"/>
        <v>211000</v>
      </c>
      <c r="F34" s="32"/>
      <c r="G34" s="32"/>
      <c r="H34" s="55">
        <f t="shared" si="18"/>
        <v>0</v>
      </c>
      <c r="I34" s="32">
        <f t="shared" si="19"/>
        <v>222050</v>
      </c>
      <c r="J34" s="30">
        <f t="shared" si="14"/>
        <v>28375</v>
      </c>
      <c r="K34" s="144" t="b">
        <f t="shared" si="15"/>
        <v>1</v>
      </c>
    </row>
    <row r="35" spans="1:11" x14ac:dyDescent="0.3">
      <c r="A35" s="122" t="str">
        <f t="shared" si="20"/>
        <v>MAI</v>
      </c>
      <c r="B35" s="129" t="s">
        <v>84</v>
      </c>
      <c r="C35" s="120">
        <f>+C11</f>
        <v>233614</v>
      </c>
      <c r="D35" s="123"/>
      <c r="E35" s="120">
        <f>+D11</f>
        <v>0</v>
      </c>
      <c r="F35" s="137"/>
      <c r="G35" s="137"/>
      <c r="H35" s="155">
        <f>+F11</f>
        <v>0</v>
      </c>
      <c r="I35" s="120">
        <f t="shared" ref="I35:I40" si="21">+E11</f>
        <v>0</v>
      </c>
      <c r="J35" s="121">
        <f>+SUM(C35:G35)-(H35+I35)</f>
        <v>233614</v>
      </c>
      <c r="K35" s="144" t="b">
        <f t="shared" si="15"/>
        <v>1</v>
      </c>
    </row>
    <row r="36" spans="1:11" x14ac:dyDescent="0.3">
      <c r="A36" s="122" t="str">
        <f t="shared" si="20"/>
        <v>MAI</v>
      </c>
      <c r="B36" s="129" t="s">
        <v>83</v>
      </c>
      <c r="C36" s="120">
        <f>+C12</f>
        <v>249769</v>
      </c>
      <c r="D36" s="123"/>
      <c r="E36" s="120">
        <f>+D12</f>
        <v>0</v>
      </c>
      <c r="F36" s="137"/>
      <c r="G36" s="137"/>
      <c r="H36" s="155">
        <f>+F12</f>
        <v>0</v>
      </c>
      <c r="I36" s="120">
        <f t="shared" si="21"/>
        <v>0</v>
      </c>
      <c r="J36" s="121">
        <f t="shared" ref="J36:J43" si="22">+SUM(C36:G36)-(H36+I36)</f>
        <v>249769</v>
      </c>
      <c r="K36" s="144" t="b">
        <f t="shared" si="15"/>
        <v>1</v>
      </c>
    </row>
    <row r="37" spans="1:11" x14ac:dyDescent="0.3">
      <c r="A37" s="122" t="str">
        <f t="shared" si="20"/>
        <v>MAI</v>
      </c>
      <c r="B37" s="127" t="s">
        <v>150</v>
      </c>
      <c r="C37" s="32">
        <f>+C13</f>
        <v>55550</v>
      </c>
      <c r="D37" s="31"/>
      <c r="E37" s="32">
        <f>+D13</f>
        <v>382000</v>
      </c>
      <c r="F37" s="32"/>
      <c r="G37" s="104"/>
      <c r="H37" s="55">
        <f>+F13</f>
        <v>300000</v>
      </c>
      <c r="I37" s="32">
        <f t="shared" si="21"/>
        <v>91000</v>
      </c>
      <c r="J37" s="30">
        <f t="shared" si="22"/>
        <v>46550</v>
      </c>
      <c r="K37" s="144" t="b">
        <f t="shared" si="15"/>
        <v>1</v>
      </c>
    </row>
    <row r="38" spans="1:11" x14ac:dyDescent="0.3">
      <c r="A38" s="122" t="str">
        <f t="shared" si="20"/>
        <v>MAI</v>
      </c>
      <c r="B38" s="127" t="s">
        <v>204</v>
      </c>
      <c r="C38" s="32">
        <f t="shared" ref="C38:C43" si="23">+C14</f>
        <v>30005</v>
      </c>
      <c r="D38" s="31"/>
      <c r="E38" s="32">
        <f t="shared" ref="E38:E43" si="24">+D14</f>
        <v>335000</v>
      </c>
      <c r="F38" s="32"/>
      <c r="G38" s="104"/>
      <c r="H38" s="55">
        <f t="shared" ref="H38:H43" si="25">+F14</f>
        <v>0</v>
      </c>
      <c r="I38" s="32">
        <f t="shared" si="21"/>
        <v>280400</v>
      </c>
      <c r="J38" s="30">
        <f t="shared" si="22"/>
        <v>84605</v>
      </c>
      <c r="K38" s="144" t="b">
        <f t="shared" si="15"/>
        <v>1</v>
      </c>
    </row>
    <row r="39" spans="1:11" x14ac:dyDescent="0.3">
      <c r="A39" s="122" t="str">
        <f t="shared" si="20"/>
        <v>MAI</v>
      </c>
      <c r="B39" s="127" t="s">
        <v>93</v>
      </c>
      <c r="C39" s="32">
        <f t="shared" si="23"/>
        <v>20800</v>
      </c>
      <c r="D39" s="31"/>
      <c r="E39" s="32">
        <f t="shared" si="24"/>
        <v>132000</v>
      </c>
      <c r="F39" s="32"/>
      <c r="G39" s="104"/>
      <c r="H39" s="55">
        <f t="shared" si="25"/>
        <v>0</v>
      </c>
      <c r="I39" s="32">
        <f t="shared" si="21"/>
        <v>160400</v>
      </c>
      <c r="J39" s="30">
        <f t="shared" si="22"/>
        <v>-7600</v>
      </c>
      <c r="K39" s="144" t="b">
        <f t="shared" si="15"/>
        <v>1</v>
      </c>
    </row>
    <row r="40" spans="1:11" x14ac:dyDescent="0.3">
      <c r="A40" s="122" t="str">
        <f t="shared" si="20"/>
        <v>MAI</v>
      </c>
      <c r="B40" s="127" t="s">
        <v>346</v>
      </c>
      <c r="C40" s="32">
        <f t="shared" si="23"/>
        <v>0</v>
      </c>
      <c r="D40" s="31"/>
      <c r="E40" s="32">
        <f t="shared" si="24"/>
        <v>35000</v>
      </c>
      <c r="F40" s="32"/>
      <c r="G40" s="104"/>
      <c r="H40" s="55">
        <f t="shared" si="25"/>
        <v>0</v>
      </c>
      <c r="I40" s="32">
        <f t="shared" si="21"/>
        <v>23000</v>
      </c>
      <c r="J40" s="30">
        <f t="shared" ref="J40" si="26">+SUM(C40:G40)-(H40+I40)</f>
        <v>12000</v>
      </c>
      <c r="K40" s="144" t="b">
        <f t="shared" si="15"/>
        <v>1</v>
      </c>
    </row>
    <row r="41" spans="1:11" x14ac:dyDescent="0.3">
      <c r="A41" s="122" t="str">
        <f t="shared" si="20"/>
        <v>MAI</v>
      </c>
      <c r="B41" s="127" t="s">
        <v>29</v>
      </c>
      <c r="C41" s="32">
        <f t="shared" si="23"/>
        <v>11000</v>
      </c>
      <c r="D41" s="31"/>
      <c r="E41" s="32">
        <f t="shared" si="24"/>
        <v>653000</v>
      </c>
      <c r="F41" s="32"/>
      <c r="G41" s="104"/>
      <c r="H41" s="55">
        <f t="shared" si="25"/>
        <v>0</v>
      </c>
      <c r="I41" s="32">
        <f t="shared" ref="I41:I43" si="27">+E17</f>
        <v>514200</v>
      </c>
      <c r="J41" s="30">
        <f t="shared" si="22"/>
        <v>149800</v>
      </c>
      <c r="K41" s="144" t="b">
        <f t="shared" si="15"/>
        <v>1</v>
      </c>
    </row>
    <row r="42" spans="1:11" x14ac:dyDescent="0.3">
      <c r="A42" s="122" t="str">
        <f t="shared" si="20"/>
        <v>MAI</v>
      </c>
      <c r="B42" s="128" t="s">
        <v>276</v>
      </c>
      <c r="C42" s="32">
        <f t="shared" si="23"/>
        <v>173700</v>
      </c>
      <c r="D42" s="119"/>
      <c r="E42" s="32">
        <f t="shared" si="24"/>
        <v>837500</v>
      </c>
      <c r="F42" s="51"/>
      <c r="G42" s="138"/>
      <c r="H42" s="55">
        <f t="shared" si="25"/>
        <v>0</v>
      </c>
      <c r="I42" s="32">
        <f t="shared" si="27"/>
        <v>656900</v>
      </c>
      <c r="J42" s="30">
        <f t="shared" si="22"/>
        <v>354300</v>
      </c>
      <c r="K42" s="144" t="b">
        <f t="shared" si="15"/>
        <v>1</v>
      </c>
    </row>
    <row r="43" spans="1:11" x14ac:dyDescent="0.3">
      <c r="A43" s="122" t="str">
        <f t="shared" si="20"/>
        <v>MAI</v>
      </c>
      <c r="B43" s="128" t="s">
        <v>113</v>
      </c>
      <c r="C43" s="32">
        <f t="shared" si="23"/>
        <v>24676</v>
      </c>
      <c r="D43" s="119"/>
      <c r="E43" s="32">
        <f t="shared" si="24"/>
        <v>0</v>
      </c>
      <c r="F43" s="51"/>
      <c r="G43" s="138"/>
      <c r="H43" s="55">
        <f t="shared" si="25"/>
        <v>0</v>
      </c>
      <c r="I43" s="32">
        <f t="shared" si="27"/>
        <v>10000</v>
      </c>
      <c r="J43" s="30">
        <f t="shared" si="22"/>
        <v>14676</v>
      </c>
      <c r="K43" s="144" t="b">
        <f t="shared" si="15"/>
        <v>1</v>
      </c>
    </row>
    <row r="44" spans="1:11" x14ac:dyDescent="0.3">
      <c r="A44" s="34" t="s">
        <v>60</v>
      </c>
      <c r="B44" s="35"/>
      <c r="C44" s="35"/>
      <c r="D44" s="35"/>
      <c r="E44" s="35"/>
      <c r="F44" s="35"/>
      <c r="G44" s="35"/>
      <c r="H44" s="35"/>
      <c r="I44" s="35"/>
      <c r="J44" s="36"/>
      <c r="K44" s="143"/>
    </row>
    <row r="45" spans="1:11" x14ac:dyDescent="0.3">
      <c r="A45" s="122" t="str">
        <f>A43</f>
        <v>MAI</v>
      </c>
      <c r="B45" s="37" t="s">
        <v>61</v>
      </c>
      <c r="C45" s="38">
        <f>+C6</f>
        <v>3813317</v>
      </c>
      <c r="D45" s="49"/>
      <c r="E45" s="49">
        <f>D6</f>
        <v>2180000</v>
      </c>
      <c r="F45" s="49"/>
      <c r="G45" s="125"/>
      <c r="H45" s="51">
        <f>+F6</f>
        <v>4306000</v>
      </c>
      <c r="I45" s="126">
        <f>+E6</f>
        <v>1411594</v>
      </c>
      <c r="J45" s="30">
        <f>+SUM(C45:G45)-(H45+I45)</f>
        <v>275723</v>
      </c>
      <c r="K45" s="144" t="b">
        <f>J45=I6</f>
        <v>1</v>
      </c>
    </row>
    <row r="46" spans="1:11" x14ac:dyDescent="0.3">
      <c r="A46" s="43" t="s">
        <v>62</v>
      </c>
      <c r="B46" s="24"/>
      <c r="C46" s="35"/>
      <c r="D46" s="24"/>
      <c r="E46" s="24"/>
      <c r="F46" s="24"/>
      <c r="G46" s="24"/>
      <c r="H46" s="24"/>
      <c r="I46" s="24"/>
      <c r="J46" s="36"/>
      <c r="K46" s="143"/>
    </row>
    <row r="47" spans="1:11" x14ac:dyDescent="0.3">
      <c r="A47" s="122" t="str">
        <f>+A45</f>
        <v>MAI</v>
      </c>
      <c r="B47" s="37" t="s">
        <v>24</v>
      </c>
      <c r="C47" s="125">
        <f>+C4</f>
        <v>17286490</v>
      </c>
      <c r="D47" s="132">
        <f>+G4</f>
        <v>0</v>
      </c>
      <c r="E47" s="49"/>
      <c r="F47" s="49"/>
      <c r="G47" s="49"/>
      <c r="H47" s="51">
        <f>+F4</f>
        <v>2000000</v>
      </c>
      <c r="I47" s="53">
        <f>+E4</f>
        <v>583345</v>
      </c>
      <c r="J47" s="30">
        <f>+SUM(C47:G47)-(H47+I47)</f>
        <v>14703145</v>
      </c>
      <c r="K47" s="144" t="b">
        <f>+J47=I4</f>
        <v>1</v>
      </c>
    </row>
    <row r="48" spans="1:11" x14ac:dyDescent="0.3">
      <c r="A48" s="122" t="str">
        <f t="shared" ref="A48" si="28">+A47</f>
        <v>MAI</v>
      </c>
      <c r="B48" s="37" t="s">
        <v>64</v>
      </c>
      <c r="C48" s="125">
        <f>+C5</f>
        <v>5202151</v>
      </c>
      <c r="D48" s="49">
        <f>+G5</f>
        <v>0</v>
      </c>
      <c r="E48" s="48"/>
      <c r="F48" s="48"/>
      <c r="G48" s="48"/>
      <c r="H48" s="32">
        <f>+F5</f>
        <v>0</v>
      </c>
      <c r="I48" s="50">
        <f>+E5</f>
        <v>4702850</v>
      </c>
      <c r="J48" s="30">
        <f>SUM(C48:G48)-(H48+I48)</f>
        <v>499301</v>
      </c>
      <c r="K48" s="144" t="b">
        <f>+J48=I5</f>
        <v>1</v>
      </c>
    </row>
    <row r="49" spans="1:21" ht="15.6" x14ac:dyDescent="0.3">
      <c r="C49" s="141">
        <f>SUM(C31:C48)</f>
        <v>27242867</v>
      </c>
      <c r="I49" s="140">
        <f>SUM(I31:I48)</f>
        <v>10231299</v>
      </c>
      <c r="J49" s="105">
        <f>+SUM(J31:J48)</f>
        <v>17011568</v>
      </c>
      <c r="K49" s="5" t="b">
        <f>J49=I20</f>
        <v>1</v>
      </c>
    </row>
    <row r="50" spans="1:21" ht="15.6" x14ac:dyDescent="0.3">
      <c r="C50" s="141"/>
      <c r="I50" s="140"/>
      <c r="J50" s="105"/>
    </row>
    <row r="51" spans="1:21" ht="15.6" x14ac:dyDescent="0.3">
      <c r="A51" s="161"/>
      <c r="B51" s="161"/>
      <c r="C51" s="162"/>
      <c r="D51" s="161"/>
      <c r="E51" s="161"/>
      <c r="F51" s="161"/>
      <c r="G51" s="161"/>
      <c r="H51" s="161"/>
      <c r="I51" s="163"/>
      <c r="J51" s="164"/>
      <c r="K51" s="161"/>
      <c r="L51" s="165"/>
      <c r="M51" s="165"/>
      <c r="N51" s="165"/>
      <c r="O51" s="165"/>
      <c r="P51" s="161"/>
    </row>
    <row r="54" spans="1:21" ht="15.6" x14ac:dyDescent="0.3">
      <c r="A54" s="6" t="s">
        <v>36</v>
      </c>
      <c r="B54" s="6" t="s">
        <v>1</v>
      </c>
      <c r="C54" s="6">
        <v>45017</v>
      </c>
      <c r="D54" s="7" t="s">
        <v>37</v>
      </c>
      <c r="E54" s="7" t="s">
        <v>38</v>
      </c>
      <c r="F54" s="7" t="s">
        <v>39</v>
      </c>
      <c r="G54" s="7" t="s">
        <v>40</v>
      </c>
      <c r="H54" s="6">
        <v>45046</v>
      </c>
      <c r="I54" s="7" t="s">
        <v>41</v>
      </c>
      <c r="K54" s="45"/>
      <c r="L54" s="45" t="s">
        <v>42</v>
      </c>
      <c r="M54" s="45" t="s">
        <v>43</v>
      </c>
      <c r="N54" s="45" t="s">
        <v>44</v>
      </c>
      <c r="O54" s="45" t="s">
        <v>45</v>
      </c>
    </row>
    <row r="55" spans="1:21" x14ac:dyDescent="0.3">
      <c r="A55" s="58" t="str">
        <f>K55</f>
        <v>BCI</v>
      </c>
      <c r="B55" s="59" t="s">
        <v>46</v>
      </c>
      <c r="C55" s="61">
        <v>19719835</v>
      </c>
      <c r="D55" s="61">
        <f>+L55</f>
        <v>0</v>
      </c>
      <c r="E55" s="61">
        <f>+N55</f>
        <v>433345</v>
      </c>
      <c r="F55" s="61">
        <f>+M55</f>
        <v>2000000</v>
      </c>
      <c r="G55" s="61">
        <f t="shared" ref="G55:G69" si="29">+O55</f>
        <v>0</v>
      </c>
      <c r="H55" s="61">
        <v>17286490</v>
      </c>
      <c r="I55" s="61">
        <f>+C55+D55-E55-F55+G55</f>
        <v>17286490</v>
      </c>
      <c r="J55" s="9">
        <f>I55-H55</f>
        <v>0</v>
      </c>
      <c r="K55" s="45" t="s">
        <v>24</v>
      </c>
      <c r="L55" s="182"/>
      <c r="M55" s="182">
        <v>2000000</v>
      </c>
      <c r="N55" s="182">
        <v>433345</v>
      </c>
      <c r="O55" s="182"/>
      <c r="R55"/>
      <c r="S55"/>
      <c r="T55"/>
      <c r="U55"/>
    </row>
    <row r="56" spans="1:21" x14ac:dyDescent="0.3">
      <c r="A56" s="58" t="str">
        <f t="shared" ref="A56:A69" si="30">K56</f>
        <v>BCI-Sous Compte</v>
      </c>
      <c r="B56" s="59" t="s">
        <v>46</v>
      </c>
      <c r="C56" s="61">
        <v>14616884</v>
      </c>
      <c r="D56" s="61">
        <f t="shared" ref="D56:D67" si="31">+L56</f>
        <v>0</v>
      </c>
      <c r="E56" s="61">
        <f t="shared" ref="E56:E61" si="32">+N56</f>
        <v>5414733</v>
      </c>
      <c r="F56" s="61">
        <f t="shared" ref="F56:F64" si="33">+M56</f>
        <v>4000000</v>
      </c>
      <c r="G56" s="61">
        <f t="shared" si="29"/>
        <v>0</v>
      </c>
      <c r="H56" s="61">
        <v>5202151</v>
      </c>
      <c r="I56" s="61">
        <f>+C56+D56-E56-F56+G56</f>
        <v>5202151</v>
      </c>
      <c r="J56" s="9">
        <f t="shared" ref="J56:J63" si="34">I56-H56</f>
        <v>0</v>
      </c>
      <c r="K56" s="45" t="s">
        <v>155</v>
      </c>
      <c r="L56" s="182"/>
      <c r="M56" s="182">
        <v>4000000</v>
      </c>
      <c r="N56" s="182">
        <v>5414733</v>
      </c>
      <c r="O56" s="182"/>
      <c r="R56"/>
      <c r="S56"/>
      <c r="T56"/>
      <c r="U56"/>
    </row>
    <row r="57" spans="1:21" x14ac:dyDescent="0.3">
      <c r="A57" s="58" t="str">
        <f t="shared" si="30"/>
        <v>Caisse</v>
      </c>
      <c r="B57" s="59" t="s">
        <v>25</v>
      </c>
      <c r="C57" s="61">
        <v>410707</v>
      </c>
      <c r="D57" s="61">
        <f t="shared" si="31"/>
        <v>6276700</v>
      </c>
      <c r="E57" s="61">
        <f t="shared" si="32"/>
        <v>1365190</v>
      </c>
      <c r="F57" s="61">
        <f t="shared" si="33"/>
        <v>1508900</v>
      </c>
      <c r="G57" s="61">
        <f t="shared" si="29"/>
        <v>0</v>
      </c>
      <c r="H57" s="61">
        <v>3813317</v>
      </c>
      <c r="I57" s="61">
        <f>+C57+D57-E57-F57+G57</f>
        <v>3813317</v>
      </c>
      <c r="J57" s="102">
        <f t="shared" si="34"/>
        <v>0</v>
      </c>
      <c r="K57" s="45" t="s">
        <v>25</v>
      </c>
      <c r="L57" s="182">
        <v>6276700</v>
      </c>
      <c r="M57" s="182">
        <v>1508900</v>
      </c>
      <c r="N57" s="182">
        <v>1365190</v>
      </c>
      <c r="O57" s="182"/>
      <c r="R57"/>
      <c r="S57"/>
      <c r="T57"/>
      <c r="U57"/>
    </row>
    <row r="58" spans="1:21" x14ac:dyDescent="0.3">
      <c r="A58" s="58" t="str">
        <f t="shared" si="30"/>
        <v>Crépin</v>
      </c>
      <c r="B58" s="59" t="s">
        <v>161</v>
      </c>
      <c r="C58" s="61">
        <v>206020</v>
      </c>
      <c r="D58" s="61">
        <f t="shared" si="31"/>
        <v>292000</v>
      </c>
      <c r="E58" s="61">
        <f t="shared" si="32"/>
        <v>424000</v>
      </c>
      <c r="F58" s="61">
        <f t="shared" si="33"/>
        <v>0</v>
      </c>
      <c r="G58" s="61">
        <f t="shared" si="29"/>
        <v>0</v>
      </c>
      <c r="H58" s="61">
        <v>74020</v>
      </c>
      <c r="I58" s="61">
        <f>+C58+D58-E58-F58+G58</f>
        <v>74020</v>
      </c>
      <c r="J58" s="9">
        <f t="shared" si="34"/>
        <v>0</v>
      </c>
      <c r="K58" s="45" t="s">
        <v>47</v>
      </c>
      <c r="L58" s="182">
        <v>292000</v>
      </c>
      <c r="M58" s="182">
        <v>0</v>
      </c>
      <c r="N58" s="182">
        <v>424000</v>
      </c>
      <c r="O58" s="182"/>
      <c r="R58"/>
      <c r="S58"/>
      <c r="T58"/>
      <c r="U58"/>
    </row>
    <row r="59" spans="1:21" x14ac:dyDescent="0.3">
      <c r="A59" s="58" t="str">
        <f t="shared" si="30"/>
        <v>D58</v>
      </c>
      <c r="B59" s="59" t="s">
        <v>4</v>
      </c>
      <c r="C59" s="61">
        <v>105100</v>
      </c>
      <c r="D59" s="61">
        <f t="shared" si="31"/>
        <v>34900</v>
      </c>
      <c r="E59" s="61">
        <f t="shared" si="32"/>
        <v>140000</v>
      </c>
      <c r="F59" s="61">
        <f t="shared" si="33"/>
        <v>0</v>
      </c>
      <c r="G59" s="61">
        <f t="shared" si="29"/>
        <v>0</v>
      </c>
      <c r="H59" s="61">
        <v>0</v>
      </c>
      <c r="I59" s="61">
        <f>+C59+D59-E59-F59+G59</f>
        <v>0</v>
      </c>
      <c r="J59" s="9">
        <f t="shared" si="34"/>
        <v>0</v>
      </c>
      <c r="K59" s="45" t="s">
        <v>277</v>
      </c>
      <c r="L59" s="182">
        <v>34900</v>
      </c>
      <c r="M59" s="182">
        <v>0</v>
      </c>
      <c r="N59" s="182">
        <v>140000</v>
      </c>
      <c r="O59" s="182"/>
      <c r="R59"/>
      <c r="S59"/>
      <c r="T59"/>
      <c r="U59"/>
    </row>
    <row r="60" spans="1:21" x14ac:dyDescent="0.3">
      <c r="A60" s="58" t="str">
        <f t="shared" si="30"/>
        <v>Donald</v>
      </c>
      <c r="B60" s="59" t="s">
        <v>161</v>
      </c>
      <c r="C60" s="61">
        <v>19350</v>
      </c>
      <c r="D60" s="61">
        <f t="shared" si="31"/>
        <v>150000</v>
      </c>
      <c r="E60" s="61">
        <f t="shared" si="32"/>
        <v>141000</v>
      </c>
      <c r="F60" s="61">
        <f t="shared" si="33"/>
        <v>0</v>
      </c>
      <c r="G60" s="61">
        <f t="shared" si="29"/>
        <v>0</v>
      </c>
      <c r="H60" s="61">
        <v>28350</v>
      </c>
      <c r="I60" s="61">
        <f t="shared" ref="I60:I61" si="35">+C60+D60-E60-F60+G60</f>
        <v>28350</v>
      </c>
      <c r="J60" s="9">
        <f t="shared" si="34"/>
        <v>0</v>
      </c>
      <c r="K60" s="45" t="s">
        <v>263</v>
      </c>
      <c r="L60" s="182">
        <v>150000</v>
      </c>
      <c r="M60" s="182">
        <v>0</v>
      </c>
      <c r="N60" s="182">
        <v>141000</v>
      </c>
      <c r="O60" s="182"/>
      <c r="R60"/>
      <c r="S60"/>
      <c r="T60"/>
      <c r="U60"/>
    </row>
    <row r="61" spans="1:21" x14ac:dyDescent="0.3">
      <c r="A61" s="58" t="str">
        <f t="shared" si="30"/>
        <v>Evariste</v>
      </c>
      <c r="B61" s="59" t="s">
        <v>162</v>
      </c>
      <c r="C61" s="61">
        <v>25425</v>
      </c>
      <c r="D61" s="61">
        <f t="shared" si="31"/>
        <v>150000</v>
      </c>
      <c r="E61" s="61">
        <f t="shared" si="32"/>
        <v>136000</v>
      </c>
      <c r="F61" s="61">
        <f t="shared" si="33"/>
        <v>0</v>
      </c>
      <c r="G61" s="61">
        <f t="shared" si="29"/>
        <v>0</v>
      </c>
      <c r="H61" s="61">
        <v>39425</v>
      </c>
      <c r="I61" s="61">
        <f t="shared" si="35"/>
        <v>39425</v>
      </c>
      <c r="J61" s="9">
        <f t="shared" si="34"/>
        <v>0</v>
      </c>
      <c r="K61" s="45" t="s">
        <v>31</v>
      </c>
      <c r="L61" s="182">
        <v>150000</v>
      </c>
      <c r="M61" s="182">
        <v>0</v>
      </c>
      <c r="N61" s="182">
        <v>136000</v>
      </c>
      <c r="O61" s="182"/>
      <c r="R61"/>
      <c r="S61"/>
      <c r="T61"/>
      <c r="U61"/>
    </row>
    <row r="62" spans="1:21" x14ac:dyDescent="0.3">
      <c r="A62" s="58" t="str">
        <f t="shared" si="30"/>
        <v>I55S</v>
      </c>
      <c r="B62" s="116" t="s">
        <v>4</v>
      </c>
      <c r="C62" s="118">
        <v>233614</v>
      </c>
      <c r="D62" s="118">
        <f t="shared" si="31"/>
        <v>0</v>
      </c>
      <c r="E62" s="118">
        <f>+N62</f>
        <v>0</v>
      </c>
      <c r="F62" s="118">
        <f t="shared" si="33"/>
        <v>0</v>
      </c>
      <c r="G62" s="118">
        <f t="shared" si="29"/>
        <v>0</v>
      </c>
      <c r="H62" s="118">
        <v>233614</v>
      </c>
      <c r="I62" s="118">
        <f>+C62+D62-E62-F62+G62</f>
        <v>233614</v>
      </c>
      <c r="J62" s="9">
        <f t="shared" si="34"/>
        <v>0</v>
      </c>
      <c r="K62" s="45" t="s">
        <v>84</v>
      </c>
      <c r="L62" s="182"/>
      <c r="M62" s="182"/>
      <c r="N62" s="182"/>
      <c r="O62" s="182"/>
      <c r="R62"/>
      <c r="S62"/>
      <c r="T62"/>
      <c r="U62"/>
    </row>
    <row r="63" spans="1:21" x14ac:dyDescent="0.3">
      <c r="A63" s="58" t="str">
        <f t="shared" si="30"/>
        <v>I73X</v>
      </c>
      <c r="B63" s="116" t="s">
        <v>4</v>
      </c>
      <c r="C63" s="118">
        <v>249769</v>
      </c>
      <c r="D63" s="118">
        <f t="shared" si="31"/>
        <v>0</v>
      </c>
      <c r="E63" s="118">
        <f>+N63</f>
        <v>0</v>
      </c>
      <c r="F63" s="118">
        <f t="shared" si="33"/>
        <v>0</v>
      </c>
      <c r="G63" s="118">
        <f t="shared" si="29"/>
        <v>0</v>
      </c>
      <c r="H63" s="118">
        <v>249769</v>
      </c>
      <c r="I63" s="118">
        <f t="shared" ref="I63:I67" si="36">+C63+D63-E63-F63+G63</f>
        <v>249769</v>
      </c>
      <c r="J63" s="9">
        <f t="shared" si="34"/>
        <v>0</v>
      </c>
      <c r="K63" s="45" t="s">
        <v>83</v>
      </c>
      <c r="L63" s="182"/>
      <c r="M63" s="182"/>
      <c r="N63" s="182"/>
      <c r="O63" s="182"/>
      <c r="R63"/>
      <c r="S63"/>
      <c r="T63"/>
      <c r="U63"/>
    </row>
    <row r="64" spans="1:21" s="189" customFormat="1" ht="15.6" x14ac:dyDescent="0.3">
      <c r="A64" s="58" t="str">
        <f t="shared" si="30"/>
        <v>Grace</v>
      </c>
      <c r="B64" s="59" t="s">
        <v>2</v>
      </c>
      <c r="C64" s="185">
        <v>166600</v>
      </c>
      <c r="D64" s="61">
        <f t="shared" si="31"/>
        <v>150000</v>
      </c>
      <c r="E64" s="61">
        <f t="shared" ref="E64" si="37">+N64</f>
        <v>141050</v>
      </c>
      <c r="F64" s="61">
        <f t="shared" si="33"/>
        <v>120000</v>
      </c>
      <c r="G64" s="61">
        <f t="shared" si="29"/>
        <v>0</v>
      </c>
      <c r="H64" s="185">
        <v>55550</v>
      </c>
      <c r="I64" s="185">
        <f t="shared" si="36"/>
        <v>55550</v>
      </c>
      <c r="J64" s="186">
        <f>I64-H64</f>
        <v>0</v>
      </c>
      <c r="K64" s="187" t="s">
        <v>150</v>
      </c>
      <c r="L64" s="182">
        <v>150000</v>
      </c>
      <c r="M64" s="182">
        <v>120000</v>
      </c>
      <c r="N64" s="182">
        <v>141050</v>
      </c>
      <c r="O64" s="182"/>
      <c r="R64"/>
      <c r="S64"/>
      <c r="T64"/>
      <c r="U64"/>
    </row>
    <row r="65" spans="1:21" x14ac:dyDescent="0.3">
      <c r="A65" s="58" t="str">
        <f t="shared" si="30"/>
        <v>Hurielle</v>
      </c>
      <c r="B65" s="98" t="s">
        <v>161</v>
      </c>
      <c r="C65" s="61">
        <v>28005</v>
      </c>
      <c r="D65" s="61">
        <f t="shared" si="31"/>
        <v>150000</v>
      </c>
      <c r="E65" s="61">
        <f>+N65</f>
        <v>133000</v>
      </c>
      <c r="F65" s="61">
        <f>+M65</f>
        <v>15000</v>
      </c>
      <c r="G65" s="61">
        <f t="shared" si="29"/>
        <v>0</v>
      </c>
      <c r="H65" s="61">
        <v>30005</v>
      </c>
      <c r="I65" s="61">
        <f t="shared" si="36"/>
        <v>30005</v>
      </c>
      <c r="J65" s="9">
        <f t="shared" ref="J65" si="38">I65-H65</f>
        <v>0</v>
      </c>
      <c r="K65" s="45" t="s">
        <v>204</v>
      </c>
      <c r="L65" s="182">
        <v>150000</v>
      </c>
      <c r="M65" s="182">
        <v>15000</v>
      </c>
      <c r="N65" s="182">
        <v>133000</v>
      </c>
      <c r="O65" s="182"/>
      <c r="R65"/>
      <c r="S65"/>
      <c r="T65"/>
      <c r="U65"/>
    </row>
    <row r="66" spans="1:21" s="189" customFormat="1" ht="15.6" x14ac:dyDescent="0.3">
      <c r="A66" s="58" t="str">
        <f t="shared" si="30"/>
        <v>Merveille</v>
      </c>
      <c r="B66" s="59" t="s">
        <v>2</v>
      </c>
      <c r="C66" s="185">
        <v>18800</v>
      </c>
      <c r="D66" s="61">
        <f t="shared" si="31"/>
        <v>150000</v>
      </c>
      <c r="E66" s="61">
        <f t="shared" ref="E66:E69" si="39">+N66</f>
        <v>148000</v>
      </c>
      <c r="F66" s="61">
        <f t="shared" ref="F66:F69" si="40">+M66</f>
        <v>0</v>
      </c>
      <c r="G66" s="61">
        <f t="shared" si="29"/>
        <v>0</v>
      </c>
      <c r="H66" s="185">
        <v>20800</v>
      </c>
      <c r="I66" s="185">
        <f t="shared" si="36"/>
        <v>20800</v>
      </c>
      <c r="J66" s="186">
        <f>I66-H66</f>
        <v>0</v>
      </c>
      <c r="K66" s="187" t="s">
        <v>93</v>
      </c>
      <c r="L66" s="182">
        <v>150000</v>
      </c>
      <c r="M66" s="182">
        <v>0</v>
      </c>
      <c r="N66" s="182">
        <v>148000</v>
      </c>
      <c r="O66" s="182"/>
      <c r="R66"/>
      <c r="S66"/>
      <c r="T66"/>
      <c r="U66"/>
    </row>
    <row r="67" spans="1:21" x14ac:dyDescent="0.3">
      <c r="A67" s="58" t="str">
        <f t="shared" si="30"/>
        <v>P29</v>
      </c>
      <c r="B67" s="98" t="s">
        <v>4</v>
      </c>
      <c r="C67" s="61">
        <v>236000</v>
      </c>
      <c r="D67" s="61">
        <f t="shared" si="31"/>
        <v>270000</v>
      </c>
      <c r="E67" s="61">
        <f t="shared" si="39"/>
        <v>388300</v>
      </c>
      <c r="F67" s="61">
        <f t="shared" si="40"/>
        <v>106700</v>
      </c>
      <c r="G67" s="61">
        <f t="shared" si="29"/>
        <v>0</v>
      </c>
      <c r="H67" s="61">
        <v>11000</v>
      </c>
      <c r="I67" s="61">
        <f t="shared" si="36"/>
        <v>11000</v>
      </c>
      <c r="J67" s="9">
        <f t="shared" ref="J67:J68" si="41">I67-H67</f>
        <v>0</v>
      </c>
      <c r="K67" s="45" t="s">
        <v>29</v>
      </c>
      <c r="L67" s="182">
        <v>270000</v>
      </c>
      <c r="M67" s="182">
        <v>106700</v>
      </c>
      <c r="N67" s="182">
        <v>388300</v>
      </c>
      <c r="O67" s="182"/>
      <c r="R67"/>
      <c r="S67"/>
      <c r="T67"/>
      <c r="U67"/>
    </row>
    <row r="68" spans="1:21" x14ac:dyDescent="0.3">
      <c r="A68" s="58" t="str">
        <f t="shared" si="30"/>
        <v>T73</v>
      </c>
      <c r="B68" s="59" t="s">
        <v>4</v>
      </c>
      <c r="C68" s="61">
        <v>311700</v>
      </c>
      <c r="D68" s="61">
        <f>+L68</f>
        <v>30000</v>
      </c>
      <c r="E68" s="61">
        <f t="shared" si="39"/>
        <v>133000</v>
      </c>
      <c r="F68" s="61">
        <f t="shared" si="40"/>
        <v>35000</v>
      </c>
      <c r="G68" s="61">
        <f t="shared" si="29"/>
        <v>0</v>
      </c>
      <c r="H68" s="61">
        <v>173700</v>
      </c>
      <c r="I68" s="61">
        <f>+C68+D68-E68-F68+G68</f>
        <v>173700</v>
      </c>
      <c r="J68" s="9">
        <f t="shared" si="41"/>
        <v>0</v>
      </c>
      <c r="K68" s="45" t="s">
        <v>276</v>
      </c>
      <c r="L68" s="182">
        <v>30000</v>
      </c>
      <c r="M68" s="182">
        <v>35000</v>
      </c>
      <c r="N68" s="182">
        <v>133000</v>
      </c>
      <c r="O68" s="182"/>
    </row>
    <row r="69" spans="1:21" x14ac:dyDescent="0.3">
      <c r="A69" s="58" t="str">
        <f t="shared" si="30"/>
        <v>Tiffany</v>
      </c>
      <c r="B69" s="59" t="s">
        <v>2</v>
      </c>
      <c r="C69" s="61">
        <v>16676</v>
      </c>
      <c r="D69" s="61">
        <f t="shared" ref="D69" si="42">+L69</f>
        <v>132000</v>
      </c>
      <c r="E69" s="61">
        <f t="shared" si="39"/>
        <v>124000</v>
      </c>
      <c r="F69" s="61">
        <f t="shared" si="40"/>
        <v>0</v>
      </c>
      <c r="G69" s="61">
        <f t="shared" si="29"/>
        <v>0</v>
      </c>
      <c r="H69" s="61">
        <v>24676</v>
      </c>
      <c r="I69" s="61">
        <f>+C69+D69-E69-F69+G69</f>
        <v>24676</v>
      </c>
      <c r="J69" s="9">
        <f>I69-H69</f>
        <v>0</v>
      </c>
      <c r="K69" s="45" t="s">
        <v>113</v>
      </c>
      <c r="L69" s="182">
        <v>132000</v>
      </c>
      <c r="M69" s="182">
        <v>0</v>
      </c>
      <c r="N69" s="182">
        <v>124000</v>
      </c>
      <c r="O69" s="182"/>
    </row>
    <row r="70" spans="1:21" x14ac:dyDescent="0.3">
      <c r="A70" s="10" t="s">
        <v>50</v>
      </c>
      <c r="B70" s="11"/>
      <c r="C70" s="12">
        <f t="shared" ref="C70:I70" si="43">SUM(C55:C69)</f>
        <v>36364485</v>
      </c>
      <c r="D70" s="57">
        <f t="shared" si="43"/>
        <v>7785600</v>
      </c>
      <c r="E70" s="57">
        <f t="shared" si="43"/>
        <v>9121618</v>
      </c>
      <c r="F70" s="57">
        <f t="shared" si="43"/>
        <v>7785600</v>
      </c>
      <c r="G70" s="57">
        <f t="shared" si="43"/>
        <v>0</v>
      </c>
      <c r="H70" s="57">
        <f t="shared" si="43"/>
        <v>27242867</v>
      </c>
      <c r="I70" s="57">
        <f t="shared" si="43"/>
        <v>27242867</v>
      </c>
      <c r="J70" s="9">
        <f>I70-H70</f>
        <v>0</v>
      </c>
      <c r="K70" s="3"/>
      <c r="L70" s="47">
        <f>+SUM(L55:L69)</f>
        <v>7785600</v>
      </c>
      <c r="M70" s="47">
        <f>+SUM(M55:M69)</f>
        <v>7785600</v>
      </c>
      <c r="N70" s="47">
        <f>+SUM(N55:N69)</f>
        <v>9121618</v>
      </c>
      <c r="O70" s="47">
        <f>+SUM(O55:O69)</f>
        <v>0</v>
      </c>
    </row>
    <row r="71" spans="1:21" x14ac:dyDescent="0.3">
      <c r="A71" s="10"/>
      <c r="B71" s="11"/>
      <c r="C71" s="12"/>
      <c r="D71" s="13"/>
      <c r="E71" s="12"/>
      <c r="F71" s="13"/>
      <c r="G71" s="12"/>
      <c r="H71" s="12"/>
      <c r="I71" s="134" t="b">
        <f>I70=D73</f>
        <v>1</v>
      </c>
      <c r="J71" s="9">
        <f>H70-I70</f>
        <v>0</v>
      </c>
      <c r="L71" s="5"/>
      <c r="M71" s="5"/>
      <c r="N71" s="5"/>
      <c r="O71" s="5"/>
    </row>
    <row r="72" spans="1:21" ht="15.6" x14ac:dyDescent="0.3">
      <c r="A72" s="10" t="s">
        <v>298</v>
      </c>
      <c r="B72" s="11" t="s">
        <v>209</v>
      </c>
      <c r="C72" s="12" t="s">
        <v>210</v>
      </c>
      <c r="D72" s="12" t="s">
        <v>299</v>
      </c>
      <c r="E72" s="12" t="s">
        <v>51</v>
      </c>
      <c r="F72" s="12"/>
      <c r="G72" s="12">
        <f>+D70-F70</f>
        <v>0</v>
      </c>
      <c r="H72" s="12"/>
      <c r="I72" s="218"/>
    </row>
    <row r="73" spans="1:21" x14ac:dyDescent="0.3">
      <c r="A73" s="14">
        <f>C70</f>
        <v>36364485</v>
      </c>
      <c r="B73" s="15">
        <f>G70</f>
        <v>0</v>
      </c>
      <c r="C73" s="12">
        <f>E70</f>
        <v>9121618</v>
      </c>
      <c r="D73" s="12">
        <f>A73+B73-C73</f>
        <v>27242867</v>
      </c>
      <c r="E73" s="13">
        <f>I70-D73</f>
        <v>0</v>
      </c>
      <c r="F73" s="12"/>
      <c r="G73" s="12"/>
      <c r="H73" s="12"/>
      <c r="I73" s="12"/>
    </row>
    <row r="74" spans="1:21" x14ac:dyDescent="0.3">
      <c r="A74" s="14"/>
      <c r="B74" s="15"/>
      <c r="C74" s="12"/>
      <c r="D74" s="12"/>
      <c r="E74" s="13"/>
      <c r="F74" s="12"/>
      <c r="G74" s="12"/>
      <c r="H74" s="12"/>
      <c r="I74" s="12"/>
    </row>
    <row r="75" spans="1:21" x14ac:dyDescent="0.3">
      <c r="A75" s="16" t="s">
        <v>52</v>
      </c>
      <c r="B75" s="16"/>
      <c r="C75" s="16"/>
      <c r="D75" s="17"/>
      <c r="E75" s="17"/>
      <c r="F75" s="17"/>
      <c r="G75" s="17"/>
      <c r="H75" s="17"/>
      <c r="I75" s="17"/>
    </row>
    <row r="76" spans="1:21" x14ac:dyDescent="0.3">
      <c r="A76" s="18" t="s">
        <v>300</v>
      </c>
      <c r="B76" s="18"/>
      <c r="C76" s="18"/>
      <c r="D76" s="18"/>
      <c r="E76" s="18"/>
      <c r="F76" s="18"/>
      <c r="G76" s="18"/>
      <c r="H76" s="18"/>
      <c r="I76" s="18"/>
      <c r="J76" s="18"/>
    </row>
    <row r="77" spans="1:21" x14ac:dyDescent="0.3">
      <c r="A77" s="19"/>
      <c r="B77" s="17"/>
      <c r="C77" s="20"/>
      <c r="D77" s="20"/>
      <c r="E77" s="20"/>
      <c r="F77" s="20"/>
      <c r="G77" s="20"/>
      <c r="H77" s="17"/>
      <c r="I77" s="17"/>
    </row>
    <row r="78" spans="1:21" ht="45" customHeight="1" x14ac:dyDescent="0.3">
      <c r="A78" s="170" t="s">
        <v>53</v>
      </c>
      <c r="B78" s="172" t="s">
        <v>54</v>
      </c>
      <c r="C78" s="174" t="s">
        <v>301</v>
      </c>
      <c r="D78" s="175" t="s">
        <v>55</v>
      </c>
      <c r="E78" s="176"/>
      <c r="F78" s="176"/>
      <c r="G78" s="177"/>
      <c r="H78" s="178" t="s">
        <v>56</v>
      </c>
      <c r="I78" s="166" t="s">
        <v>57</v>
      </c>
      <c r="J78" s="213"/>
    </row>
    <row r="79" spans="1:21" ht="28.5" customHeight="1" x14ac:dyDescent="0.3">
      <c r="A79" s="171"/>
      <c r="B79" s="173"/>
      <c r="C79" s="22"/>
      <c r="D79" s="21" t="s">
        <v>24</v>
      </c>
      <c r="E79" s="21" t="s">
        <v>25</v>
      </c>
      <c r="F79" s="22" t="s">
        <v>123</v>
      </c>
      <c r="G79" s="21" t="s">
        <v>58</v>
      </c>
      <c r="H79" s="179"/>
      <c r="I79" s="167"/>
      <c r="J79" s="169" t="s">
        <v>302</v>
      </c>
      <c r="K79" s="143"/>
    </row>
    <row r="80" spans="1:21" x14ac:dyDescent="0.3">
      <c r="A80" s="23"/>
      <c r="B80" s="24" t="s">
        <v>59</v>
      </c>
      <c r="C80" s="25"/>
      <c r="D80" s="25"/>
      <c r="E80" s="25"/>
      <c r="F80" s="25"/>
      <c r="G80" s="25"/>
      <c r="H80" s="25"/>
      <c r="I80" s="26"/>
      <c r="J80" s="169"/>
      <c r="K80" s="143"/>
    </row>
    <row r="81" spans="1:11" x14ac:dyDescent="0.3">
      <c r="A81" s="122" t="s">
        <v>127</v>
      </c>
      <c r="B81" s="127" t="s">
        <v>47</v>
      </c>
      <c r="C81" s="32">
        <f>+C58</f>
        <v>206020</v>
      </c>
      <c r="D81" s="31"/>
      <c r="E81" s="32">
        <f>+D58</f>
        <v>292000</v>
      </c>
      <c r="F81" s="32"/>
      <c r="G81" s="32"/>
      <c r="H81" s="55">
        <f>+F58</f>
        <v>0</v>
      </c>
      <c r="I81" s="32">
        <f>+E58</f>
        <v>424000</v>
      </c>
      <c r="J81" s="30">
        <f t="shared" ref="J81:J84" si="44">+SUM(C81:G81)-(H81+I81)</f>
        <v>74020</v>
      </c>
      <c r="K81" s="144" t="b">
        <f t="shared" ref="K81:K92" si="45">J81=I58</f>
        <v>1</v>
      </c>
    </row>
    <row r="82" spans="1:11" x14ac:dyDescent="0.3">
      <c r="A82" s="122" t="str">
        <f>+A81</f>
        <v>AVRIL</v>
      </c>
      <c r="B82" s="127" t="s">
        <v>277</v>
      </c>
      <c r="C82" s="32">
        <f t="shared" ref="C82:C84" si="46">+C59</f>
        <v>105100</v>
      </c>
      <c r="D82" s="31"/>
      <c r="E82" s="32">
        <f t="shared" ref="E82:E84" si="47">+D59</f>
        <v>34900</v>
      </c>
      <c r="F82" s="32"/>
      <c r="G82" s="32"/>
      <c r="H82" s="55">
        <f t="shared" ref="H82:H84" si="48">+F59</f>
        <v>0</v>
      </c>
      <c r="I82" s="32">
        <f t="shared" ref="I82:I84" si="49">+E59</f>
        <v>140000</v>
      </c>
      <c r="J82" s="30">
        <f t="shared" si="44"/>
        <v>0</v>
      </c>
      <c r="K82" s="144" t="b">
        <f t="shared" si="45"/>
        <v>1</v>
      </c>
    </row>
    <row r="83" spans="1:11" x14ac:dyDescent="0.3">
      <c r="A83" s="122" t="str">
        <f t="shared" ref="A83:A92" si="50">+A82</f>
        <v>AVRIL</v>
      </c>
      <c r="B83" s="127" t="s">
        <v>263</v>
      </c>
      <c r="C83" s="32">
        <f t="shared" si="46"/>
        <v>19350</v>
      </c>
      <c r="D83" s="31"/>
      <c r="E83" s="32">
        <f t="shared" si="47"/>
        <v>150000</v>
      </c>
      <c r="F83" s="32"/>
      <c r="G83" s="32"/>
      <c r="H83" s="55">
        <f t="shared" si="48"/>
        <v>0</v>
      </c>
      <c r="I83" s="32">
        <f t="shared" si="49"/>
        <v>141000</v>
      </c>
      <c r="J83" s="30">
        <f t="shared" si="44"/>
        <v>28350</v>
      </c>
      <c r="K83" s="144" t="b">
        <f t="shared" si="45"/>
        <v>1</v>
      </c>
    </row>
    <row r="84" spans="1:11" x14ac:dyDescent="0.3">
      <c r="A84" s="122" t="str">
        <f t="shared" si="50"/>
        <v>AVRIL</v>
      </c>
      <c r="B84" s="127" t="s">
        <v>31</v>
      </c>
      <c r="C84" s="32">
        <f t="shared" si="46"/>
        <v>25425</v>
      </c>
      <c r="D84" s="31"/>
      <c r="E84" s="32">
        <f t="shared" si="47"/>
        <v>150000</v>
      </c>
      <c r="F84" s="32"/>
      <c r="G84" s="32"/>
      <c r="H84" s="55">
        <f t="shared" si="48"/>
        <v>0</v>
      </c>
      <c r="I84" s="32">
        <f t="shared" si="49"/>
        <v>136000</v>
      </c>
      <c r="J84" s="30">
        <f t="shared" si="44"/>
        <v>39425</v>
      </c>
      <c r="K84" s="144" t="b">
        <f t="shared" si="45"/>
        <v>1</v>
      </c>
    </row>
    <row r="85" spans="1:11" x14ac:dyDescent="0.3">
      <c r="A85" s="122" t="str">
        <f t="shared" si="50"/>
        <v>AVRIL</v>
      </c>
      <c r="B85" s="129" t="s">
        <v>84</v>
      </c>
      <c r="C85" s="120">
        <f>+C62</f>
        <v>233614</v>
      </c>
      <c r="D85" s="123"/>
      <c r="E85" s="120">
        <f>+D62</f>
        <v>0</v>
      </c>
      <c r="F85" s="137"/>
      <c r="G85" s="137"/>
      <c r="H85" s="155">
        <f>+F62</f>
        <v>0</v>
      </c>
      <c r="I85" s="120">
        <f>+E62</f>
        <v>0</v>
      </c>
      <c r="J85" s="121">
        <f>+SUM(C85:G85)-(H85+I85)</f>
        <v>233614</v>
      </c>
      <c r="K85" s="144" t="b">
        <f t="shared" si="45"/>
        <v>1</v>
      </c>
    </row>
    <row r="86" spans="1:11" x14ac:dyDescent="0.3">
      <c r="A86" s="122" t="str">
        <f t="shared" si="50"/>
        <v>AVRIL</v>
      </c>
      <c r="B86" s="129" t="s">
        <v>83</v>
      </c>
      <c r="C86" s="120">
        <f>+C63</f>
        <v>249769</v>
      </c>
      <c r="D86" s="123"/>
      <c r="E86" s="120">
        <f>+D63</f>
        <v>0</v>
      </c>
      <c r="F86" s="137"/>
      <c r="G86" s="137"/>
      <c r="H86" s="155">
        <f>+F63</f>
        <v>0</v>
      </c>
      <c r="I86" s="120">
        <f>+E63</f>
        <v>0</v>
      </c>
      <c r="J86" s="121">
        <f t="shared" ref="J86:J92" si="51">+SUM(C86:G86)-(H86+I86)</f>
        <v>249769</v>
      </c>
      <c r="K86" s="144" t="b">
        <f t="shared" si="45"/>
        <v>1</v>
      </c>
    </row>
    <row r="87" spans="1:11" x14ac:dyDescent="0.3">
      <c r="A87" s="122" t="str">
        <f t="shared" si="50"/>
        <v>AVRIL</v>
      </c>
      <c r="B87" s="127" t="s">
        <v>150</v>
      </c>
      <c r="C87" s="32">
        <f>+C64</f>
        <v>166600</v>
      </c>
      <c r="D87" s="31"/>
      <c r="E87" s="32">
        <f>+D64</f>
        <v>150000</v>
      </c>
      <c r="F87" s="32"/>
      <c r="G87" s="104"/>
      <c r="H87" s="55">
        <f>+F64</f>
        <v>120000</v>
      </c>
      <c r="I87" s="32">
        <f>+E64</f>
        <v>141050</v>
      </c>
      <c r="J87" s="30">
        <f t="shared" si="51"/>
        <v>55550</v>
      </c>
      <c r="K87" s="144" t="b">
        <f t="shared" si="45"/>
        <v>1</v>
      </c>
    </row>
    <row r="88" spans="1:11" x14ac:dyDescent="0.3">
      <c r="A88" s="122" t="str">
        <f t="shared" si="50"/>
        <v>AVRIL</v>
      </c>
      <c r="B88" s="127" t="s">
        <v>204</v>
      </c>
      <c r="C88" s="32">
        <f>+C65</f>
        <v>28005</v>
      </c>
      <c r="D88" s="31"/>
      <c r="E88" s="32">
        <f>+D65</f>
        <v>150000</v>
      </c>
      <c r="F88" s="32"/>
      <c r="G88" s="104"/>
      <c r="H88" s="55">
        <f>+F65</f>
        <v>15000</v>
      </c>
      <c r="I88" s="32">
        <f>+E65</f>
        <v>133000</v>
      </c>
      <c r="J88" s="30">
        <f t="shared" si="51"/>
        <v>30005</v>
      </c>
      <c r="K88" s="144" t="b">
        <f t="shared" si="45"/>
        <v>1</v>
      </c>
    </row>
    <row r="89" spans="1:11" x14ac:dyDescent="0.3">
      <c r="A89" s="122" t="str">
        <f>A88</f>
        <v>AVRIL</v>
      </c>
      <c r="B89" s="127" t="s">
        <v>93</v>
      </c>
      <c r="C89" s="32">
        <f t="shared" ref="C89:C92" si="52">+C66</f>
        <v>18800</v>
      </c>
      <c r="D89" s="31"/>
      <c r="E89" s="32">
        <f t="shared" ref="E89:E92" si="53">+D66</f>
        <v>150000</v>
      </c>
      <c r="F89" s="32"/>
      <c r="G89" s="104"/>
      <c r="H89" s="55">
        <f t="shared" ref="H89:H92" si="54">+F66</f>
        <v>0</v>
      </c>
      <c r="I89" s="32">
        <f t="shared" ref="I89:I92" si="55">+E66</f>
        <v>148000</v>
      </c>
      <c r="J89" s="30">
        <f t="shared" si="51"/>
        <v>20800</v>
      </c>
      <c r="K89" s="144" t="b">
        <f t="shared" si="45"/>
        <v>1</v>
      </c>
    </row>
    <row r="90" spans="1:11" x14ac:dyDescent="0.3">
      <c r="A90" s="122" t="str">
        <f t="shared" si="50"/>
        <v>AVRIL</v>
      </c>
      <c r="B90" s="127" t="s">
        <v>29</v>
      </c>
      <c r="C90" s="32">
        <f t="shared" si="52"/>
        <v>236000</v>
      </c>
      <c r="D90" s="31"/>
      <c r="E90" s="32">
        <f t="shared" si="53"/>
        <v>270000</v>
      </c>
      <c r="F90" s="32"/>
      <c r="G90" s="104"/>
      <c r="H90" s="55">
        <f t="shared" si="54"/>
        <v>106700</v>
      </c>
      <c r="I90" s="32">
        <f t="shared" si="55"/>
        <v>388300</v>
      </c>
      <c r="J90" s="30">
        <f t="shared" si="51"/>
        <v>11000</v>
      </c>
      <c r="K90" s="144" t="b">
        <f t="shared" si="45"/>
        <v>1</v>
      </c>
    </row>
    <row r="91" spans="1:11" x14ac:dyDescent="0.3">
      <c r="A91" s="122" t="str">
        <f t="shared" si="50"/>
        <v>AVRIL</v>
      </c>
      <c r="B91" s="128" t="s">
        <v>276</v>
      </c>
      <c r="C91" s="32">
        <f t="shared" si="52"/>
        <v>311700</v>
      </c>
      <c r="D91" s="119"/>
      <c r="E91" s="32">
        <f t="shared" si="53"/>
        <v>30000</v>
      </c>
      <c r="F91" s="51"/>
      <c r="G91" s="138"/>
      <c r="H91" s="55">
        <f t="shared" si="54"/>
        <v>35000</v>
      </c>
      <c r="I91" s="32">
        <f t="shared" si="55"/>
        <v>133000</v>
      </c>
      <c r="J91" s="30">
        <f t="shared" si="51"/>
        <v>173700</v>
      </c>
      <c r="K91" s="144" t="b">
        <f t="shared" si="45"/>
        <v>1</v>
      </c>
    </row>
    <row r="92" spans="1:11" x14ac:dyDescent="0.3">
      <c r="A92" s="122" t="str">
        <f t="shared" si="50"/>
        <v>AVRIL</v>
      </c>
      <c r="B92" s="128" t="s">
        <v>113</v>
      </c>
      <c r="C92" s="32">
        <f t="shared" si="52"/>
        <v>16676</v>
      </c>
      <c r="D92" s="119"/>
      <c r="E92" s="32">
        <f t="shared" si="53"/>
        <v>132000</v>
      </c>
      <c r="F92" s="51"/>
      <c r="G92" s="138"/>
      <c r="H92" s="55">
        <f t="shared" si="54"/>
        <v>0</v>
      </c>
      <c r="I92" s="32">
        <f t="shared" si="55"/>
        <v>124000</v>
      </c>
      <c r="J92" s="30">
        <f t="shared" si="51"/>
        <v>24676</v>
      </c>
      <c r="K92" s="144" t="b">
        <f t="shared" si="45"/>
        <v>1</v>
      </c>
    </row>
    <row r="93" spans="1:11" x14ac:dyDescent="0.3">
      <c r="A93" s="34" t="s">
        <v>60</v>
      </c>
      <c r="B93" s="35"/>
      <c r="C93" s="35"/>
      <c r="D93" s="35"/>
      <c r="E93" s="35"/>
      <c r="F93" s="35"/>
      <c r="G93" s="35"/>
      <c r="H93" s="35"/>
      <c r="I93" s="35"/>
      <c r="J93" s="36"/>
      <c r="K93" s="143"/>
    </row>
    <row r="94" spans="1:11" x14ac:dyDescent="0.3">
      <c r="A94" s="122" t="str">
        <f>A92</f>
        <v>AVRIL</v>
      </c>
      <c r="B94" s="37" t="s">
        <v>61</v>
      </c>
      <c r="C94" s="38">
        <f>+C57</f>
        <v>410707</v>
      </c>
      <c r="D94" s="49"/>
      <c r="E94" s="49">
        <f>D57</f>
        <v>6276700</v>
      </c>
      <c r="F94" s="49"/>
      <c r="G94" s="125"/>
      <c r="H94" s="51">
        <f>+F57</f>
        <v>1508900</v>
      </c>
      <c r="I94" s="126">
        <f>+E57</f>
        <v>1365190</v>
      </c>
      <c r="J94" s="30">
        <f>+SUM(C94:G94)-(H94+I94)</f>
        <v>3813317</v>
      </c>
      <c r="K94" s="144" t="b">
        <f>J94=I57</f>
        <v>1</v>
      </c>
    </row>
    <row r="95" spans="1:11" x14ac:dyDescent="0.3">
      <c r="A95" s="43" t="s">
        <v>62</v>
      </c>
      <c r="B95" s="24"/>
      <c r="C95" s="35"/>
      <c r="D95" s="24"/>
      <c r="E95" s="24"/>
      <c r="F95" s="24"/>
      <c r="G95" s="24"/>
      <c r="H95" s="24"/>
      <c r="I95" s="24"/>
      <c r="J95" s="36"/>
      <c r="K95" s="143"/>
    </row>
    <row r="96" spans="1:11" x14ac:dyDescent="0.3">
      <c r="A96" s="122" t="str">
        <f>+A94</f>
        <v>AVRIL</v>
      </c>
      <c r="B96" s="37" t="s">
        <v>24</v>
      </c>
      <c r="C96" s="125">
        <f>+C55</f>
        <v>19719835</v>
      </c>
      <c r="D96" s="132">
        <f>+G55</f>
        <v>0</v>
      </c>
      <c r="E96" s="49"/>
      <c r="F96" s="49"/>
      <c r="G96" s="49"/>
      <c r="H96" s="51">
        <f>+F55</f>
        <v>2000000</v>
      </c>
      <c r="I96" s="53">
        <f>+E55</f>
        <v>433345</v>
      </c>
      <c r="J96" s="30">
        <f>+SUM(C96:G96)-(H96+I96)</f>
        <v>17286490</v>
      </c>
      <c r="K96" s="144" t="b">
        <f>+J96=I55</f>
        <v>1</v>
      </c>
    </row>
    <row r="97" spans="1:21" x14ac:dyDescent="0.3">
      <c r="A97" s="122" t="str">
        <f t="shared" ref="A97" si="56">+A96</f>
        <v>AVRIL</v>
      </c>
      <c r="B97" s="37" t="s">
        <v>64</v>
      </c>
      <c r="C97" s="125">
        <f>+C56</f>
        <v>14616884</v>
      </c>
      <c r="D97" s="49">
        <f>+G56</f>
        <v>0</v>
      </c>
      <c r="E97" s="48"/>
      <c r="F97" s="48"/>
      <c r="G97" s="48"/>
      <c r="H97" s="32">
        <f>+F56</f>
        <v>4000000</v>
      </c>
      <c r="I97" s="50">
        <f>+E56</f>
        <v>5414733</v>
      </c>
      <c r="J97" s="30">
        <f>SUM(C97:G97)-(H97+I97)</f>
        <v>5202151</v>
      </c>
      <c r="K97" s="144" t="b">
        <f>+J97=I56</f>
        <v>1</v>
      </c>
    </row>
    <row r="98" spans="1:21" ht="15.6" x14ac:dyDescent="0.3">
      <c r="C98" s="141">
        <f>SUM(C81:C97)</f>
        <v>36364485</v>
      </c>
      <c r="I98" s="140">
        <f>SUM(I81:I97)</f>
        <v>9121618</v>
      </c>
      <c r="J98" s="105">
        <f>+SUM(J81:J97)</f>
        <v>27242867</v>
      </c>
      <c r="K98" s="5" t="b">
        <f>J98=I70</f>
        <v>1</v>
      </c>
    </row>
    <row r="99" spans="1:21" ht="15.6" x14ac:dyDescent="0.3">
      <c r="C99" s="141"/>
      <c r="I99" s="140"/>
      <c r="J99" s="105"/>
    </row>
    <row r="100" spans="1:21" ht="15.6" x14ac:dyDescent="0.3">
      <c r="A100" s="161"/>
      <c r="B100" s="161"/>
      <c r="C100" s="162"/>
      <c r="D100" s="161"/>
      <c r="E100" s="161"/>
      <c r="F100" s="161"/>
      <c r="G100" s="161"/>
      <c r="H100" s="161"/>
      <c r="I100" s="163"/>
      <c r="J100" s="164"/>
      <c r="K100" s="161"/>
      <c r="L100" s="165"/>
      <c r="M100" s="165"/>
      <c r="N100" s="165"/>
      <c r="O100" s="165"/>
      <c r="P100" s="161"/>
    </row>
    <row r="102" spans="1:21" ht="15.6" x14ac:dyDescent="0.3">
      <c r="A102" s="6" t="s">
        <v>36</v>
      </c>
      <c r="B102" s="6" t="s">
        <v>1</v>
      </c>
      <c r="C102" s="6">
        <v>44986</v>
      </c>
      <c r="D102" s="7" t="s">
        <v>37</v>
      </c>
      <c r="E102" s="7" t="s">
        <v>38</v>
      </c>
      <c r="F102" s="7" t="s">
        <v>39</v>
      </c>
      <c r="G102" s="7" t="s">
        <v>40</v>
      </c>
      <c r="H102" s="6">
        <v>45016</v>
      </c>
      <c r="I102" s="7" t="s">
        <v>41</v>
      </c>
      <c r="K102" s="45"/>
      <c r="L102" s="45" t="s">
        <v>42</v>
      </c>
      <c r="M102" s="45" t="s">
        <v>43</v>
      </c>
      <c r="N102" s="45" t="s">
        <v>44</v>
      </c>
      <c r="O102" s="45" t="s">
        <v>45</v>
      </c>
    </row>
    <row r="103" spans="1:21" x14ac:dyDescent="0.3">
      <c r="A103" s="58" t="str">
        <f>K103</f>
        <v>BCI</v>
      </c>
      <c r="B103" s="59" t="s">
        <v>46</v>
      </c>
      <c r="C103" s="61">
        <v>4918207</v>
      </c>
      <c r="D103" s="61">
        <f>+L103</f>
        <v>0</v>
      </c>
      <c r="E103" s="61">
        <f>+N103</f>
        <v>693345</v>
      </c>
      <c r="F103" s="61">
        <f>+M103</f>
        <v>2000000</v>
      </c>
      <c r="G103" s="61">
        <f t="shared" ref="G103:G117" si="57">+O103</f>
        <v>17494973</v>
      </c>
      <c r="H103" s="61">
        <v>19719835</v>
      </c>
      <c r="I103" s="61">
        <f>+C103+D103-E103-F103+G103</f>
        <v>19719835</v>
      </c>
      <c r="J103" s="9">
        <f>I103-H103</f>
        <v>0</v>
      </c>
      <c r="K103" s="45" t="s">
        <v>24</v>
      </c>
      <c r="L103" s="182"/>
      <c r="M103" s="182">
        <v>2000000</v>
      </c>
      <c r="N103" s="182">
        <v>693345</v>
      </c>
      <c r="O103" s="182">
        <v>17494973</v>
      </c>
      <c r="R103"/>
      <c r="S103"/>
      <c r="T103"/>
      <c r="U103"/>
    </row>
    <row r="104" spans="1:21" x14ac:dyDescent="0.3">
      <c r="A104" s="58" t="str">
        <f t="shared" ref="A104:A117" si="58">K104</f>
        <v>BCI-Sous Compte</v>
      </c>
      <c r="B104" s="59" t="s">
        <v>46</v>
      </c>
      <c r="C104" s="61">
        <v>2231034</v>
      </c>
      <c r="D104" s="61">
        <f t="shared" ref="D104:D115" si="59">+L104</f>
        <v>0</v>
      </c>
      <c r="E104" s="61">
        <f t="shared" ref="E104:E109" si="60">+N104</f>
        <v>2724801</v>
      </c>
      <c r="F104" s="61">
        <f t="shared" ref="F104:F112" si="61">+M104</f>
        <v>4000000</v>
      </c>
      <c r="G104" s="61">
        <f t="shared" si="57"/>
        <v>19110651</v>
      </c>
      <c r="H104" s="61">
        <v>14616884</v>
      </c>
      <c r="I104" s="61">
        <f>+C104+D104-E104-F104+G104</f>
        <v>14616884</v>
      </c>
      <c r="J104" s="9">
        <f t="shared" ref="J104:J111" si="62">I104-H104</f>
        <v>0</v>
      </c>
      <c r="K104" s="45" t="s">
        <v>155</v>
      </c>
      <c r="L104" s="182"/>
      <c r="M104" s="182">
        <v>4000000</v>
      </c>
      <c r="N104" s="182">
        <v>2724801</v>
      </c>
      <c r="O104" s="182">
        <v>19110651</v>
      </c>
      <c r="R104"/>
      <c r="S104"/>
      <c r="T104"/>
      <c r="U104"/>
    </row>
    <row r="105" spans="1:21" x14ac:dyDescent="0.3">
      <c r="A105" s="58" t="str">
        <f t="shared" si="58"/>
        <v>Caisse</v>
      </c>
      <c r="B105" s="59" t="s">
        <v>25</v>
      </c>
      <c r="C105" s="61">
        <v>925495</v>
      </c>
      <c r="D105" s="61">
        <f t="shared" si="59"/>
        <v>6008000</v>
      </c>
      <c r="E105" s="61">
        <f t="shared" si="60"/>
        <v>2280788</v>
      </c>
      <c r="F105" s="61">
        <f t="shared" si="61"/>
        <v>4242000</v>
      </c>
      <c r="G105" s="61">
        <f t="shared" si="57"/>
        <v>0</v>
      </c>
      <c r="H105" s="61">
        <v>410707</v>
      </c>
      <c r="I105" s="61">
        <f>+C105+D105-E105-F105+G105</f>
        <v>410707</v>
      </c>
      <c r="J105" s="102">
        <f t="shared" si="62"/>
        <v>0</v>
      </c>
      <c r="K105" s="45" t="s">
        <v>25</v>
      </c>
      <c r="L105" s="182">
        <v>6008000</v>
      </c>
      <c r="M105" s="182">
        <v>4242000</v>
      </c>
      <c r="N105" s="182">
        <v>2280788</v>
      </c>
      <c r="O105" s="182"/>
      <c r="R105"/>
      <c r="S105"/>
      <c r="T105"/>
      <c r="U105"/>
    </row>
    <row r="106" spans="1:21" x14ac:dyDescent="0.3">
      <c r="A106" s="58" t="str">
        <f t="shared" si="58"/>
        <v>Crépin</v>
      </c>
      <c r="B106" s="59" t="s">
        <v>161</v>
      </c>
      <c r="C106" s="61">
        <v>46045</v>
      </c>
      <c r="D106" s="61">
        <f t="shared" si="59"/>
        <v>1304000</v>
      </c>
      <c r="E106" s="61">
        <f t="shared" si="60"/>
        <v>1144025</v>
      </c>
      <c r="F106" s="61">
        <f t="shared" si="61"/>
        <v>0</v>
      </c>
      <c r="G106" s="61">
        <f t="shared" si="57"/>
        <v>0</v>
      </c>
      <c r="H106" s="61">
        <v>206020</v>
      </c>
      <c r="I106" s="61">
        <f>+C106+D106-E106-F106+G106</f>
        <v>206020</v>
      </c>
      <c r="J106" s="9">
        <f t="shared" si="62"/>
        <v>0</v>
      </c>
      <c r="K106" s="45" t="s">
        <v>47</v>
      </c>
      <c r="L106" s="182">
        <v>1304000</v>
      </c>
      <c r="M106" s="182">
        <v>0</v>
      </c>
      <c r="N106" s="182">
        <v>1144025</v>
      </c>
      <c r="O106" s="182"/>
      <c r="R106"/>
      <c r="S106"/>
      <c r="T106"/>
      <c r="U106"/>
    </row>
    <row r="107" spans="1:21" x14ac:dyDescent="0.3">
      <c r="A107" s="58" t="str">
        <f t="shared" si="58"/>
        <v>D58</v>
      </c>
      <c r="B107" s="59" t="s">
        <v>4</v>
      </c>
      <c r="C107" s="61">
        <v>107500</v>
      </c>
      <c r="D107" s="61">
        <f t="shared" si="59"/>
        <v>692000</v>
      </c>
      <c r="E107" s="61">
        <f t="shared" si="60"/>
        <v>694400</v>
      </c>
      <c r="F107" s="61">
        <f t="shared" si="61"/>
        <v>0</v>
      </c>
      <c r="G107" s="61">
        <f t="shared" si="57"/>
        <v>0</v>
      </c>
      <c r="H107" s="61">
        <v>105100</v>
      </c>
      <c r="I107" s="61">
        <f>+C107+D107-E107-F107+G107</f>
        <v>105100</v>
      </c>
      <c r="J107" s="9">
        <f t="shared" si="62"/>
        <v>0</v>
      </c>
      <c r="K107" s="45" t="s">
        <v>277</v>
      </c>
      <c r="L107" s="182">
        <v>692000</v>
      </c>
      <c r="M107" s="182">
        <v>0</v>
      </c>
      <c r="N107" s="182">
        <v>694400</v>
      </c>
      <c r="O107" s="182"/>
      <c r="R107"/>
      <c r="S107"/>
      <c r="T107"/>
      <c r="U107"/>
    </row>
    <row r="108" spans="1:21" x14ac:dyDescent="0.3">
      <c r="A108" s="58" t="str">
        <f t="shared" si="58"/>
        <v>Donald</v>
      </c>
      <c r="B108" s="59" t="s">
        <v>161</v>
      </c>
      <c r="C108" s="61">
        <v>8650</v>
      </c>
      <c r="D108" s="61">
        <f t="shared" si="59"/>
        <v>130000</v>
      </c>
      <c r="E108" s="61">
        <f t="shared" si="60"/>
        <v>119300</v>
      </c>
      <c r="F108" s="61">
        <f t="shared" si="61"/>
        <v>0</v>
      </c>
      <c r="G108" s="61">
        <f t="shared" si="57"/>
        <v>0</v>
      </c>
      <c r="H108" s="61">
        <v>19350</v>
      </c>
      <c r="I108" s="61">
        <f t="shared" ref="I108:I109" si="63">+C108+D108-E108-F108+G108</f>
        <v>19350</v>
      </c>
      <c r="J108" s="9">
        <f t="shared" si="62"/>
        <v>0</v>
      </c>
      <c r="K108" s="45" t="s">
        <v>263</v>
      </c>
      <c r="L108" s="182">
        <v>130000</v>
      </c>
      <c r="M108" s="182">
        <v>0</v>
      </c>
      <c r="N108" s="182">
        <v>119300</v>
      </c>
      <c r="O108" s="182"/>
      <c r="R108"/>
      <c r="S108"/>
      <c r="T108"/>
      <c r="U108"/>
    </row>
    <row r="109" spans="1:21" x14ac:dyDescent="0.3">
      <c r="A109" s="58" t="str">
        <f t="shared" si="58"/>
        <v>Evariste</v>
      </c>
      <c r="B109" s="59" t="s">
        <v>162</v>
      </c>
      <c r="C109" s="61">
        <v>18325</v>
      </c>
      <c r="D109" s="61">
        <f t="shared" si="59"/>
        <v>164000</v>
      </c>
      <c r="E109" s="61">
        <f t="shared" si="60"/>
        <v>156900</v>
      </c>
      <c r="F109" s="61">
        <f t="shared" si="61"/>
        <v>0</v>
      </c>
      <c r="G109" s="61">
        <f t="shared" si="57"/>
        <v>0</v>
      </c>
      <c r="H109" s="61">
        <v>25425</v>
      </c>
      <c r="I109" s="61">
        <f t="shared" si="63"/>
        <v>25425</v>
      </c>
      <c r="J109" s="9">
        <f t="shared" si="62"/>
        <v>0</v>
      </c>
      <c r="K109" s="45" t="s">
        <v>31</v>
      </c>
      <c r="L109" s="182">
        <v>164000</v>
      </c>
      <c r="M109" s="182">
        <v>0</v>
      </c>
      <c r="N109" s="182">
        <v>156900</v>
      </c>
      <c r="O109" s="182"/>
      <c r="R109"/>
      <c r="S109"/>
      <c r="T109"/>
      <c r="U109"/>
    </row>
    <row r="110" spans="1:21" x14ac:dyDescent="0.3">
      <c r="A110" s="58" t="str">
        <f t="shared" si="58"/>
        <v>I55S</v>
      </c>
      <c r="B110" s="116" t="s">
        <v>4</v>
      </c>
      <c r="C110" s="118">
        <v>233614</v>
      </c>
      <c r="D110" s="118">
        <f t="shared" si="59"/>
        <v>0</v>
      </c>
      <c r="E110" s="118">
        <f>+N110</f>
        <v>0</v>
      </c>
      <c r="F110" s="118">
        <f t="shared" si="61"/>
        <v>0</v>
      </c>
      <c r="G110" s="118">
        <f t="shared" si="57"/>
        <v>0</v>
      </c>
      <c r="H110" s="118">
        <v>233614</v>
      </c>
      <c r="I110" s="118">
        <f>+C110+D110-E110-F110+G110</f>
        <v>233614</v>
      </c>
      <c r="J110" s="9">
        <f t="shared" si="62"/>
        <v>0</v>
      </c>
      <c r="K110" s="45" t="s">
        <v>84</v>
      </c>
      <c r="L110" s="182"/>
      <c r="M110" s="182"/>
      <c r="N110" s="182"/>
      <c r="O110" s="182"/>
      <c r="R110"/>
      <c r="S110"/>
      <c r="T110"/>
      <c r="U110"/>
    </row>
    <row r="111" spans="1:21" x14ac:dyDescent="0.3">
      <c r="A111" s="58" t="str">
        <f t="shared" si="58"/>
        <v>I73X</v>
      </c>
      <c r="B111" s="116" t="s">
        <v>4</v>
      </c>
      <c r="C111" s="118">
        <v>249769</v>
      </c>
      <c r="D111" s="118">
        <f t="shared" si="59"/>
        <v>0</v>
      </c>
      <c r="E111" s="118">
        <f>+N111</f>
        <v>0</v>
      </c>
      <c r="F111" s="118">
        <f t="shared" si="61"/>
        <v>0</v>
      </c>
      <c r="G111" s="118">
        <f t="shared" si="57"/>
        <v>0</v>
      </c>
      <c r="H111" s="118">
        <v>249769</v>
      </c>
      <c r="I111" s="118">
        <f t="shared" ref="I111:I115" si="64">+C111+D111-E111-F111+G111</f>
        <v>249769</v>
      </c>
      <c r="J111" s="9">
        <f t="shared" si="62"/>
        <v>0</v>
      </c>
      <c r="K111" s="45" t="s">
        <v>83</v>
      </c>
      <c r="L111" s="182"/>
      <c r="M111" s="182"/>
      <c r="N111" s="182"/>
      <c r="O111" s="182"/>
      <c r="R111"/>
      <c r="S111"/>
      <c r="T111"/>
      <c r="U111"/>
    </row>
    <row r="112" spans="1:21" s="189" customFormat="1" ht="15.6" x14ac:dyDescent="0.3">
      <c r="A112" s="58" t="str">
        <f t="shared" si="58"/>
        <v>Grace</v>
      </c>
      <c r="B112" s="59" t="s">
        <v>2</v>
      </c>
      <c r="C112" s="185">
        <v>11250</v>
      </c>
      <c r="D112" s="61">
        <f t="shared" si="59"/>
        <v>363000</v>
      </c>
      <c r="E112" s="61">
        <f t="shared" ref="E112" si="65">+N112</f>
        <v>182650</v>
      </c>
      <c r="F112" s="61">
        <f t="shared" si="61"/>
        <v>25000</v>
      </c>
      <c r="G112" s="61">
        <f t="shared" si="57"/>
        <v>0</v>
      </c>
      <c r="H112" s="185">
        <v>166600</v>
      </c>
      <c r="I112" s="185">
        <f t="shared" si="64"/>
        <v>166600</v>
      </c>
      <c r="J112" s="186">
        <f>I112-H112</f>
        <v>0</v>
      </c>
      <c r="K112" s="187" t="s">
        <v>150</v>
      </c>
      <c r="L112" s="182">
        <v>363000</v>
      </c>
      <c r="M112" s="182">
        <v>25000</v>
      </c>
      <c r="N112" s="182">
        <v>182650</v>
      </c>
      <c r="O112" s="182"/>
      <c r="R112"/>
      <c r="S112"/>
      <c r="T112"/>
      <c r="U112"/>
    </row>
    <row r="113" spans="1:21" x14ac:dyDescent="0.3">
      <c r="A113" s="58" t="str">
        <f t="shared" si="58"/>
        <v>Hurielle</v>
      </c>
      <c r="B113" s="98" t="s">
        <v>161</v>
      </c>
      <c r="C113" s="61">
        <v>39355</v>
      </c>
      <c r="D113" s="61">
        <f t="shared" si="59"/>
        <v>185000</v>
      </c>
      <c r="E113" s="61">
        <f>+N113</f>
        <v>188350</v>
      </c>
      <c r="F113" s="61">
        <f>+M113</f>
        <v>8000</v>
      </c>
      <c r="G113" s="61">
        <f t="shared" si="57"/>
        <v>0</v>
      </c>
      <c r="H113" s="61">
        <v>28005</v>
      </c>
      <c r="I113" s="61">
        <f t="shared" si="64"/>
        <v>28005</v>
      </c>
      <c r="J113" s="9">
        <f t="shared" ref="J113" si="66">I113-H113</f>
        <v>0</v>
      </c>
      <c r="K113" s="45" t="s">
        <v>204</v>
      </c>
      <c r="L113" s="182">
        <v>185000</v>
      </c>
      <c r="M113" s="182">
        <v>8000</v>
      </c>
      <c r="N113" s="182">
        <v>188350</v>
      </c>
      <c r="O113" s="182"/>
      <c r="R113"/>
      <c r="S113"/>
      <c r="T113"/>
      <c r="U113"/>
    </row>
    <row r="114" spans="1:21" s="189" customFormat="1" ht="15.6" x14ac:dyDescent="0.3">
      <c r="A114" s="58" t="str">
        <f t="shared" si="58"/>
        <v>Merveille</v>
      </c>
      <c r="B114" s="59" t="s">
        <v>2</v>
      </c>
      <c r="C114" s="185">
        <v>14300</v>
      </c>
      <c r="D114" s="61">
        <f t="shared" si="59"/>
        <v>35000</v>
      </c>
      <c r="E114" s="61">
        <f t="shared" ref="E114:E117" si="67">+N114</f>
        <v>30500</v>
      </c>
      <c r="F114" s="61">
        <f t="shared" ref="F114:F117" si="68">+M114</f>
        <v>0</v>
      </c>
      <c r="G114" s="61">
        <f t="shared" si="57"/>
        <v>0</v>
      </c>
      <c r="H114" s="185">
        <v>18800</v>
      </c>
      <c r="I114" s="185">
        <f t="shared" si="64"/>
        <v>18800</v>
      </c>
      <c r="J114" s="186">
        <f>I114-H114</f>
        <v>0</v>
      </c>
      <c r="K114" s="187" t="s">
        <v>93</v>
      </c>
      <c r="L114" s="182">
        <v>35000</v>
      </c>
      <c r="M114" s="182">
        <v>0</v>
      </c>
      <c r="N114" s="182">
        <v>30500</v>
      </c>
      <c r="O114" s="182"/>
      <c r="R114"/>
      <c r="S114"/>
      <c r="T114"/>
      <c r="U114"/>
    </row>
    <row r="115" spans="1:21" x14ac:dyDescent="0.3">
      <c r="A115" s="58" t="str">
        <f t="shared" si="58"/>
        <v>P29</v>
      </c>
      <c r="B115" s="98" t="s">
        <v>4</v>
      </c>
      <c r="C115" s="61">
        <v>100600</v>
      </c>
      <c r="D115" s="61">
        <f t="shared" si="59"/>
        <v>589000</v>
      </c>
      <c r="E115" s="61">
        <f t="shared" si="67"/>
        <v>453600</v>
      </c>
      <c r="F115" s="61">
        <f t="shared" si="68"/>
        <v>0</v>
      </c>
      <c r="G115" s="61">
        <f t="shared" si="57"/>
        <v>0</v>
      </c>
      <c r="H115" s="61">
        <v>236000</v>
      </c>
      <c r="I115" s="61">
        <f t="shared" si="64"/>
        <v>236000</v>
      </c>
      <c r="J115" s="9">
        <f t="shared" ref="J115:J116" si="69">I115-H115</f>
        <v>0</v>
      </c>
      <c r="K115" s="45" t="s">
        <v>29</v>
      </c>
      <c r="L115" s="182">
        <v>589000</v>
      </c>
      <c r="M115" s="182">
        <v>0</v>
      </c>
      <c r="N115" s="182">
        <v>453600</v>
      </c>
      <c r="O115" s="182"/>
      <c r="R115"/>
      <c r="S115"/>
      <c r="T115"/>
      <c r="U115"/>
    </row>
    <row r="116" spans="1:21" x14ac:dyDescent="0.3">
      <c r="A116" s="58" t="str">
        <f t="shared" si="58"/>
        <v>T73</v>
      </c>
      <c r="B116" s="59" t="s">
        <v>4</v>
      </c>
      <c r="C116" s="61">
        <v>208300</v>
      </c>
      <c r="D116" s="61">
        <f>+L116</f>
        <v>805000</v>
      </c>
      <c r="E116" s="61">
        <f t="shared" si="67"/>
        <v>701600</v>
      </c>
      <c r="F116" s="61">
        <f t="shared" si="68"/>
        <v>0</v>
      </c>
      <c r="G116" s="61">
        <f t="shared" si="57"/>
        <v>0</v>
      </c>
      <c r="H116" s="61">
        <v>311700</v>
      </c>
      <c r="I116" s="61">
        <f>+C116+D116-E116-F116+G116</f>
        <v>311700</v>
      </c>
      <c r="J116" s="9">
        <f t="shared" si="69"/>
        <v>0</v>
      </c>
      <c r="K116" s="45" t="s">
        <v>276</v>
      </c>
      <c r="L116" s="182">
        <v>805000</v>
      </c>
      <c r="M116" s="182">
        <v>0</v>
      </c>
      <c r="N116" s="182">
        <v>701600</v>
      </c>
      <c r="O116" s="182"/>
    </row>
    <row r="117" spans="1:21" x14ac:dyDescent="0.3">
      <c r="A117" s="58" t="str">
        <f t="shared" si="58"/>
        <v>Tiffany</v>
      </c>
      <c r="B117" s="59" t="s">
        <v>2</v>
      </c>
      <c r="C117" s="61">
        <v>26676</v>
      </c>
      <c r="D117" s="61">
        <f t="shared" ref="D117" si="70">+L117</f>
        <v>0</v>
      </c>
      <c r="E117" s="61">
        <f t="shared" si="67"/>
        <v>10000</v>
      </c>
      <c r="F117" s="61">
        <f t="shared" si="68"/>
        <v>0</v>
      </c>
      <c r="G117" s="61">
        <f t="shared" si="57"/>
        <v>0</v>
      </c>
      <c r="H117" s="61">
        <v>16676</v>
      </c>
      <c r="I117" s="61">
        <f>+C117+D117-E117-F117+G117</f>
        <v>16676</v>
      </c>
      <c r="J117" s="9">
        <f>I117-H117</f>
        <v>0</v>
      </c>
      <c r="K117" s="45" t="s">
        <v>113</v>
      </c>
      <c r="L117" s="182">
        <v>0</v>
      </c>
      <c r="M117" s="182">
        <v>0</v>
      </c>
      <c r="N117" s="182">
        <v>10000</v>
      </c>
      <c r="O117" s="182"/>
    </row>
    <row r="118" spans="1:21" x14ac:dyDescent="0.3">
      <c r="A118" s="10" t="s">
        <v>50</v>
      </c>
      <c r="B118" s="11"/>
      <c r="C118" s="12">
        <f t="shared" ref="C118:I118" si="71">SUM(C103:C117)</f>
        <v>9139120</v>
      </c>
      <c r="D118" s="57">
        <f t="shared" si="71"/>
        <v>10275000</v>
      </c>
      <c r="E118" s="57">
        <f t="shared" si="71"/>
        <v>9380259</v>
      </c>
      <c r="F118" s="57">
        <f t="shared" si="71"/>
        <v>10275000</v>
      </c>
      <c r="G118" s="57">
        <f t="shared" si="71"/>
        <v>36605624</v>
      </c>
      <c r="H118" s="57">
        <f t="shared" si="71"/>
        <v>36364485</v>
      </c>
      <c r="I118" s="57">
        <f t="shared" si="71"/>
        <v>36364485</v>
      </c>
      <c r="J118" s="9">
        <f>I118-H118</f>
        <v>0</v>
      </c>
      <c r="K118" s="3"/>
      <c r="L118" s="47">
        <f>+SUM(L103:L117)</f>
        <v>10275000</v>
      </c>
      <c r="M118" s="47">
        <f>+SUM(M103:M117)</f>
        <v>10275000</v>
      </c>
      <c r="N118" s="47">
        <f>+SUM(N103:N117)</f>
        <v>9380259</v>
      </c>
      <c r="O118" s="47">
        <f>+SUM(O103:O117)</f>
        <v>36605624</v>
      </c>
    </row>
    <row r="119" spans="1:21" x14ac:dyDescent="0.3">
      <c r="A119" s="10"/>
      <c r="B119" s="11"/>
      <c r="C119" s="12"/>
      <c r="D119" s="13"/>
      <c r="E119" s="12"/>
      <c r="F119" s="13"/>
      <c r="G119" s="12"/>
      <c r="H119" s="12"/>
      <c r="I119" s="134" t="b">
        <f>I118=D121</f>
        <v>1</v>
      </c>
      <c r="J119" s="9">
        <f>H118-I118</f>
        <v>0</v>
      </c>
      <c r="L119" s="5"/>
      <c r="M119" s="5"/>
      <c r="N119" s="5"/>
      <c r="O119" s="5"/>
    </row>
    <row r="120" spans="1:21" ht="15.6" x14ac:dyDescent="0.3">
      <c r="A120" s="10" t="s">
        <v>290</v>
      </c>
      <c r="B120" s="11" t="s">
        <v>197</v>
      </c>
      <c r="C120" s="12" t="s">
        <v>291</v>
      </c>
      <c r="D120" s="12" t="s">
        <v>292</v>
      </c>
      <c r="E120" s="12" t="s">
        <v>51</v>
      </c>
      <c r="F120" s="12"/>
      <c r="G120" s="12">
        <f>+D118-F118</f>
        <v>0</v>
      </c>
      <c r="H120" s="12"/>
      <c r="I120" s="218"/>
    </row>
    <row r="121" spans="1:21" x14ac:dyDescent="0.3">
      <c r="A121" s="14">
        <f>C118</f>
        <v>9139120</v>
      </c>
      <c r="B121" s="15">
        <f>G118</f>
        <v>36605624</v>
      </c>
      <c r="C121" s="12">
        <f>E118</f>
        <v>9380259</v>
      </c>
      <c r="D121" s="12">
        <f>A121+B121-C121</f>
        <v>36364485</v>
      </c>
      <c r="E121" s="13">
        <f>I118-D121</f>
        <v>0</v>
      </c>
      <c r="F121" s="12"/>
      <c r="G121" s="12"/>
      <c r="H121" s="12"/>
      <c r="I121" s="12"/>
    </row>
    <row r="122" spans="1:21" x14ac:dyDescent="0.3">
      <c r="A122" s="14"/>
      <c r="B122" s="15"/>
      <c r="C122" s="12"/>
      <c r="D122" s="12"/>
      <c r="E122" s="13"/>
      <c r="F122" s="12"/>
      <c r="G122" s="12"/>
      <c r="H122" s="12"/>
      <c r="I122" s="12"/>
    </row>
    <row r="123" spans="1:21" x14ac:dyDescent="0.3">
      <c r="A123" s="16" t="s">
        <v>52</v>
      </c>
      <c r="B123" s="16"/>
      <c r="C123" s="16"/>
      <c r="D123" s="17"/>
      <c r="E123" s="17"/>
      <c r="F123" s="17"/>
      <c r="G123" s="17"/>
      <c r="H123" s="17"/>
      <c r="I123" s="17"/>
    </row>
    <row r="124" spans="1:21" x14ac:dyDescent="0.3">
      <c r="A124" s="18" t="s">
        <v>293</v>
      </c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21" x14ac:dyDescent="0.3">
      <c r="A125" s="19"/>
      <c r="B125" s="17"/>
      <c r="C125" s="20"/>
      <c r="D125" s="20"/>
      <c r="E125" s="20"/>
      <c r="F125" s="20"/>
      <c r="G125" s="20"/>
      <c r="H125" s="17"/>
      <c r="I125" s="17"/>
    </row>
    <row r="126" spans="1:21" ht="45" customHeight="1" x14ac:dyDescent="0.3">
      <c r="A126" s="170" t="s">
        <v>53</v>
      </c>
      <c r="B126" s="172" t="s">
        <v>54</v>
      </c>
      <c r="C126" s="174" t="s">
        <v>294</v>
      </c>
      <c r="D126" s="175" t="s">
        <v>55</v>
      </c>
      <c r="E126" s="176"/>
      <c r="F126" s="176"/>
      <c r="G126" s="177"/>
      <c r="H126" s="178" t="s">
        <v>56</v>
      </c>
      <c r="I126" s="166" t="s">
        <v>57</v>
      </c>
      <c r="J126" s="213"/>
    </row>
    <row r="127" spans="1:21" ht="28.5" customHeight="1" x14ac:dyDescent="0.3">
      <c r="A127" s="171"/>
      <c r="B127" s="173"/>
      <c r="C127" s="22"/>
      <c r="D127" s="21" t="s">
        <v>24</v>
      </c>
      <c r="E127" s="21" t="s">
        <v>25</v>
      </c>
      <c r="F127" s="22" t="s">
        <v>123</v>
      </c>
      <c r="G127" s="21" t="s">
        <v>58</v>
      </c>
      <c r="H127" s="179"/>
      <c r="I127" s="167"/>
      <c r="J127" s="169" t="s">
        <v>295</v>
      </c>
      <c r="K127" s="143"/>
    </row>
    <row r="128" spans="1:21" x14ac:dyDescent="0.3">
      <c r="A128" s="23"/>
      <c r="B128" s="24" t="s">
        <v>59</v>
      </c>
      <c r="C128" s="25"/>
      <c r="D128" s="25"/>
      <c r="E128" s="25"/>
      <c r="F128" s="25"/>
      <c r="G128" s="25"/>
      <c r="H128" s="25"/>
      <c r="I128" s="26"/>
      <c r="J128" s="169"/>
      <c r="K128" s="143"/>
    </row>
    <row r="129" spans="1:11" x14ac:dyDescent="0.3">
      <c r="A129" s="122" t="s">
        <v>120</v>
      </c>
      <c r="B129" s="127" t="s">
        <v>47</v>
      </c>
      <c r="C129" s="32">
        <f>+C106</f>
        <v>46045</v>
      </c>
      <c r="D129" s="31"/>
      <c r="E129" s="32">
        <f>+D106</f>
        <v>1304000</v>
      </c>
      <c r="F129" s="32"/>
      <c r="G129" s="32"/>
      <c r="H129" s="55">
        <f>+F106</f>
        <v>0</v>
      </c>
      <c r="I129" s="32">
        <f>+E106</f>
        <v>1144025</v>
      </c>
      <c r="J129" s="30">
        <f t="shared" ref="J129:J132" si="72">+SUM(C129:G129)-(H129+I129)</f>
        <v>206020</v>
      </c>
      <c r="K129" s="144" t="b">
        <f t="shared" ref="K129:K140" si="73">J129=I106</f>
        <v>1</v>
      </c>
    </row>
    <row r="130" spans="1:11" x14ac:dyDescent="0.3">
      <c r="A130" s="122" t="str">
        <f>+A129</f>
        <v>MARS</v>
      </c>
      <c r="B130" s="127" t="s">
        <v>277</v>
      </c>
      <c r="C130" s="32">
        <f t="shared" ref="C130:C132" si="74">+C107</f>
        <v>107500</v>
      </c>
      <c r="D130" s="31"/>
      <c r="E130" s="32">
        <f t="shared" ref="E130:E132" si="75">+D107</f>
        <v>692000</v>
      </c>
      <c r="F130" s="32"/>
      <c r="G130" s="32"/>
      <c r="H130" s="55">
        <f t="shared" ref="H130:H132" si="76">+F107</f>
        <v>0</v>
      </c>
      <c r="I130" s="32">
        <f t="shared" ref="I130:I132" si="77">+E107</f>
        <v>694400</v>
      </c>
      <c r="J130" s="30">
        <f t="shared" si="72"/>
        <v>105100</v>
      </c>
      <c r="K130" s="144" t="b">
        <f t="shared" si="73"/>
        <v>1</v>
      </c>
    </row>
    <row r="131" spans="1:11" x14ac:dyDescent="0.3">
      <c r="A131" s="122" t="str">
        <f t="shared" ref="A131:A140" si="78">+A130</f>
        <v>MARS</v>
      </c>
      <c r="B131" s="127" t="s">
        <v>263</v>
      </c>
      <c r="C131" s="32">
        <f t="shared" si="74"/>
        <v>8650</v>
      </c>
      <c r="D131" s="31"/>
      <c r="E131" s="32">
        <f t="shared" si="75"/>
        <v>130000</v>
      </c>
      <c r="F131" s="32"/>
      <c r="G131" s="32"/>
      <c r="H131" s="55">
        <f t="shared" si="76"/>
        <v>0</v>
      </c>
      <c r="I131" s="32">
        <f t="shared" si="77"/>
        <v>119300</v>
      </c>
      <c r="J131" s="30">
        <f t="shared" si="72"/>
        <v>19350</v>
      </c>
      <c r="K131" s="144" t="b">
        <f t="shared" si="73"/>
        <v>1</v>
      </c>
    </row>
    <row r="132" spans="1:11" x14ac:dyDescent="0.3">
      <c r="A132" s="122" t="str">
        <f t="shared" si="78"/>
        <v>MARS</v>
      </c>
      <c r="B132" s="127" t="s">
        <v>31</v>
      </c>
      <c r="C132" s="32">
        <f t="shared" si="74"/>
        <v>18325</v>
      </c>
      <c r="D132" s="31"/>
      <c r="E132" s="32">
        <f t="shared" si="75"/>
        <v>164000</v>
      </c>
      <c r="F132" s="32"/>
      <c r="G132" s="32"/>
      <c r="H132" s="55">
        <f t="shared" si="76"/>
        <v>0</v>
      </c>
      <c r="I132" s="32">
        <f t="shared" si="77"/>
        <v>156900</v>
      </c>
      <c r="J132" s="30">
        <f t="shared" si="72"/>
        <v>25425</v>
      </c>
      <c r="K132" s="144" t="b">
        <f t="shared" si="73"/>
        <v>1</v>
      </c>
    </row>
    <row r="133" spans="1:11" x14ac:dyDescent="0.3">
      <c r="A133" s="122" t="str">
        <f t="shared" si="78"/>
        <v>MARS</v>
      </c>
      <c r="B133" s="129" t="s">
        <v>84</v>
      </c>
      <c r="C133" s="120">
        <f>+C110</f>
        <v>233614</v>
      </c>
      <c r="D133" s="123"/>
      <c r="E133" s="120">
        <f>+D110</f>
        <v>0</v>
      </c>
      <c r="F133" s="137"/>
      <c r="G133" s="137"/>
      <c r="H133" s="155">
        <f>+F110</f>
        <v>0</v>
      </c>
      <c r="I133" s="120">
        <f>+E110</f>
        <v>0</v>
      </c>
      <c r="J133" s="121">
        <f>+SUM(C133:G133)-(H133+I133)</f>
        <v>233614</v>
      </c>
      <c r="K133" s="144" t="b">
        <f t="shared" si="73"/>
        <v>1</v>
      </c>
    </row>
    <row r="134" spans="1:11" x14ac:dyDescent="0.3">
      <c r="A134" s="122" t="str">
        <f t="shared" si="78"/>
        <v>MARS</v>
      </c>
      <c r="B134" s="129" t="s">
        <v>83</v>
      </c>
      <c r="C134" s="120">
        <f>+C111</f>
        <v>249769</v>
      </c>
      <c r="D134" s="123"/>
      <c r="E134" s="120">
        <f>+D111</f>
        <v>0</v>
      </c>
      <c r="F134" s="137"/>
      <c r="G134" s="137"/>
      <c r="H134" s="155">
        <f>+F111</f>
        <v>0</v>
      </c>
      <c r="I134" s="120">
        <f>+E111</f>
        <v>0</v>
      </c>
      <c r="J134" s="121">
        <f t="shared" ref="J134:J140" si="79">+SUM(C134:G134)-(H134+I134)</f>
        <v>249769</v>
      </c>
      <c r="K134" s="144" t="b">
        <f t="shared" si="73"/>
        <v>1</v>
      </c>
    </row>
    <row r="135" spans="1:11" x14ac:dyDescent="0.3">
      <c r="A135" s="122" t="str">
        <f t="shared" si="78"/>
        <v>MARS</v>
      </c>
      <c r="B135" s="127" t="s">
        <v>150</v>
      </c>
      <c r="C135" s="32">
        <f>+C112</f>
        <v>11250</v>
      </c>
      <c r="D135" s="31"/>
      <c r="E135" s="32">
        <f>+D112</f>
        <v>363000</v>
      </c>
      <c r="F135" s="32"/>
      <c r="G135" s="104"/>
      <c r="H135" s="55">
        <f>+F112</f>
        <v>25000</v>
      </c>
      <c r="I135" s="32">
        <f>+E112</f>
        <v>182650</v>
      </c>
      <c r="J135" s="30">
        <f t="shared" si="79"/>
        <v>166600</v>
      </c>
      <c r="K135" s="144" t="b">
        <f t="shared" si="73"/>
        <v>1</v>
      </c>
    </row>
    <row r="136" spans="1:11" x14ac:dyDescent="0.3">
      <c r="A136" s="122" t="str">
        <f t="shared" si="78"/>
        <v>MARS</v>
      </c>
      <c r="B136" s="127" t="s">
        <v>204</v>
      </c>
      <c r="C136" s="32">
        <f>+C113</f>
        <v>39355</v>
      </c>
      <c r="D136" s="31"/>
      <c r="E136" s="32">
        <f>+D113</f>
        <v>185000</v>
      </c>
      <c r="F136" s="32"/>
      <c r="G136" s="104"/>
      <c r="H136" s="55">
        <f>+F113</f>
        <v>8000</v>
      </c>
      <c r="I136" s="32">
        <f>+E113</f>
        <v>188350</v>
      </c>
      <c r="J136" s="30">
        <f t="shared" si="79"/>
        <v>28005</v>
      </c>
      <c r="K136" s="144" t="b">
        <f t="shared" si="73"/>
        <v>1</v>
      </c>
    </row>
    <row r="137" spans="1:11" x14ac:dyDescent="0.3">
      <c r="A137" s="122" t="str">
        <f>A136</f>
        <v>MARS</v>
      </c>
      <c r="B137" s="127" t="s">
        <v>93</v>
      </c>
      <c r="C137" s="32">
        <f t="shared" ref="C137:C140" si="80">+C114</f>
        <v>14300</v>
      </c>
      <c r="D137" s="31"/>
      <c r="E137" s="32">
        <f t="shared" ref="E137:E140" si="81">+D114</f>
        <v>35000</v>
      </c>
      <c r="F137" s="32"/>
      <c r="G137" s="104"/>
      <c r="H137" s="55">
        <f t="shared" ref="H137:H140" si="82">+F114</f>
        <v>0</v>
      </c>
      <c r="I137" s="32">
        <f t="shared" ref="I137:I140" si="83">+E114</f>
        <v>30500</v>
      </c>
      <c r="J137" s="30">
        <f t="shared" si="79"/>
        <v>18800</v>
      </c>
      <c r="K137" s="144" t="b">
        <f t="shared" si="73"/>
        <v>1</v>
      </c>
    </row>
    <row r="138" spans="1:11" x14ac:dyDescent="0.3">
      <c r="A138" s="122" t="str">
        <f t="shared" si="78"/>
        <v>MARS</v>
      </c>
      <c r="B138" s="127" t="s">
        <v>29</v>
      </c>
      <c r="C138" s="32">
        <f t="shared" si="80"/>
        <v>100600</v>
      </c>
      <c r="D138" s="31"/>
      <c r="E138" s="32">
        <f t="shared" si="81"/>
        <v>589000</v>
      </c>
      <c r="F138" s="32"/>
      <c r="G138" s="104"/>
      <c r="H138" s="55">
        <f t="shared" si="82"/>
        <v>0</v>
      </c>
      <c r="I138" s="32">
        <f t="shared" si="83"/>
        <v>453600</v>
      </c>
      <c r="J138" s="30">
        <f t="shared" si="79"/>
        <v>236000</v>
      </c>
      <c r="K138" s="144" t="b">
        <f t="shared" si="73"/>
        <v>1</v>
      </c>
    </row>
    <row r="139" spans="1:11" x14ac:dyDescent="0.3">
      <c r="A139" s="122" t="str">
        <f t="shared" si="78"/>
        <v>MARS</v>
      </c>
      <c r="B139" s="128" t="s">
        <v>276</v>
      </c>
      <c r="C139" s="32">
        <f t="shared" si="80"/>
        <v>208300</v>
      </c>
      <c r="D139" s="119"/>
      <c r="E139" s="32">
        <f t="shared" si="81"/>
        <v>805000</v>
      </c>
      <c r="F139" s="51"/>
      <c r="G139" s="138"/>
      <c r="H139" s="55">
        <f t="shared" si="82"/>
        <v>0</v>
      </c>
      <c r="I139" s="32">
        <f t="shared" si="83"/>
        <v>701600</v>
      </c>
      <c r="J139" s="30">
        <f t="shared" si="79"/>
        <v>311700</v>
      </c>
      <c r="K139" s="144" t="b">
        <f t="shared" si="73"/>
        <v>1</v>
      </c>
    </row>
    <row r="140" spans="1:11" x14ac:dyDescent="0.3">
      <c r="A140" s="122" t="str">
        <f t="shared" si="78"/>
        <v>MARS</v>
      </c>
      <c r="B140" s="128" t="s">
        <v>113</v>
      </c>
      <c r="C140" s="32">
        <f t="shared" si="80"/>
        <v>26676</v>
      </c>
      <c r="D140" s="119"/>
      <c r="E140" s="32">
        <f t="shared" si="81"/>
        <v>0</v>
      </c>
      <c r="F140" s="51"/>
      <c r="G140" s="138"/>
      <c r="H140" s="55">
        <f t="shared" si="82"/>
        <v>0</v>
      </c>
      <c r="I140" s="32">
        <f t="shared" si="83"/>
        <v>10000</v>
      </c>
      <c r="J140" s="30">
        <f t="shared" si="79"/>
        <v>16676</v>
      </c>
      <c r="K140" s="144" t="b">
        <f t="shared" si="73"/>
        <v>1</v>
      </c>
    </row>
    <row r="141" spans="1:11" x14ac:dyDescent="0.3">
      <c r="A141" s="34" t="s">
        <v>60</v>
      </c>
      <c r="B141" s="35"/>
      <c r="C141" s="35"/>
      <c r="D141" s="35"/>
      <c r="E141" s="35"/>
      <c r="F141" s="35"/>
      <c r="G141" s="35"/>
      <c r="H141" s="35"/>
      <c r="I141" s="35"/>
      <c r="J141" s="36"/>
      <c r="K141" s="143"/>
    </row>
    <row r="142" spans="1:11" x14ac:dyDescent="0.3">
      <c r="A142" s="122" t="str">
        <f>A140</f>
        <v>MARS</v>
      </c>
      <c r="B142" s="37" t="s">
        <v>61</v>
      </c>
      <c r="C142" s="38">
        <f>+C105</f>
        <v>925495</v>
      </c>
      <c r="D142" s="49"/>
      <c r="E142" s="49">
        <f>D105</f>
        <v>6008000</v>
      </c>
      <c r="F142" s="49"/>
      <c r="G142" s="125"/>
      <c r="H142" s="51">
        <f>+F105</f>
        <v>4242000</v>
      </c>
      <c r="I142" s="126">
        <f>+E105</f>
        <v>2280788</v>
      </c>
      <c r="J142" s="30">
        <f>+SUM(C142:G142)-(H142+I142)</f>
        <v>410707</v>
      </c>
      <c r="K142" s="144" t="b">
        <f>J142=I105</f>
        <v>1</v>
      </c>
    </row>
    <row r="143" spans="1:11" x14ac:dyDescent="0.3">
      <c r="A143" s="43" t="s">
        <v>62</v>
      </c>
      <c r="B143" s="24"/>
      <c r="C143" s="35"/>
      <c r="D143" s="24"/>
      <c r="E143" s="24"/>
      <c r="F143" s="24"/>
      <c r="G143" s="24"/>
      <c r="H143" s="24"/>
      <c r="I143" s="24"/>
      <c r="J143" s="36"/>
      <c r="K143" s="143"/>
    </row>
    <row r="144" spans="1:11" x14ac:dyDescent="0.3">
      <c r="A144" s="122" t="str">
        <f>+A142</f>
        <v>MARS</v>
      </c>
      <c r="B144" s="37" t="s">
        <v>24</v>
      </c>
      <c r="C144" s="125">
        <f>+C103</f>
        <v>4918207</v>
      </c>
      <c r="D144" s="132">
        <f>+G103</f>
        <v>17494973</v>
      </c>
      <c r="E144" s="49"/>
      <c r="F144" s="49"/>
      <c r="G144" s="49"/>
      <c r="H144" s="51">
        <f>+F103</f>
        <v>2000000</v>
      </c>
      <c r="I144" s="53">
        <f>+E103</f>
        <v>693345</v>
      </c>
      <c r="J144" s="30">
        <f>+SUM(C144:G144)-(H144+I144)</f>
        <v>19719835</v>
      </c>
      <c r="K144" s="144" t="b">
        <f>+J144=I103</f>
        <v>1</v>
      </c>
    </row>
    <row r="145" spans="1:16" x14ac:dyDescent="0.3">
      <c r="A145" s="122" t="str">
        <f t="shared" ref="A145" si="84">+A144</f>
        <v>MARS</v>
      </c>
      <c r="B145" s="37" t="s">
        <v>64</v>
      </c>
      <c r="C145" s="125">
        <f>+C104</f>
        <v>2231034</v>
      </c>
      <c r="D145" s="49">
        <f>+G104</f>
        <v>19110651</v>
      </c>
      <c r="E145" s="48"/>
      <c r="F145" s="48"/>
      <c r="G145" s="48"/>
      <c r="H145" s="32">
        <f>+F104</f>
        <v>4000000</v>
      </c>
      <c r="I145" s="50">
        <f>+E104</f>
        <v>2724801</v>
      </c>
      <c r="J145" s="30">
        <f>SUM(C145:G145)-(H145+I145)</f>
        <v>14616884</v>
      </c>
      <c r="K145" s="144" t="b">
        <f>+J145=I104</f>
        <v>1</v>
      </c>
    </row>
    <row r="146" spans="1:16" ht="15.6" x14ac:dyDescent="0.3">
      <c r="C146" s="141">
        <f>SUM(C129:C145)</f>
        <v>9139120</v>
      </c>
      <c r="I146" s="140">
        <f>SUM(I129:I145)</f>
        <v>9380259</v>
      </c>
      <c r="J146" s="105">
        <f>+SUM(J129:J145)</f>
        <v>36364485</v>
      </c>
      <c r="K146" s="5" t="b">
        <f>J146=I118</f>
        <v>1</v>
      </c>
    </row>
    <row r="147" spans="1:16" ht="15.6" x14ac:dyDescent="0.3">
      <c r="C147" s="141"/>
      <c r="I147" s="140"/>
      <c r="J147" s="105"/>
    </row>
    <row r="148" spans="1:16" ht="15.6" x14ac:dyDescent="0.3">
      <c r="A148" s="161"/>
      <c r="B148" s="161"/>
      <c r="C148" s="162"/>
      <c r="D148" s="161"/>
      <c r="E148" s="161"/>
      <c r="F148" s="161"/>
      <c r="G148" s="161"/>
      <c r="H148" s="161"/>
      <c r="I148" s="163"/>
      <c r="J148" s="164"/>
      <c r="K148" s="161"/>
      <c r="L148" s="165"/>
      <c r="M148" s="165"/>
      <c r="N148" s="165"/>
      <c r="O148" s="165"/>
      <c r="P148" s="161"/>
    </row>
    <row r="149" spans="1:16" ht="15.75" customHeight="1" x14ac:dyDescent="0.3"/>
    <row r="150" spans="1:16" ht="15.6" x14ac:dyDescent="0.3">
      <c r="A150" s="6" t="s">
        <v>36</v>
      </c>
      <c r="B150" s="6" t="s">
        <v>1</v>
      </c>
      <c r="C150" s="6">
        <v>44958</v>
      </c>
      <c r="D150" s="7" t="s">
        <v>37</v>
      </c>
      <c r="E150" s="7" t="s">
        <v>38</v>
      </c>
      <c r="F150" s="7" t="s">
        <v>39</v>
      </c>
      <c r="G150" s="7" t="s">
        <v>40</v>
      </c>
      <c r="H150" s="6">
        <v>44985</v>
      </c>
      <c r="I150" s="7" t="s">
        <v>41</v>
      </c>
      <c r="K150" s="45"/>
      <c r="L150" s="45" t="s">
        <v>42</v>
      </c>
      <c r="M150" s="45" t="s">
        <v>43</v>
      </c>
      <c r="N150" s="45" t="s">
        <v>44</v>
      </c>
      <c r="O150" s="45" t="s">
        <v>45</v>
      </c>
    </row>
    <row r="151" spans="1:16" x14ac:dyDescent="0.3">
      <c r="A151" s="58" t="str">
        <f>K151</f>
        <v>BCI</v>
      </c>
      <c r="B151" s="59" t="s">
        <v>46</v>
      </c>
      <c r="C151" s="61">
        <v>9351552</v>
      </c>
      <c r="D151" s="61">
        <f>+L151</f>
        <v>0</v>
      </c>
      <c r="E151" s="61">
        <f>+N151</f>
        <v>433345</v>
      </c>
      <c r="F151" s="61">
        <f>+M151</f>
        <v>4000000</v>
      </c>
      <c r="G151" s="61">
        <f t="shared" ref="G151:G161" si="85">+O151</f>
        <v>0</v>
      </c>
      <c r="H151" s="61">
        <v>4918207</v>
      </c>
      <c r="I151" s="61">
        <f>+C151+D151-E151-F151+G151</f>
        <v>4918207</v>
      </c>
      <c r="J151" s="9">
        <f>I151-H151</f>
        <v>0</v>
      </c>
      <c r="K151" s="45" t="s">
        <v>24</v>
      </c>
      <c r="L151" s="47">
        <v>0</v>
      </c>
      <c r="M151" s="47">
        <v>4000000</v>
      </c>
      <c r="N151" s="47">
        <v>433345</v>
      </c>
      <c r="O151" s="47">
        <v>0</v>
      </c>
    </row>
    <row r="152" spans="1:16" x14ac:dyDescent="0.3">
      <c r="A152" s="58" t="str">
        <f t="shared" ref="A152:A165" si="86">K152</f>
        <v>BCI-Sous Compte</v>
      </c>
      <c r="B152" s="59" t="s">
        <v>46</v>
      </c>
      <c r="C152" s="61">
        <v>6338553</v>
      </c>
      <c r="D152" s="61">
        <f t="shared" ref="D152:D163" si="87">+L152</f>
        <v>0</v>
      </c>
      <c r="E152" s="61">
        <f t="shared" ref="E152:E157" si="88">+N152</f>
        <v>4107519</v>
      </c>
      <c r="F152" s="61">
        <f t="shared" ref="F152:F160" si="89">+M152</f>
        <v>0</v>
      </c>
      <c r="G152" s="61">
        <f t="shared" si="85"/>
        <v>0</v>
      </c>
      <c r="H152" s="61">
        <v>2231034</v>
      </c>
      <c r="I152" s="61">
        <f>+C152+D152-E152-F152+G152</f>
        <v>2231034</v>
      </c>
      <c r="J152" s="9">
        <f t="shared" ref="J152:J159" si="90">I152-H152</f>
        <v>0</v>
      </c>
      <c r="K152" s="45" t="s">
        <v>155</v>
      </c>
      <c r="L152" s="46">
        <v>0</v>
      </c>
      <c r="M152" s="47">
        <v>0</v>
      </c>
      <c r="N152" s="47">
        <v>4107519</v>
      </c>
      <c r="O152" s="47">
        <v>0</v>
      </c>
    </row>
    <row r="153" spans="1:16" x14ac:dyDescent="0.3">
      <c r="A153" s="58" t="str">
        <f t="shared" si="86"/>
        <v>Caisse</v>
      </c>
      <c r="B153" s="59" t="s">
        <v>25</v>
      </c>
      <c r="C153" s="61">
        <v>899588</v>
      </c>
      <c r="D153" s="61">
        <f t="shared" si="87"/>
        <v>4313500</v>
      </c>
      <c r="E153" s="61">
        <f t="shared" si="88"/>
        <v>1771593</v>
      </c>
      <c r="F153" s="61">
        <f t="shared" si="89"/>
        <v>2516000</v>
      </c>
      <c r="G153" s="61">
        <f t="shared" si="85"/>
        <v>0</v>
      </c>
      <c r="H153" s="61">
        <v>925495</v>
      </c>
      <c r="I153" s="61">
        <f>+C153+D153-E153-F153+G153</f>
        <v>925495</v>
      </c>
      <c r="J153" s="102">
        <f t="shared" si="90"/>
        <v>0</v>
      </c>
      <c r="K153" s="45" t="s">
        <v>25</v>
      </c>
      <c r="L153" s="47">
        <v>4313500</v>
      </c>
      <c r="M153" s="47">
        <v>2516000</v>
      </c>
      <c r="N153" s="47">
        <v>1771593</v>
      </c>
      <c r="O153" s="47">
        <v>0</v>
      </c>
    </row>
    <row r="154" spans="1:16" x14ac:dyDescent="0.3">
      <c r="A154" s="58" t="str">
        <f t="shared" si="86"/>
        <v>Crépin</v>
      </c>
      <c r="B154" s="59" t="s">
        <v>161</v>
      </c>
      <c r="C154" s="61">
        <v>89205</v>
      </c>
      <c r="D154" s="61">
        <f t="shared" si="87"/>
        <v>337000</v>
      </c>
      <c r="E154" s="61">
        <f t="shared" si="88"/>
        <v>350160</v>
      </c>
      <c r="F154" s="61">
        <f t="shared" si="89"/>
        <v>30000</v>
      </c>
      <c r="G154" s="61">
        <f t="shared" si="85"/>
        <v>0</v>
      </c>
      <c r="H154" s="61">
        <v>46045</v>
      </c>
      <c r="I154" s="61">
        <f>+C154+D154-E154-F154+G154</f>
        <v>46045</v>
      </c>
      <c r="J154" s="9">
        <f t="shared" si="90"/>
        <v>0</v>
      </c>
      <c r="K154" s="45" t="s">
        <v>47</v>
      </c>
      <c r="L154" s="47">
        <v>337000</v>
      </c>
      <c r="M154" s="47">
        <v>30000</v>
      </c>
      <c r="N154" s="47">
        <v>350160</v>
      </c>
      <c r="O154" s="47">
        <v>0</v>
      </c>
    </row>
    <row r="155" spans="1:16" x14ac:dyDescent="0.3">
      <c r="A155" s="58" t="str">
        <f t="shared" si="86"/>
        <v>D58</v>
      </c>
      <c r="B155" s="59" t="s">
        <v>4</v>
      </c>
      <c r="C155" s="61">
        <v>18500</v>
      </c>
      <c r="D155" s="61">
        <f t="shared" si="87"/>
        <v>287000</v>
      </c>
      <c r="E155" s="61">
        <f t="shared" si="88"/>
        <v>198000</v>
      </c>
      <c r="F155" s="61">
        <f t="shared" si="89"/>
        <v>0</v>
      </c>
      <c r="G155" s="61">
        <f t="shared" si="85"/>
        <v>0</v>
      </c>
      <c r="H155" s="61">
        <v>107500</v>
      </c>
      <c r="I155" s="61">
        <f>+C155+D155-E155-F155+G155</f>
        <v>107500</v>
      </c>
      <c r="J155" s="9">
        <f t="shared" si="90"/>
        <v>0</v>
      </c>
      <c r="K155" s="45" t="s">
        <v>277</v>
      </c>
      <c r="L155" s="47">
        <v>287000</v>
      </c>
      <c r="M155" s="47">
        <v>0</v>
      </c>
      <c r="N155" s="47">
        <v>198000</v>
      </c>
      <c r="O155" s="47">
        <v>0</v>
      </c>
    </row>
    <row r="156" spans="1:16" x14ac:dyDescent="0.3">
      <c r="A156" s="58" t="str">
        <f t="shared" si="86"/>
        <v>Donald</v>
      </c>
      <c r="B156" s="59" t="s">
        <v>161</v>
      </c>
      <c r="C156" s="61">
        <v>10650</v>
      </c>
      <c r="D156" s="61">
        <f t="shared" si="87"/>
        <v>30000</v>
      </c>
      <c r="E156" s="61">
        <f t="shared" si="88"/>
        <v>32000</v>
      </c>
      <c r="F156" s="61">
        <f t="shared" si="89"/>
        <v>0</v>
      </c>
      <c r="G156" s="61">
        <f t="shared" si="85"/>
        <v>0</v>
      </c>
      <c r="H156" s="61">
        <v>8650</v>
      </c>
      <c r="I156" s="61">
        <f t="shared" ref="I156:I157" si="91">+C156+D156-E156-F156+G156</f>
        <v>8650</v>
      </c>
      <c r="J156" s="9">
        <f t="shared" si="90"/>
        <v>0</v>
      </c>
      <c r="K156" s="45" t="s">
        <v>263</v>
      </c>
      <c r="L156" s="47">
        <v>30000</v>
      </c>
      <c r="M156" s="47">
        <v>0</v>
      </c>
      <c r="N156" s="47">
        <v>32000</v>
      </c>
      <c r="O156" s="47">
        <v>0</v>
      </c>
    </row>
    <row r="157" spans="1:16" x14ac:dyDescent="0.3">
      <c r="A157" s="58" t="str">
        <f t="shared" si="86"/>
        <v>Evariste</v>
      </c>
      <c r="B157" s="59" t="s">
        <v>162</v>
      </c>
      <c r="C157" s="61">
        <v>8325</v>
      </c>
      <c r="D157" s="61">
        <f t="shared" si="87"/>
        <v>295000</v>
      </c>
      <c r="E157" s="61">
        <f t="shared" si="88"/>
        <v>135000</v>
      </c>
      <c r="F157" s="61">
        <f t="shared" si="89"/>
        <v>150000</v>
      </c>
      <c r="G157" s="61">
        <f t="shared" si="85"/>
        <v>0</v>
      </c>
      <c r="H157" s="61">
        <v>18325</v>
      </c>
      <c r="I157" s="61">
        <f t="shared" si="91"/>
        <v>18325</v>
      </c>
      <c r="J157" s="9">
        <f t="shared" si="90"/>
        <v>0</v>
      </c>
      <c r="K157" s="45" t="s">
        <v>31</v>
      </c>
      <c r="L157" s="47">
        <v>295000</v>
      </c>
      <c r="M157" s="47">
        <v>150000</v>
      </c>
      <c r="N157" s="47">
        <v>135000</v>
      </c>
      <c r="O157" s="47">
        <v>0</v>
      </c>
    </row>
    <row r="158" spans="1:16" x14ac:dyDescent="0.3">
      <c r="A158" s="58" t="str">
        <f t="shared" si="86"/>
        <v>I55S</v>
      </c>
      <c r="B158" s="116" t="s">
        <v>4</v>
      </c>
      <c r="C158" s="118">
        <v>233614</v>
      </c>
      <c r="D158" s="118">
        <f t="shared" si="87"/>
        <v>0</v>
      </c>
      <c r="E158" s="118">
        <f>+N158</f>
        <v>0</v>
      </c>
      <c r="F158" s="118">
        <f t="shared" si="89"/>
        <v>0</v>
      </c>
      <c r="G158" s="118">
        <f t="shared" si="85"/>
        <v>0</v>
      </c>
      <c r="H158" s="118">
        <v>233614</v>
      </c>
      <c r="I158" s="118">
        <f>+C158+D158-E158-F158+G158</f>
        <v>233614</v>
      </c>
      <c r="J158" s="9">
        <f t="shared" si="90"/>
        <v>0</v>
      </c>
      <c r="K158" s="45" t="s">
        <v>84</v>
      </c>
      <c r="L158" s="47">
        <v>0</v>
      </c>
      <c r="M158" s="47">
        <v>0</v>
      </c>
      <c r="N158" s="47">
        <v>0</v>
      </c>
      <c r="O158" s="47">
        <v>0</v>
      </c>
    </row>
    <row r="159" spans="1:16" x14ac:dyDescent="0.3">
      <c r="A159" s="58" t="str">
        <f t="shared" si="86"/>
        <v>I73X</v>
      </c>
      <c r="B159" s="116" t="s">
        <v>4</v>
      </c>
      <c r="C159" s="118">
        <v>249769</v>
      </c>
      <c r="D159" s="118">
        <f t="shared" si="87"/>
        <v>0</v>
      </c>
      <c r="E159" s="118">
        <f>+N159</f>
        <v>0</v>
      </c>
      <c r="F159" s="118">
        <f t="shared" si="89"/>
        <v>0</v>
      </c>
      <c r="G159" s="118">
        <f t="shared" si="85"/>
        <v>0</v>
      </c>
      <c r="H159" s="118">
        <v>249769</v>
      </c>
      <c r="I159" s="118">
        <f t="shared" ref="I159:I161" si="92">+C159+D159-E159-F159+G159</f>
        <v>249769</v>
      </c>
      <c r="J159" s="9">
        <f t="shared" si="90"/>
        <v>0</v>
      </c>
      <c r="K159" s="45" t="s">
        <v>83</v>
      </c>
      <c r="L159" s="47">
        <v>0</v>
      </c>
      <c r="M159" s="47">
        <v>0</v>
      </c>
      <c r="N159" s="47">
        <v>0</v>
      </c>
      <c r="O159" s="47">
        <v>0</v>
      </c>
    </row>
    <row r="160" spans="1:16" s="189" customFormat="1" ht="15.6" x14ac:dyDescent="0.3">
      <c r="A160" s="58" t="str">
        <f t="shared" si="86"/>
        <v>Grace</v>
      </c>
      <c r="B160" s="59" t="s">
        <v>2</v>
      </c>
      <c r="C160" s="185">
        <v>20750</v>
      </c>
      <c r="D160" s="61">
        <f t="shared" si="87"/>
        <v>0</v>
      </c>
      <c r="E160" s="61">
        <f t="shared" ref="E160" si="93">+N160</f>
        <v>9500</v>
      </c>
      <c r="F160" s="61">
        <f t="shared" si="89"/>
        <v>0</v>
      </c>
      <c r="G160" s="61">
        <f t="shared" si="85"/>
        <v>0</v>
      </c>
      <c r="H160" s="185">
        <v>11250</v>
      </c>
      <c r="I160" s="185">
        <f t="shared" si="92"/>
        <v>11250</v>
      </c>
      <c r="J160" s="186">
        <f>I160-H160</f>
        <v>0</v>
      </c>
      <c r="K160" s="187" t="s">
        <v>150</v>
      </c>
      <c r="L160" s="188">
        <v>0</v>
      </c>
      <c r="M160" s="188">
        <v>0</v>
      </c>
      <c r="N160" s="47">
        <v>9500</v>
      </c>
      <c r="O160" s="188">
        <v>0</v>
      </c>
    </row>
    <row r="161" spans="1:15" x14ac:dyDescent="0.3">
      <c r="A161" s="58" t="str">
        <f t="shared" si="86"/>
        <v>Hurielle</v>
      </c>
      <c r="B161" s="98" t="s">
        <v>161</v>
      </c>
      <c r="C161" s="61">
        <v>153550</v>
      </c>
      <c r="D161" s="61">
        <f t="shared" si="87"/>
        <v>628000</v>
      </c>
      <c r="E161" s="61">
        <f>+N161</f>
        <v>638695</v>
      </c>
      <c r="F161" s="61">
        <f>+M161</f>
        <v>103500</v>
      </c>
      <c r="G161" s="61">
        <f t="shared" si="85"/>
        <v>0</v>
      </c>
      <c r="H161" s="61">
        <v>39355</v>
      </c>
      <c r="I161" s="61">
        <f t="shared" si="92"/>
        <v>39355</v>
      </c>
      <c r="J161" s="9">
        <f t="shared" ref="J161" si="94">I161-H161</f>
        <v>0</v>
      </c>
      <c r="K161" s="45" t="s">
        <v>204</v>
      </c>
      <c r="L161" s="47">
        <v>628000</v>
      </c>
      <c r="M161" s="47">
        <v>103500</v>
      </c>
      <c r="N161" s="47">
        <v>638695</v>
      </c>
      <c r="O161" s="47">
        <v>0</v>
      </c>
    </row>
    <row r="162" spans="1:15" s="189" customFormat="1" ht="15.6" x14ac:dyDescent="0.3">
      <c r="A162" s="58" t="str">
        <f t="shared" si="86"/>
        <v>Merveille</v>
      </c>
      <c r="B162" s="59" t="s">
        <v>2</v>
      </c>
      <c r="C162" s="185">
        <v>70300</v>
      </c>
      <c r="D162" s="61">
        <f t="shared" si="87"/>
        <v>3000</v>
      </c>
      <c r="E162" s="61">
        <f t="shared" ref="E162:E165" si="95">+N162</f>
        <v>29000</v>
      </c>
      <c r="F162" s="61">
        <f t="shared" ref="F162:F165" si="96">+M162</f>
        <v>30000</v>
      </c>
      <c r="G162" s="61">
        <f t="shared" ref="G162:G165" si="97">+O162</f>
        <v>0</v>
      </c>
      <c r="H162" s="185">
        <v>14300</v>
      </c>
      <c r="I162" s="185">
        <f t="shared" ref="I162:I163" si="98">+C162+D162-E162-F162+G162</f>
        <v>14300</v>
      </c>
      <c r="J162" s="186">
        <f>I162-H162</f>
        <v>0</v>
      </c>
      <c r="K162" s="187" t="s">
        <v>93</v>
      </c>
      <c r="L162" s="188">
        <v>3000</v>
      </c>
      <c r="M162" s="188">
        <v>30000</v>
      </c>
      <c r="N162" s="47">
        <v>29000</v>
      </c>
      <c r="O162" s="188">
        <v>0</v>
      </c>
    </row>
    <row r="163" spans="1:15" x14ac:dyDescent="0.3">
      <c r="A163" s="58" t="str">
        <f t="shared" si="86"/>
        <v>P29</v>
      </c>
      <c r="B163" s="98" t="s">
        <v>4</v>
      </c>
      <c r="C163" s="61">
        <v>99100</v>
      </c>
      <c r="D163" s="61">
        <f t="shared" si="87"/>
        <v>224000</v>
      </c>
      <c r="E163" s="61">
        <f t="shared" si="95"/>
        <v>222500</v>
      </c>
      <c r="F163" s="61">
        <f t="shared" si="96"/>
        <v>0</v>
      </c>
      <c r="G163" s="61">
        <f t="shared" si="97"/>
        <v>0</v>
      </c>
      <c r="H163" s="61">
        <v>100600</v>
      </c>
      <c r="I163" s="61">
        <f t="shared" si="98"/>
        <v>100600</v>
      </c>
      <c r="J163" s="9">
        <f t="shared" ref="J163:J164" si="99">I163-H163</f>
        <v>0</v>
      </c>
      <c r="K163" s="45" t="s">
        <v>29</v>
      </c>
      <c r="L163" s="47">
        <v>224000</v>
      </c>
      <c r="M163" s="47">
        <v>0</v>
      </c>
      <c r="N163" s="47">
        <v>222500</v>
      </c>
      <c r="O163" s="47">
        <v>0</v>
      </c>
    </row>
    <row r="164" spans="1:15" ht="15.6" x14ac:dyDescent="0.3">
      <c r="A164" s="58" t="str">
        <f t="shared" si="86"/>
        <v>T73</v>
      </c>
      <c r="B164" s="59" t="s">
        <v>4</v>
      </c>
      <c r="C164" s="61">
        <v>13900</v>
      </c>
      <c r="D164" s="61">
        <f>+L164</f>
        <v>672000</v>
      </c>
      <c r="E164" s="61">
        <f t="shared" si="95"/>
        <v>477600</v>
      </c>
      <c r="F164" s="61">
        <f t="shared" si="96"/>
        <v>0</v>
      </c>
      <c r="G164" s="61">
        <f t="shared" si="97"/>
        <v>0</v>
      </c>
      <c r="H164" s="61">
        <v>208300</v>
      </c>
      <c r="I164" s="61">
        <f>+C164+D164-E164-F164+G164</f>
        <v>208300</v>
      </c>
      <c r="J164" s="9">
        <f t="shared" si="99"/>
        <v>0</v>
      </c>
      <c r="K164" s="45" t="s">
        <v>276</v>
      </c>
      <c r="L164" s="47">
        <v>672000</v>
      </c>
      <c r="M164" s="47">
        <v>0</v>
      </c>
      <c r="N164" s="188">
        <v>477600</v>
      </c>
      <c r="O164" s="47">
        <v>0</v>
      </c>
    </row>
    <row r="165" spans="1:15" x14ac:dyDescent="0.3">
      <c r="A165" s="58" t="str">
        <f t="shared" si="86"/>
        <v>Tiffany</v>
      </c>
      <c r="B165" s="59" t="s">
        <v>2</v>
      </c>
      <c r="C165" s="61">
        <v>-3324</v>
      </c>
      <c r="D165" s="61">
        <f t="shared" ref="D165" si="100">+L165</f>
        <v>40000</v>
      </c>
      <c r="E165" s="61">
        <f t="shared" si="95"/>
        <v>10000</v>
      </c>
      <c r="F165" s="61">
        <f t="shared" si="96"/>
        <v>0</v>
      </c>
      <c r="G165" s="61">
        <f t="shared" si="97"/>
        <v>0</v>
      </c>
      <c r="H165" s="61">
        <v>26676</v>
      </c>
      <c r="I165" s="61">
        <f>+C165+D165-E165-F165+G165</f>
        <v>26676</v>
      </c>
      <c r="J165" s="9">
        <f>I165-H165</f>
        <v>0</v>
      </c>
      <c r="K165" s="45" t="s">
        <v>113</v>
      </c>
      <c r="L165" s="47">
        <v>40000</v>
      </c>
      <c r="M165" s="47">
        <v>0</v>
      </c>
      <c r="N165" s="47">
        <v>10000</v>
      </c>
      <c r="O165" s="47">
        <v>0</v>
      </c>
    </row>
    <row r="166" spans="1:15" x14ac:dyDescent="0.3">
      <c r="A166" s="10" t="s">
        <v>50</v>
      </c>
      <c r="B166" s="11"/>
      <c r="C166" s="12">
        <f t="shared" ref="C166:I166" si="101">SUM(C151:C165)</f>
        <v>17554032</v>
      </c>
      <c r="D166" s="57">
        <f t="shared" si="101"/>
        <v>6829500</v>
      </c>
      <c r="E166" s="57">
        <f t="shared" si="101"/>
        <v>8414912</v>
      </c>
      <c r="F166" s="57">
        <f t="shared" si="101"/>
        <v>6829500</v>
      </c>
      <c r="G166" s="57">
        <f t="shared" si="101"/>
        <v>0</v>
      </c>
      <c r="H166" s="57">
        <f t="shared" si="101"/>
        <v>9139120</v>
      </c>
      <c r="I166" s="57">
        <f t="shared" si="101"/>
        <v>9139120</v>
      </c>
      <c r="J166" s="9">
        <f>I166-H166</f>
        <v>0</v>
      </c>
      <c r="K166" s="3"/>
      <c r="L166" s="47">
        <f>+SUM(L151:L165)</f>
        <v>6829500</v>
      </c>
      <c r="M166" s="47">
        <f>+SUM(M151:M165)</f>
        <v>6829500</v>
      </c>
      <c r="N166" s="47">
        <f>+SUM(N151:N165)</f>
        <v>8414912</v>
      </c>
      <c r="O166" s="47">
        <f>+SUM(O151:O165)</f>
        <v>0</v>
      </c>
    </row>
    <row r="167" spans="1:15" x14ac:dyDescent="0.3">
      <c r="A167" s="10"/>
      <c r="B167" s="11"/>
      <c r="C167" s="12"/>
      <c r="D167" s="13"/>
      <c r="E167" s="12"/>
      <c r="F167" s="13"/>
      <c r="G167" s="12"/>
      <c r="H167" s="12"/>
      <c r="I167" s="134" t="b">
        <f>I166=D169</f>
        <v>1</v>
      </c>
      <c r="J167" s="9">
        <f>H166-I166</f>
        <v>0</v>
      </c>
      <c r="L167" s="5"/>
      <c r="M167" s="5"/>
      <c r="N167" s="5"/>
      <c r="O167" s="5"/>
    </row>
    <row r="168" spans="1:15" x14ac:dyDescent="0.3">
      <c r="A168" s="10" t="s">
        <v>284</v>
      </c>
      <c r="B168" s="11" t="s">
        <v>190</v>
      </c>
      <c r="C168" s="12" t="s">
        <v>191</v>
      </c>
      <c r="D168" s="12" t="s">
        <v>285</v>
      </c>
      <c r="E168" s="12" t="s">
        <v>51</v>
      </c>
      <c r="F168" s="12"/>
      <c r="G168" s="12">
        <f>+D166-F166</f>
        <v>0</v>
      </c>
      <c r="H168" s="12"/>
      <c r="I168" s="12"/>
    </row>
    <row r="169" spans="1:15" x14ac:dyDescent="0.3">
      <c r="A169" s="14">
        <f>C166</f>
        <v>17554032</v>
      </c>
      <c r="B169" s="15">
        <f>G166</f>
        <v>0</v>
      </c>
      <c r="C169" s="12">
        <f>E166</f>
        <v>8414912</v>
      </c>
      <c r="D169" s="12">
        <f>A169+B169-C169</f>
        <v>9139120</v>
      </c>
      <c r="E169" s="13">
        <f>I166-D169</f>
        <v>0</v>
      </c>
      <c r="F169" s="12"/>
      <c r="G169" s="12"/>
      <c r="H169" s="12"/>
      <c r="I169" s="12"/>
    </row>
    <row r="170" spans="1:15" x14ac:dyDescent="0.3">
      <c r="A170" s="14"/>
      <c r="B170" s="15"/>
      <c r="C170" s="12"/>
      <c r="D170" s="12"/>
      <c r="E170" s="13"/>
      <c r="F170" s="12"/>
      <c r="G170" s="12"/>
      <c r="H170" s="12"/>
      <c r="I170" s="12"/>
    </row>
    <row r="171" spans="1:15" x14ac:dyDescent="0.3">
      <c r="A171" s="16" t="s">
        <v>52</v>
      </c>
      <c r="B171" s="16"/>
      <c r="C171" s="16"/>
      <c r="D171" s="17"/>
      <c r="E171" s="17"/>
      <c r="F171" s="17"/>
      <c r="G171" s="17"/>
      <c r="H171" s="17"/>
      <c r="I171" s="17"/>
    </row>
    <row r="172" spans="1:15" x14ac:dyDescent="0.3">
      <c r="A172" s="18" t="s">
        <v>296</v>
      </c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5" x14ac:dyDescent="0.3">
      <c r="A173" s="19"/>
      <c r="B173" s="17"/>
      <c r="C173" s="20"/>
      <c r="D173" s="20"/>
      <c r="E173" s="20"/>
      <c r="F173" s="20"/>
      <c r="G173" s="20"/>
      <c r="H173" s="17"/>
      <c r="I173" s="17"/>
    </row>
    <row r="174" spans="1:15" ht="45" customHeight="1" x14ac:dyDescent="0.3">
      <c r="A174" s="170" t="s">
        <v>53</v>
      </c>
      <c r="B174" s="172" t="s">
        <v>54</v>
      </c>
      <c r="C174" s="174" t="s">
        <v>287</v>
      </c>
      <c r="D174" s="175" t="s">
        <v>55</v>
      </c>
      <c r="E174" s="176"/>
      <c r="F174" s="176"/>
      <c r="G174" s="177"/>
      <c r="H174" s="178" t="s">
        <v>56</v>
      </c>
      <c r="I174" s="166" t="s">
        <v>57</v>
      </c>
      <c r="J174" s="213"/>
    </row>
    <row r="175" spans="1:15" ht="28.5" customHeight="1" x14ac:dyDescent="0.3">
      <c r="A175" s="171"/>
      <c r="B175" s="173"/>
      <c r="C175" s="22"/>
      <c r="D175" s="21" t="s">
        <v>24</v>
      </c>
      <c r="E175" s="21" t="s">
        <v>25</v>
      </c>
      <c r="F175" s="22" t="s">
        <v>123</v>
      </c>
      <c r="G175" s="21" t="s">
        <v>58</v>
      </c>
      <c r="H175" s="179"/>
      <c r="I175" s="167"/>
      <c r="J175" s="169" t="s">
        <v>286</v>
      </c>
      <c r="K175" s="143"/>
    </row>
    <row r="176" spans="1:15" x14ac:dyDescent="0.3">
      <c r="A176" s="23"/>
      <c r="B176" s="24" t="s">
        <v>59</v>
      </c>
      <c r="C176" s="25"/>
      <c r="D176" s="25"/>
      <c r="E176" s="25"/>
      <c r="F176" s="25"/>
      <c r="G176" s="25"/>
      <c r="H176" s="25"/>
      <c r="I176" s="26"/>
      <c r="J176" s="169"/>
      <c r="K176" s="143"/>
    </row>
    <row r="177" spans="1:11" x14ac:dyDescent="0.3">
      <c r="A177" s="122" t="s">
        <v>115</v>
      </c>
      <c r="B177" s="127" t="s">
        <v>47</v>
      </c>
      <c r="C177" s="32">
        <f>+C154</f>
        <v>89205</v>
      </c>
      <c r="D177" s="31"/>
      <c r="E177" s="32">
        <f>+D154</f>
        <v>337000</v>
      </c>
      <c r="F177" s="32"/>
      <c r="G177" s="32"/>
      <c r="H177" s="55">
        <f>+F154</f>
        <v>30000</v>
      </c>
      <c r="I177" s="32">
        <f>+E154</f>
        <v>350160</v>
      </c>
      <c r="J177" s="30">
        <f t="shared" ref="J177:J180" si="102">+SUM(C177:G177)-(H177+I177)</f>
        <v>46045</v>
      </c>
      <c r="K177" s="144" t="b">
        <f t="shared" ref="K177:K188" si="103">J177=I154</f>
        <v>1</v>
      </c>
    </row>
    <row r="178" spans="1:11" x14ac:dyDescent="0.3">
      <c r="A178" s="122" t="str">
        <f>+A177</f>
        <v>FEVRIER</v>
      </c>
      <c r="B178" s="127" t="s">
        <v>277</v>
      </c>
      <c r="C178" s="32">
        <f t="shared" ref="C178:C180" si="104">+C155</f>
        <v>18500</v>
      </c>
      <c r="D178" s="31"/>
      <c r="E178" s="32">
        <f t="shared" ref="E178:E180" si="105">+D155</f>
        <v>287000</v>
      </c>
      <c r="F178" s="32"/>
      <c r="G178" s="32"/>
      <c r="H178" s="55">
        <f t="shared" ref="H178:H180" si="106">+F155</f>
        <v>0</v>
      </c>
      <c r="I178" s="32">
        <f t="shared" ref="I178:I180" si="107">+E155</f>
        <v>198000</v>
      </c>
      <c r="J178" s="30">
        <f t="shared" si="102"/>
        <v>107500</v>
      </c>
      <c r="K178" s="144" t="b">
        <f t="shared" si="103"/>
        <v>1</v>
      </c>
    </row>
    <row r="179" spans="1:11" x14ac:dyDescent="0.3">
      <c r="A179" s="122" t="str">
        <f t="shared" ref="A179:A188" si="108">+A178</f>
        <v>FEVRIER</v>
      </c>
      <c r="B179" s="127" t="s">
        <v>263</v>
      </c>
      <c r="C179" s="32">
        <f t="shared" si="104"/>
        <v>10650</v>
      </c>
      <c r="D179" s="31"/>
      <c r="E179" s="32">
        <f t="shared" si="105"/>
        <v>30000</v>
      </c>
      <c r="F179" s="32"/>
      <c r="G179" s="32"/>
      <c r="H179" s="55">
        <f t="shared" si="106"/>
        <v>0</v>
      </c>
      <c r="I179" s="32">
        <f t="shared" si="107"/>
        <v>32000</v>
      </c>
      <c r="J179" s="30">
        <f t="shared" si="102"/>
        <v>8650</v>
      </c>
      <c r="K179" s="144" t="b">
        <f t="shared" si="103"/>
        <v>1</v>
      </c>
    </row>
    <row r="180" spans="1:11" x14ac:dyDescent="0.3">
      <c r="A180" s="122" t="str">
        <f t="shared" si="108"/>
        <v>FEVRIER</v>
      </c>
      <c r="B180" s="127" t="s">
        <v>31</v>
      </c>
      <c r="C180" s="32">
        <f t="shared" si="104"/>
        <v>8325</v>
      </c>
      <c r="D180" s="31"/>
      <c r="E180" s="32">
        <f t="shared" si="105"/>
        <v>295000</v>
      </c>
      <c r="F180" s="32"/>
      <c r="G180" s="32"/>
      <c r="H180" s="55">
        <f t="shared" si="106"/>
        <v>150000</v>
      </c>
      <c r="I180" s="32">
        <f t="shared" si="107"/>
        <v>135000</v>
      </c>
      <c r="J180" s="30">
        <f t="shared" si="102"/>
        <v>18325</v>
      </c>
      <c r="K180" s="144" t="b">
        <f t="shared" si="103"/>
        <v>1</v>
      </c>
    </row>
    <row r="181" spans="1:11" x14ac:dyDescent="0.3">
      <c r="A181" s="122" t="str">
        <f t="shared" si="108"/>
        <v>FEVRIER</v>
      </c>
      <c r="B181" s="129" t="s">
        <v>84</v>
      </c>
      <c r="C181" s="120">
        <f>+C158</f>
        <v>233614</v>
      </c>
      <c r="D181" s="123"/>
      <c r="E181" s="120">
        <f>+D158</f>
        <v>0</v>
      </c>
      <c r="F181" s="137"/>
      <c r="G181" s="137"/>
      <c r="H181" s="155">
        <f>+F158</f>
        <v>0</v>
      </c>
      <c r="I181" s="120">
        <f>+E158</f>
        <v>0</v>
      </c>
      <c r="J181" s="121">
        <f>+SUM(C181:G181)-(H181+I181)</f>
        <v>233614</v>
      </c>
      <c r="K181" s="144" t="b">
        <f t="shared" si="103"/>
        <v>1</v>
      </c>
    </row>
    <row r="182" spans="1:11" x14ac:dyDescent="0.3">
      <c r="A182" s="122" t="str">
        <f t="shared" si="108"/>
        <v>FEVRIER</v>
      </c>
      <c r="B182" s="129" t="s">
        <v>83</v>
      </c>
      <c r="C182" s="120">
        <f>+C159</f>
        <v>249769</v>
      </c>
      <c r="D182" s="123"/>
      <c r="E182" s="120">
        <f>+D159</f>
        <v>0</v>
      </c>
      <c r="F182" s="137"/>
      <c r="G182" s="137"/>
      <c r="H182" s="155">
        <f>+F159</f>
        <v>0</v>
      </c>
      <c r="I182" s="120">
        <f>+E159</f>
        <v>0</v>
      </c>
      <c r="J182" s="121">
        <f t="shared" ref="J182:J188" si="109">+SUM(C182:G182)-(H182+I182)</f>
        <v>249769</v>
      </c>
      <c r="K182" s="144" t="b">
        <f t="shared" si="103"/>
        <v>1</v>
      </c>
    </row>
    <row r="183" spans="1:11" x14ac:dyDescent="0.3">
      <c r="A183" s="122" t="str">
        <f t="shared" si="108"/>
        <v>FEVRIER</v>
      </c>
      <c r="B183" s="127" t="s">
        <v>150</v>
      </c>
      <c r="C183" s="32">
        <f>+C160</f>
        <v>20750</v>
      </c>
      <c r="D183" s="31"/>
      <c r="E183" s="32">
        <f>+D160</f>
        <v>0</v>
      </c>
      <c r="F183" s="32"/>
      <c r="G183" s="104"/>
      <c r="H183" s="55">
        <f>+F160</f>
        <v>0</v>
      </c>
      <c r="I183" s="32">
        <f>+E160</f>
        <v>9500</v>
      </c>
      <c r="J183" s="30">
        <f t="shared" si="109"/>
        <v>11250</v>
      </c>
      <c r="K183" s="144" t="b">
        <f t="shared" si="103"/>
        <v>1</v>
      </c>
    </row>
    <row r="184" spans="1:11" x14ac:dyDescent="0.3">
      <c r="A184" s="122" t="str">
        <f t="shared" si="108"/>
        <v>FEVRIER</v>
      </c>
      <c r="B184" s="127" t="s">
        <v>204</v>
      </c>
      <c r="C184" s="32">
        <f>+C161</f>
        <v>153550</v>
      </c>
      <c r="D184" s="31"/>
      <c r="E184" s="32">
        <f>+D161</f>
        <v>628000</v>
      </c>
      <c r="F184" s="32"/>
      <c r="G184" s="104"/>
      <c r="H184" s="55">
        <f>+F161</f>
        <v>103500</v>
      </c>
      <c r="I184" s="32">
        <f>+E161</f>
        <v>638695</v>
      </c>
      <c r="J184" s="30">
        <f t="shared" si="109"/>
        <v>39355</v>
      </c>
      <c r="K184" s="144" t="b">
        <f t="shared" si="103"/>
        <v>1</v>
      </c>
    </row>
    <row r="185" spans="1:11" x14ac:dyDescent="0.3">
      <c r="A185" s="122" t="str">
        <f>A184</f>
        <v>FEVRIER</v>
      </c>
      <c r="B185" s="127" t="s">
        <v>93</v>
      </c>
      <c r="C185" s="32">
        <f t="shared" ref="C185:C188" si="110">+C162</f>
        <v>70300</v>
      </c>
      <c r="D185" s="31"/>
      <c r="E185" s="32">
        <f t="shared" ref="E185:E188" si="111">+D162</f>
        <v>3000</v>
      </c>
      <c r="F185" s="32"/>
      <c r="G185" s="104"/>
      <c r="H185" s="55">
        <f t="shared" ref="H185:H188" si="112">+F162</f>
        <v>30000</v>
      </c>
      <c r="I185" s="32">
        <f t="shared" ref="I185:I188" si="113">+E162</f>
        <v>29000</v>
      </c>
      <c r="J185" s="30">
        <f t="shared" si="109"/>
        <v>14300</v>
      </c>
      <c r="K185" s="144" t="b">
        <f t="shared" si="103"/>
        <v>1</v>
      </c>
    </row>
    <row r="186" spans="1:11" x14ac:dyDescent="0.3">
      <c r="A186" s="122" t="str">
        <f t="shared" si="108"/>
        <v>FEVRIER</v>
      </c>
      <c r="B186" s="127" t="s">
        <v>29</v>
      </c>
      <c r="C186" s="32">
        <f t="shared" si="110"/>
        <v>99100</v>
      </c>
      <c r="D186" s="31"/>
      <c r="E186" s="32">
        <f t="shared" si="111"/>
        <v>224000</v>
      </c>
      <c r="F186" s="32"/>
      <c r="G186" s="104"/>
      <c r="H186" s="55">
        <f t="shared" si="112"/>
        <v>0</v>
      </c>
      <c r="I186" s="32">
        <f t="shared" si="113"/>
        <v>222500</v>
      </c>
      <c r="J186" s="30">
        <f t="shared" si="109"/>
        <v>100600</v>
      </c>
      <c r="K186" s="144" t="b">
        <f t="shared" si="103"/>
        <v>1</v>
      </c>
    </row>
    <row r="187" spans="1:11" x14ac:dyDescent="0.3">
      <c r="A187" s="122" t="str">
        <f t="shared" si="108"/>
        <v>FEVRIER</v>
      </c>
      <c r="B187" s="128" t="s">
        <v>276</v>
      </c>
      <c r="C187" s="32">
        <f t="shared" si="110"/>
        <v>13900</v>
      </c>
      <c r="D187" s="119"/>
      <c r="E187" s="32">
        <f t="shared" si="111"/>
        <v>672000</v>
      </c>
      <c r="F187" s="51"/>
      <c r="G187" s="138"/>
      <c r="H187" s="55">
        <f t="shared" si="112"/>
        <v>0</v>
      </c>
      <c r="I187" s="32">
        <f t="shared" si="113"/>
        <v>477600</v>
      </c>
      <c r="J187" s="30">
        <f t="shared" si="109"/>
        <v>208300</v>
      </c>
      <c r="K187" s="144" t="b">
        <f t="shared" si="103"/>
        <v>1</v>
      </c>
    </row>
    <row r="188" spans="1:11" x14ac:dyDescent="0.3">
      <c r="A188" s="122" t="str">
        <f t="shared" si="108"/>
        <v>FEVRIER</v>
      </c>
      <c r="B188" s="128" t="s">
        <v>113</v>
      </c>
      <c r="C188" s="32">
        <f t="shared" si="110"/>
        <v>-3324</v>
      </c>
      <c r="D188" s="119"/>
      <c r="E188" s="32">
        <f t="shared" si="111"/>
        <v>40000</v>
      </c>
      <c r="F188" s="51"/>
      <c r="G188" s="138"/>
      <c r="H188" s="55">
        <f t="shared" si="112"/>
        <v>0</v>
      </c>
      <c r="I188" s="32">
        <f t="shared" si="113"/>
        <v>10000</v>
      </c>
      <c r="J188" s="30">
        <f t="shared" si="109"/>
        <v>26676</v>
      </c>
      <c r="K188" s="144" t="b">
        <f t="shared" si="103"/>
        <v>1</v>
      </c>
    </row>
    <row r="189" spans="1:11" x14ac:dyDescent="0.3">
      <c r="A189" s="34" t="s">
        <v>60</v>
      </c>
      <c r="B189" s="35"/>
      <c r="C189" s="35"/>
      <c r="D189" s="35"/>
      <c r="E189" s="35"/>
      <c r="F189" s="35"/>
      <c r="G189" s="35"/>
      <c r="H189" s="35"/>
      <c r="I189" s="35"/>
      <c r="J189" s="36"/>
      <c r="K189" s="143"/>
    </row>
    <row r="190" spans="1:11" x14ac:dyDescent="0.3">
      <c r="A190" s="122" t="str">
        <f>A188</f>
        <v>FEVRIER</v>
      </c>
      <c r="B190" s="37" t="s">
        <v>61</v>
      </c>
      <c r="C190" s="38">
        <f>+C153</f>
        <v>899588</v>
      </c>
      <c r="D190" s="49"/>
      <c r="E190" s="49">
        <f>D153</f>
        <v>4313500</v>
      </c>
      <c r="F190" s="49"/>
      <c r="G190" s="125"/>
      <c r="H190" s="51">
        <f>+F153</f>
        <v>2516000</v>
      </c>
      <c r="I190" s="126">
        <f>+E153</f>
        <v>1771593</v>
      </c>
      <c r="J190" s="30">
        <f>+SUM(C190:G190)-(H190+I190)</f>
        <v>925495</v>
      </c>
      <c r="K190" s="144" t="b">
        <f>J190=I153</f>
        <v>1</v>
      </c>
    </row>
    <row r="191" spans="1:11" x14ac:dyDescent="0.3">
      <c r="A191" s="43" t="s">
        <v>62</v>
      </c>
      <c r="B191" s="24"/>
      <c r="C191" s="35"/>
      <c r="D191" s="24"/>
      <c r="E191" s="24"/>
      <c r="F191" s="24"/>
      <c r="G191" s="24"/>
      <c r="H191" s="24"/>
      <c r="I191" s="24"/>
      <c r="J191" s="36"/>
      <c r="K191" s="143"/>
    </row>
    <row r="192" spans="1:11" x14ac:dyDescent="0.3">
      <c r="A192" s="122" t="str">
        <f>+A190</f>
        <v>FEVRIER</v>
      </c>
      <c r="B192" s="37" t="s">
        <v>24</v>
      </c>
      <c r="C192" s="125">
        <f>+C151</f>
        <v>9351552</v>
      </c>
      <c r="D192" s="132">
        <f>+G151</f>
        <v>0</v>
      </c>
      <c r="E192" s="49"/>
      <c r="F192" s="49"/>
      <c r="G192" s="49"/>
      <c r="H192" s="51">
        <f>+F151</f>
        <v>4000000</v>
      </c>
      <c r="I192" s="53">
        <f>+E151</f>
        <v>433345</v>
      </c>
      <c r="J192" s="30">
        <f>+SUM(C192:G192)-(H192+I192)</f>
        <v>4918207</v>
      </c>
      <c r="K192" s="144" t="b">
        <f>+J192=I151</f>
        <v>1</v>
      </c>
    </row>
    <row r="193" spans="1:16" x14ac:dyDescent="0.3">
      <c r="A193" s="122" t="str">
        <f t="shared" ref="A193" si="114">+A192</f>
        <v>FEVRIER</v>
      </c>
      <c r="B193" s="37" t="s">
        <v>64</v>
      </c>
      <c r="C193" s="125">
        <f>+C152</f>
        <v>6338553</v>
      </c>
      <c r="D193" s="49">
        <f>+G152</f>
        <v>0</v>
      </c>
      <c r="E193" s="48"/>
      <c r="F193" s="48"/>
      <c r="G193" s="48"/>
      <c r="H193" s="32">
        <f>+F152</f>
        <v>0</v>
      </c>
      <c r="I193" s="50">
        <f>+E152</f>
        <v>4107519</v>
      </c>
      <c r="J193" s="30">
        <f>SUM(C193:G193)-(H193+I193)</f>
        <v>2231034</v>
      </c>
      <c r="K193" s="144" t="b">
        <f>+J193=I152</f>
        <v>1</v>
      </c>
    </row>
    <row r="194" spans="1:16" ht="15.6" x14ac:dyDescent="0.3">
      <c r="C194" s="141">
        <f>SUM(C177:C193)</f>
        <v>17554032</v>
      </c>
      <c r="I194" s="140">
        <f>SUM(I177:I193)</f>
        <v>8414912</v>
      </c>
      <c r="J194" s="105">
        <f>+SUM(J177:J193)</f>
        <v>9139120</v>
      </c>
      <c r="K194" s="5" t="b">
        <f>J194=I166</f>
        <v>1</v>
      </c>
    </row>
    <row r="195" spans="1:16" ht="15.6" x14ac:dyDescent="0.3">
      <c r="C195" s="141"/>
      <c r="I195" s="140"/>
      <c r="J195" s="105"/>
    </row>
    <row r="196" spans="1:16" ht="15.6" x14ac:dyDescent="0.3">
      <c r="A196" s="161"/>
      <c r="B196" s="161"/>
      <c r="C196" s="162"/>
      <c r="D196" s="161"/>
      <c r="E196" s="161"/>
      <c r="F196" s="161"/>
      <c r="G196" s="161"/>
      <c r="H196" s="161"/>
      <c r="I196" s="163"/>
      <c r="J196" s="164"/>
      <c r="K196" s="161"/>
      <c r="L196" s="165"/>
      <c r="M196" s="165"/>
      <c r="N196" s="165"/>
      <c r="O196" s="165"/>
      <c r="P196" s="161"/>
    </row>
    <row r="197" spans="1:16" ht="15.75" customHeight="1" x14ac:dyDescent="0.3"/>
    <row r="198" spans="1:16" ht="15.6" x14ac:dyDescent="0.3">
      <c r="A198" s="6" t="s">
        <v>36</v>
      </c>
      <c r="B198" s="6" t="s">
        <v>1</v>
      </c>
      <c r="C198" s="6">
        <v>44927</v>
      </c>
      <c r="D198" s="7" t="s">
        <v>37</v>
      </c>
      <c r="E198" s="7" t="s">
        <v>38</v>
      </c>
      <c r="F198" s="7" t="s">
        <v>39</v>
      </c>
      <c r="G198" s="7" t="s">
        <v>40</v>
      </c>
      <c r="H198" s="6">
        <v>44957</v>
      </c>
      <c r="I198" s="7" t="s">
        <v>41</v>
      </c>
      <c r="K198" s="45"/>
      <c r="L198" s="45" t="s">
        <v>42</v>
      </c>
      <c r="M198" s="45" t="s">
        <v>43</v>
      </c>
      <c r="N198" s="45" t="s">
        <v>44</v>
      </c>
      <c r="O198" s="45" t="s">
        <v>45</v>
      </c>
    </row>
    <row r="199" spans="1:16" x14ac:dyDescent="0.3">
      <c r="A199" s="58" t="str">
        <f>K199</f>
        <v>BCI</v>
      </c>
      <c r="B199" s="59" t="s">
        <v>46</v>
      </c>
      <c r="C199" s="61">
        <v>13524897</v>
      </c>
      <c r="D199" s="61">
        <f>+L199</f>
        <v>0</v>
      </c>
      <c r="E199" s="61">
        <f>+N199</f>
        <v>173345</v>
      </c>
      <c r="F199" s="61">
        <f>+M199</f>
        <v>4000000</v>
      </c>
      <c r="G199" s="61">
        <f t="shared" ref="G199:G214" si="115">+O199</f>
        <v>0</v>
      </c>
      <c r="H199" s="61">
        <v>9351552</v>
      </c>
      <c r="I199" s="61">
        <f>+C199+D199-E199-F199+G199</f>
        <v>9351552</v>
      </c>
      <c r="J199" s="9">
        <f>I199-H199</f>
        <v>0</v>
      </c>
      <c r="K199" s="45" t="s">
        <v>24</v>
      </c>
      <c r="L199" s="47">
        <v>0</v>
      </c>
      <c r="M199" s="47">
        <v>4000000</v>
      </c>
      <c r="N199" s="47">
        <v>173345</v>
      </c>
      <c r="O199" s="47">
        <v>0</v>
      </c>
    </row>
    <row r="200" spans="1:16" x14ac:dyDescent="0.3">
      <c r="A200" s="58" t="str">
        <f t="shared" ref="A200:A214" si="116">K200</f>
        <v>BCI-Sous Compte</v>
      </c>
      <c r="B200" s="59" t="s">
        <v>46</v>
      </c>
      <c r="C200" s="61">
        <v>2476363</v>
      </c>
      <c r="D200" s="61">
        <f t="shared" ref="D200:D212" si="117">+L200</f>
        <v>0</v>
      </c>
      <c r="E200" s="61">
        <f t="shared" ref="E200:E205" si="118">+N200</f>
        <v>4873189</v>
      </c>
      <c r="F200" s="61">
        <f t="shared" ref="F200:F208" si="119">+M200</f>
        <v>0</v>
      </c>
      <c r="G200" s="61">
        <f t="shared" si="115"/>
        <v>8735379</v>
      </c>
      <c r="H200" s="61">
        <v>6338553</v>
      </c>
      <c r="I200" s="61">
        <f>+C200+D200-E200-F200+G200</f>
        <v>6338553</v>
      </c>
      <c r="J200" s="9">
        <f t="shared" ref="J200:J207" si="120">I200-H200</f>
        <v>0</v>
      </c>
      <c r="K200" s="45" t="s">
        <v>155</v>
      </c>
      <c r="L200" s="46">
        <v>0</v>
      </c>
      <c r="M200" s="47">
        <v>0</v>
      </c>
      <c r="N200" s="47">
        <v>4873189</v>
      </c>
      <c r="O200" s="47">
        <v>8735379</v>
      </c>
    </row>
    <row r="201" spans="1:16" x14ac:dyDescent="0.3">
      <c r="A201" s="58" t="str">
        <f t="shared" si="116"/>
        <v>Caisse</v>
      </c>
      <c r="B201" s="59" t="s">
        <v>25</v>
      </c>
      <c r="C201" s="61">
        <v>1335599</v>
      </c>
      <c r="D201" s="61">
        <f t="shared" si="117"/>
        <v>4277000</v>
      </c>
      <c r="E201" s="61">
        <f t="shared" si="118"/>
        <v>2382011</v>
      </c>
      <c r="F201" s="61">
        <f t="shared" si="119"/>
        <v>2331000</v>
      </c>
      <c r="G201" s="61">
        <f t="shared" si="115"/>
        <v>0</v>
      </c>
      <c r="H201" s="61">
        <v>899588</v>
      </c>
      <c r="I201" s="61">
        <f>+C201+D201-E201-F201+G201</f>
        <v>899588</v>
      </c>
      <c r="J201" s="102">
        <f t="shared" si="120"/>
        <v>0</v>
      </c>
      <c r="K201" s="45" t="s">
        <v>25</v>
      </c>
      <c r="L201" s="47">
        <v>4277000</v>
      </c>
      <c r="M201" s="47">
        <v>2331000</v>
      </c>
      <c r="N201" s="47">
        <v>2382011</v>
      </c>
      <c r="O201" s="47">
        <v>0</v>
      </c>
    </row>
    <row r="202" spans="1:16" x14ac:dyDescent="0.3">
      <c r="A202" s="58" t="str">
        <f t="shared" si="116"/>
        <v>Crépin</v>
      </c>
      <c r="B202" s="59" t="s">
        <v>161</v>
      </c>
      <c r="C202" s="61">
        <v>89205</v>
      </c>
      <c r="D202" s="61">
        <f t="shared" si="117"/>
        <v>0</v>
      </c>
      <c r="E202" s="61">
        <f t="shared" si="118"/>
        <v>0</v>
      </c>
      <c r="F202" s="61">
        <f t="shared" si="119"/>
        <v>0</v>
      </c>
      <c r="G202" s="61">
        <f t="shared" si="115"/>
        <v>0</v>
      </c>
      <c r="H202" s="61">
        <v>89205</v>
      </c>
      <c r="I202" s="61">
        <f>+C202+D202-E202-F202+G202</f>
        <v>89205</v>
      </c>
      <c r="J202" s="9">
        <f t="shared" si="120"/>
        <v>0</v>
      </c>
      <c r="K202" s="45" t="s">
        <v>47</v>
      </c>
      <c r="L202" s="47">
        <v>0</v>
      </c>
      <c r="M202" s="47">
        <v>0</v>
      </c>
      <c r="N202" s="47">
        <v>0</v>
      </c>
      <c r="O202" s="47">
        <v>0</v>
      </c>
    </row>
    <row r="203" spans="1:16" x14ac:dyDescent="0.3">
      <c r="A203" s="58" t="str">
        <f t="shared" si="116"/>
        <v>D58</v>
      </c>
      <c r="B203" s="59" t="s">
        <v>4</v>
      </c>
      <c r="C203" s="61">
        <v>0</v>
      </c>
      <c r="D203" s="61">
        <f t="shared" si="117"/>
        <v>85000</v>
      </c>
      <c r="E203" s="61">
        <f t="shared" si="118"/>
        <v>66500</v>
      </c>
      <c r="F203" s="61">
        <f t="shared" si="119"/>
        <v>0</v>
      </c>
      <c r="G203" s="61">
        <f t="shared" si="115"/>
        <v>0</v>
      </c>
      <c r="H203" s="61">
        <v>18500</v>
      </c>
      <c r="I203" s="61">
        <f>+C203+D203-E203-F203+G203</f>
        <v>18500</v>
      </c>
      <c r="J203" s="9">
        <f t="shared" si="120"/>
        <v>0</v>
      </c>
      <c r="K203" s="45" t="s">
        <v>277</v>
      </c>
      <c r="L203" s="47">
        <v>85000</v>
      </c>
      <c r="M203" s="47">
        <v>0</v>
      </c>
      <c r="N203" s="47">
        <v>66500</v>
      </c>
      <c r="O203" s="47">
        <v>0</v>
      </c>
    </row>
    <row r="204" spans="1:16" x14ac:dyDescent="0.3">
      <c r="A204" s="58" t="str">
        <f t="shared" si="116"/>
        <v>Donald</v>
      </c>
      <c r="B204" s="59" t="s">
        <v>161</v>
      </c>
      <c r="C204" s="61">
        <v>236200</v>
      </c>
      <c r="D204" s="61">
        <f t="shared" si="117"/>
        <v>264000</v>
      </c>
      <c r="E204" s="61">
        <f t="shared" si="118"/>
        <v>279550</v>
      </c>
      <c r="F204" s="61">
        <f t="shared" si="119"/>
        <v>210000</v>
      </c>
      <c r="G204" s="61">
        <f t="shared" si="115"/>
        <v>0</v>
      </c>
      <c r="H204" s="61">
        <v>10650</v>
      </c>
      <c r="I204" s="61">
        <f t="shared" ref="I204:I205" si="121">+C204+D204-E204-F204+G204</f>
        <v>10650</v>
      </c>
      <c r="J204" s="9">
        <f t="shared" si="120"/>
        <v>0</v>
      </c>
      <c r="K204" s="45" t="s">
        <v>263</v>
      </c>
      <c r="L204" s="47">
        <v>264000</v>
      </c>
      <c r="M204" s="47">
        <v>210000</v>
      </c>
      <c r="N204" s="47">
        <v>279550</v>
      </c>
      <c r="O204" s="47">
        <v>0</v>
      </c>
    </row>
    <row r="205" spans="1:16" x14ac:dyDescent="0.3">
      <c r="A205" s="58" t="str">
        <f t="shared" si="116"/>
        <v>Evariste</v>
      </c>
      <c r="B205" s="59" t="s">
        <v>162</v>
      </c>
      <c r="C205" s="61">
        <v>11675</v>
      </c>
      <c r="D205" s="61">
        <f t="shared" si="117"/>
        <v>187000</v>
      </c>
      <c r="E205" s="61">
        <f t="shared" si="118"/>
        <v>190350</v>
      </c>
      <c r="F205" s="61">
        <f t="shared" si="119"/>
        <v>0</v>
      </c>
      <c r="G205" s="61">
        <f t="shared" si="115"/>
        <v>0</v>
      </c>
      <c r="H205" s="61">
        <v>8325</v>
      </c>
      <c r="I205" s="61">
        <f t="shared" si="121"/>
        <v>8325</v>
      </c>
      <c r="J205" s="9">
        <f t="shared" si="120"/>
        <v>0</v>
      </c>
      <c r="K205" s="45" t="s">
        <v>31</v>
      </c>
      <c r="L205" s="47">
        <v>187000</v>
      </c>
      <c r="M205" s="47">
        <v>0</v>
      </c>
      <c r="N205" s="47">
        <v>190350</v>
      </c>
      <c r="O205" s="47">
        <v>0</v>
      </c>
    </row>
    <row r="206" spans="1:16" x14ac:dyDescent="0.3">
      <c r="A206" s="58" t="str">
        <f t="shared" si="116"/>
        <v>I55S</v>
      </c>
      <c r="B206" s="116" t="s">
        <v>4</v>
      </c>
      <c r="C206" s="118">
        <v>233614</v>
      </c>
      <c r="D206" s="118">
        <f t="shared" si="117"/>
        <v>0</v>
      </c>
      <c r="E206" s="118">
        <f>+N206</f>
        <v>0</v>
      </c>
      <c r="F206" s="118">
        <f t="shared" si="119"/>
        <v>0</v>
      </c>
      <c r="G206" s="118">
        <f t="shared" si="115"/>
        <v>0</v>
      </c>
      <c r="H206" s="118">
        <v>233614</v>
      </c>
      <c r="I206" s="118">
        <f>+C206+D206-E206-F206+G206</f>
        <v>233614</v>
      </c>
      <c r="J206" s="9">
        <f t="shared" si="120"/>
        <v>0</v>
      </c>
      <c r="K206" s="45" t="s">
        <v>84</v>
      </c>
      <c r="L206" s="47">
        <v>0</v>
      </c>
      <c r="M206" s="47">
        <v>0</v>
      </c>
      <c r="N206" s="47">
        <v>0</v>
      </c>
      <c r="O206" s="47">
        <v>0</v>
      </c>
    </row>
    <row r="207" spans="1:16" x14ac:dyDescent="0.3">
      <c r="A207" s="58" t="str">
        <f t="shared" si="116"/>
        <v>I73X</v>
      </c>
      <c r="B207" s="116" t="s">
        <v>4</v>
      </c>
      <c r="C207" s="118">
        <v>249769</v>
      </c>
      <c r="D207" s="118">
        <f t="shared" si="117"/>
        <v>0</v>
      </c>
      <c r="E207" s="118">
        <f>+N207</f>
        <v>0</v>
      </c>
      <c r="F207" s="118">
        <f t="shared" si="119"/>
        <v>0</v>
      </c>
      <c r="G207" s="118">
        <f t="shared" si="115"/>
        <v>0</v>
      </c>
      <c r="H207" s="118">
        <v>249769</v>
      </c>
      <c r="I207" s="118">
        <f t="shared" ref="I207:I212" si="122">+C207+D207-E207-F207+G207</f>
        <v>249769</v>
      </c>
      <c r="J207" s="9">
        <f t="shared" si="120"/>
        <v>0</v>
      </c>
      <c r="K207" s="45" t="s">
        <v>83</v>
      </c>
      <c r="L207" s="47">
        <v>0</v>
      </c>
      <c r="M207" s="47">
        <v>0</v>
      </c>
      <c r="N207" s="47">
        <v>0</v>
      </c>
      <c r="O207" s="47">
        <v>0</v>
      </c>
    </row>
    <row r="208" spans="1:16" s="189" customFormat="1" ht="15.6" x14ac:dyDescent="0.3">
      <c r="A208" s="58" t="str">
        <f t="shared" si="116"/>
        <v>Grace</v>
      </c>
      <c r="B208" s="59" t="s">
        <v>2</v>
      </c>
      <c r="C208" s="61">
        <v>11800</v>
      </c>
      <c r="D208" s="61">
        <f t="shared" si="117"/>
        <v>639000</v>
      </c>
      <c r="E208" s="61">
        <f t="shared" ref="E208" si="123">+N208</f>
        <v>437050</v>
      </c>
      <c r="F208" s="61">
        <f t="shared" si="119"/>
        <v>193000</v>
      </c>
      <c r="G208" s="61">
        <f t="shared" si="115"/>
        <v>0</v>
      </c>
      <c r="H208" s="185">
        <v>20750</v>
      </c>
      <c r="I208" s="185">
        <f t="shared" si="122"/>
        <v>20750</v>
      </c>
      <c r="J208" s="186">
        <f>I208-H208</f>
        <v>0</v>
      </c>
      <c r="K208" s="187" t="s">
        <v>150</v>
      </c>
      <c r="L208" s="188">
        <v>639000</v>
      </c>
      <c r="M208" s="188">
        <v>193000</v>
      </c>
      <c r="N208" s="47">
        <v>437050</v>
      </c>
      <c r="O208" s="188">
        <v>0</v>
      </c>
    </row>
    <row r="209" spans="1:15" x14ac:dyDescent="0.3">
      <c r="A209" s="58" t="str">
        <f t="shared" si="116"/>
        <v>Hurielle</v>
      </c>
      <c r="B209" s="98" t="s">
        <v>161</v>
      </c>
      <c r="C209" s="61">
        <v>18750</v>
      </c>
      <c r="D209" s="61">
        <f t="shared" si="117"/>
        <v>517000</v>
      </c>
      <c r="E209" s="61">
        <f>+N209</f>
        <v>335200</v>
      </c>
      <c r="F209" s="61">
        <f>+M209</f>
        <v>47000</v>
      </c>
      <c r="G209" s="61">
        <f t="shared" si="115"/>
        <v>0</v>
      </c>
      <c r="H209" s="61">
        <v>153550</v>
      </c>
      <c r="I209" s="61">
        <f t="shared" si="122"/>
        <v>153550</v>
      </c>
      <c r="J209" s="9">
        <f t="shared" ref="J209" si="124">I209-H209</f>
        <v>0</v>
      </c>
      <c r="K209" s="45" t="s">
        <v>204</v>
      </c>
      <c r="L209" s="47">
        <v>517000</v>
      </c>
      <c r="M209" s="47">
        <v>47000</v>
      </c>
      <c r="N209" s="47">
        <v>335200</v>
      </c>
      <c r="O209" s="47">
        <v>0</v>
      </c>
    </row>
    <row r="210" spans="1:15" x14ac:dyDescent="0.3">
      <c r="A210" s="58" t="str">
        <f t="shared" si="116"/>
        <v>Man Love</v>
      </c>
      <c r="B210" s="98" t="s">
        <v>161</v>
      </c>
      <c r="C210" s="61">
        <v>0</v>
      </c>
      <c r="D210" s="61">
        <f t="shared" si="117"/>
        <v>6000</v>
      </c>
      <c r="E210" s="61">
        <f>+N210</f>
        <v>6000</v>
      </c>
      <c r="F210" s="61">
        <f>+M210</f>
        <v>0</v>
      </c>
      <c r="G210" s="61"/>
      <c r="H210" s="61">
        <v>0</v>
      </c>
      <c r="I210" s="61">
        <v>0</v>
      </c>
      <c r="J210" s="9"/>
      <c r="K210" s="45" t="s">
        <v>278</v>
      </c>
      <c r="L210" s="47">
        <v>6000</v>
      </c>
      <c r="M210" s="47">
        <v>0</v>
      </c>
      <c r="N210" s="47">
        <v>6000</v>
      </c>
      <c r="O210" s="47"/>
    </row>
    <row r="211" spans="1:15" s="189" customFormat="1" ht="15.6" x14ac:dyDescent="0.3">
      <c r="A211" s="58" t="str">
        <f t="shared" si="116"/>
        <v>Merveille</v>
      </c>
      <c r="B211" s="59" t="s">
        <v>2</v>
      </c>
      <c r="C211" s="61">
        <v>-2900</v>
      </c>
      <c r="D211" s="61">
        <f t="shared" si="117"/>
        <v>218000</v>
      </c>
      <c r="E211" s="61">
        <f t="shared" ref="E211:E214" si="125">+N211</f>
        <v>124800</v>
      </c>
      <c r="F211" s="61">
        <f t="shared" ref="F211:F214" si="126">+M211</f>
        <v>20000</v>
      </c>
      <c r="G211" s="61">
        <f t="shared" si="115"/>
        <v>0</v>
      </c>
      <c r="H211" s="185">
        <v>70300</v>
      </c>
      <c r="I211" s="185">
        <f t="shared" si="122"/>
        <v>70300</v>
      </c>
      <c r="J211" s="186">
        <f>I211-H211</f>
        <v>0</v>
      </c>
      <c r="K211" s="187" t="s">
        <v>93</v>
      </c>
      <c r="L211" s="188">
        <v>218000</v>
      </c>
      <c r="M211" s="188">
        <v>20000</v>
      </c>
      <c r="N211" s="47">
        <v>124800</v>
      </c>
      <c r="O211" s="188">
        <v>0</v>
      </c>
    </row>
    <row r="212" spans="1:15" x14ac:dyDescent="0.3">
      <c r="A212" s="58" t="str">
        <f t="shared" si="116"/>
        <v>P29</v>
      </c>
      <c r="B212" s="98" t="s">
        <v>4</v>
      </c>
      <c r="C212" s="61">
        <v>148600</v>
      </c>
      <c r="D212" s="61">
        <f t="shared" si="117"/>
        <v>375000</v>
      </c>
      <c r="E212" s="61">
        <f t="shared" si="125"/>
        <v>424500</v>
      </c>
      <c r="F212" s="61">
        <f t="shared" si="126"/>
        <v>0</v>
      </c>
      <c r="G212" s="61">
        <f t="shared" si="115"/>
        <v>0</v>
      </c>
      <c r="H212" s="61">
        <v>99100</v>
      </c>
      <c r="I212" s="61">
        <f t="shared" si="122"/>
        <v>99100</v>
      </c>
      <c r="J212" s="9">
        <f t="shared" ref="J212:J213" si="127">I212-H212</f>
        <v>0</v>
      </c>
      <c r="K212" s="45" t="s">
        <v>29</v>
      </c>
      <c r="L212" s="47">
        <v>375000</v>
      </c>
      <c r="M212" s="47">
        <v>0</v>
      </c>
      <c r="N212" s="47">
        <v>424500</v>
      </c>
      <c r="O212" s="47">
        <v>0</v>
      </c>
    </row>
    <row r="213" spans="1:15" ht="15.6" x14ac:dyDescent="0.3">
      <c r="A213" s="58" t="str">
        <f t="shared" si="116"/>
        <v>T73</v>
      </c>
      <c r="B213" s="59" t="s">
        <v>4</v>
      </c>
      <c r="C213" s="61">
        <v>0</v>
      </c>
      <c r="D213" s="61">
        <f>+L213</f>
        <v>85000</v>
      </c>
      <c r="E213" s="61">
        <f t="shared" si="125"/>
        <v>71100</v>
      </c>
      <c r="F213" s="61">
        <f t="shared" si="126"/>
        <v>0</v>
      </c>
      <c r="G213" s="61">
        <f t="shared" si="115"/>
        <v>0</v>
      </c>
      <c r="H213" s="61">
        <v>13900</v>
      </c>
      <c r="I213" s="61">
        <f>+C213+D213-E213-F213+G213</f>
        <v>13900</v>
      </c>
      <c r="J213" s="9">
        <f t="shared" si="127"/>
        <v>0</v>
      </c>
      <c r="K213" s="45" t="s">
        <v>276</v>
      </c>
      <c r="L213" s="47">
        <v>85000</v>
      </c>
      <c r="M213" s="47">
        <v>0</v>
      </c>
      <c r="N213" s="188">
        <v>71100</v>
      </c>
      <c r="O213" s="47">
        <v>0</v>
      </c>
    </row>
    <row r="214" spans="1:15" x14ac:dyDescent="0.3">
      <c r="A214" s="58" t="str">
        <f t="shared" si="116"/>
        <v>Tiffany</v>
      </c>
      <c r="B214" s="59" t="s">
        <v>2</v>
      </c>
      <c r="C214" s="61">
        <v>-10174</v>
      </c>
      <c r="D214" s="61">
        <f t="shared" ref="D214" si="128">+L214</f>
        <v>198000</v>
      </c>
      <c r="E214" s="61">
        <f t="shared" si="125"/>
        <v>141150</v>
      </c>
      <c r="F214" s="61">
        <f t="shared" si="126"/>
        <v>50000</v>
      </c>
      <c r="G214" s="61">
        <f t="shared" si="115"/>
        <v>0</v>
      </c>
      <c r="H214" s="61">
        <v>-3324</v>
      </c>
      <c r="I214" s="61">
        <f>+C214+D214-E214-F214+G214</f>
        <v>-3324</v>
      </c>
      <c r="J214" s="9">
        <f>I214-H214</f>
        <v>0</v>
      </c>
      <c r="K214" s="45" t="s">
        <v>113</v>
      </c>
      <c r="L214" s="47">
        <v>198000</v>
      </c>
      <c r="M214" s="47">
        <v>50000</v>
      </c>
      <c r="N214" s="47">
        <v>141150</v>
      </c>
      <c r="O214" s="47">
        <v>0</v>
      </c>
    </row>
    <row r="215" spans="1:15" x14ac:dyDescent="0.3">
      <c r="A215" s="10" t="s">
        <v>50</v>
      </c>
      <c r="B215" s="11"/>
      <c r="C215" s="12">
        <f t="shared" ref="C215:I215" si="129">SUM(C199:C214)</f>
        <v>18323398</v>
      </c>
      <c r="D215" s="57">
        <f t="shared" si="129"/>
        <v>6851000</v>
      </c>
      <c r="E215" s="57">
        <f t="shared" si="129"/>
        <v>9504745</v>
      </c>
      <c r="F215" s="57">
        <f t="shared" si="129"/>
        <v>6851000</v>
      </c>
      <c r="G215" s="57">
        <f t="shared" si="129"/>
        <v>8735379</v>
      </c>
      <c r="H215" s="57">
        <f t="shared" si="129"/>
        <v>17554032</v>
      </c>
      <c r="I215" s="57">
        <f t="shared" si="129"/>
        <v>17554032</v>
      </c>
      <c r="J215" s="9">
        <f>I215-H215</f>
        <v>0</v>
      </c>
      <c r="K215" s="3"/>
      <c r="L215" s="47">
        <f>+SUM(L199:L214)</f>
        <v>6851000</v>
      </c>
      <c r="M215" s="47">
        <f>+SUM(M199:M214)</f>
        <v>6851000</v>
      </c>
      <c r="N215" s="47">
        <f>+SUM(N199:N214)</f>
        <v>9504745</v>
      </c>
      <c r="O215" s="47">
        <f>+SUM(O199:O214)</f>
        <v>8735379</v>
      </c>
    </row>
    <row r="216" spans="1:15" x14ac:dyDescent="0.3">
      <c r="A216" s="10"/>
      <c r="B216" s="11"/>
      <c r="C216" s="12"/>
      <c r="D216" s="13"/>
      <c r="E216" s="12"/>
      <c r="F216" s="13"/>
      <c r="G216" s="12"/>
      <c r="H216" s="12"/>
      <c r="I216" s="134" t="b">
        <f>I215=D218</f>
        <v>1</v>
      </c>
      <c r="J216" s="9">
        <f>H215-I215</f>
        <v>0</v>
      </c>
      <c r="L216" s="5"/>
      <c r="M216" s="5"/>
      <c r="N216" s="5"/>
      <c r="O216" s="5"/>
    </row>
    <row r="217" spans="1:15" x14ac:dyDescent="0.3">
      <c r="A217" s="10" t="s">
        <v>279</v>
      </c>
      <c r="B217" s="11" t="s">
        <v>184</v>
      </c>
      <c r="C217" s="12" t="s">
        <v>183</v>
      </c>
      <c r="D217" s="12" t="s">
        <v>280</v>
      </c>
      <c r="E217" s="12" t="s">
        <v>51</v>
      </c>
      <c r="F217" s="12"/>
      <c r="G217" s="12">
        <f>+D215-F215</f>
        <v>0</v>
      </c>
      <c r="H217" s="12"/>
      <c r="I217" s="12"/>
    </row>
    <row r="218" spans="1:15" x14ac:dyDescent="0.3">
      <c r="A218" s="14">
        <f>C215</f>
        <v>18323398</v>
      </c>
      <c r="B218" s="15">
        <f>G215</f>
        <v>8735379</v>
      </c>
      <c r="C218" s="12">
        <f>E215</f>
        <v>9504745</v>
      </c>
      <c r="D218" s="12">
        <f>A218+B218-C218</f>
        <v>17554032</v>
      </c>
      <c r="E218" s="13">
        <f>I215-D218</f>
        <v>0</v>
      </c>
      <c r="F218" s="12"/>
      <c r="G218" s="12"/>
      <c r="H218" s="12"/>
      <c r="I218" s="12"/>
    </row>
    <row r="219" spans="1:15" x14ac:dyDescent="0.3">
      <c r="A219" s="14"/>
      <c r="B219" s="15"/>
      <c r="C219" s="12"/>
      <c r="D219" s="12"/>
      <c r="E219" s="13"/>
      <c r="F219" s="12"/>
      <c r="G219" s="12"/>
      <c r="H219" s="12"/>
      <c r="I219" s="12"/>
    </row>
    <row r="220" spans="1:15" x14ac:dyDescent="0.3">
      <c r="A220" s="16" t="s">
        <v>52</v>
      </c>
      <c r="B220" s="16"/>
      <c r="C220" s="16"/>
      <c r="D220" s="17"/>
      <c r="E220" s="17"/>
      <c r="F220" s="17"/>
      <c r="G220" s="17"/>
      <c r="H220" s="17"/>
      <c r="I220" s="17"/>
    </row>
    <row r="221" spans="1:15" x14ac:dyDescent="0.3">
      <c r="A221" s="18" t="s">
        <v>281</v>
      </c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5" x14ac:dyDescent="0.3">
      <c r="A222" s="19"/>
      <c r="B222" s="17"/>
      <c r="C222" s="20"/>
      <c r="D222" s="20"/>
      <c r="E222" s="20"/>
      <c r="F222" s="20"/>
      <c r="G222" s="20"/>
      <c r="H222" s="17"/>
      <c r="I222" s="17"/>
    </row>
    <row r="223" spans="1:15" ht="45" customHeight="1" x14ac:dyDescent="0.3">
      <c r="A223" s="170" t="s">
        <v>53</v>
      </c>
      <c r="B223" s="172" t="s">
        <v>54</v>
      </c>
      <c r="C223" s="174" t="s">
        <v>282</v>
      </c>
      <c r="D223" s="175" t="s">
        <v>55</v>
      </c>
      <c r="E223" s="176"/>
      <c r="F223" s="176"/>
      <c r="G223" s="177"/>
      <c r="H223" s="178" t="s">
        <v>56</v>
      </c>
      <c r="I223" s="166" t="s">
        <v>57</v>
      </c>
      <c r="J223" s="213"/>
    </row>
    <row r="224" spans="1:15" ht="28.5" customHeight="1" x14ac:dyDescent="0.3">
      <c r="A224" s="171"/>
      <c r="B224" s="173"/>
      <c r="C224" s="22"/>
      <c r="D224" s="21" t="s">
        <v>24</v>
      </c>
      <c r="E224" s="21" t="s">
        <v>25</v>
      </c>
      <c r="F224" s="22" t="s">
        <v>123</v>
      </c>
      <c r="G224" s="21" t="s">
        <v>58</v>
      </c>
      <c r="H224" s="179"/>
      <c r="I224" s="167"/>
      <c r="J224" s="169" t="s">
        <v>283</v>
      </c>
      <c r="K224" s="143"/>
    </row>
    <row r="225" spans="1:11" x14ac:dyDescent="0.3">
      <c r="A225" s="23"/>
      <c r="B225" s="24" t="s">
        <v>59</v>
      </c>
      <c r="C225" s="25"/>
      <c r="D225" s="25"/>
      <c r="E225" s="25"/>
      <c r="F225" s="25"/>
      <c r="G225" s="25"/>
      <c r="H225" s="25"/>
      <c r="I225" s="26"/>
      <c r="J225" s="169"/>
      <c r="K225" s="143"/>
    </row>
    <row r="226" spans="1:11" x14ac:dyDescent="0.3">
      <c r="A226" s="122" t="s">
        <v>108</v>
      </c>
      <c r="B226" s="127" t="s">
        <v>47</v>
      </c>
      <c r="C226" s="32">
        <f>+C202</f>
        <v>89205</v>
      </c>
      <c r="D226" s="31"/>
      <c r="E226" s="32">
        <f>+D202</f>
        <v>0</v>
      </c>
      <c r="F226" s="32"/>
      <c r="G226" s="32"/>
      <c r="H226" s="55">
        <f>+F202</f>
        <v>0</v>
      </c>
      <c r="I226" s="32">
        <f>+E202</f>
        <v>0</v>
      </c>
      <c r="J226" s="30">
        <f t="shared" ref="J226:J229" si="130">+SUM(C226:G226)-(H226+I226)</f>
        <v>89205</v>
      </c>
      <c r="K226" s="144" t="b">
        <f>J226=I202</f>
        <v>1</v>
      </c>
    </row>
    <row r="227" spans="1:11" x14ac:dyDescent="0.3">
      <c r="A227" s="122" t="str">
        <f>+A226</f>
        <v>JANVIER</v>
      </c>
      <c r="B227" s="127" t="s">
        <v>277</v>
      </c>
      <c r="C227" s="32">
        <f t="shared" ref="C227:C229" si="131">+C203</f>
        <v>0</v>
      </c>
      <c r="D227" s="31"/>
      <c r="E227" s="32">
        <f t="shared" ref="E227:E229" si="132">+D203</f>
        <v>85000</v>
      </c>
      <c r="F227" s="32"/>
      <c r="G227" s="32"/>
      <c r="H227" s="55">
        <f t="shared" ref="H227:H229" si="133">+F203</f>
        <v>0</v>
      </c>
      <c r="I227" s="32">
        <f t="shared" ref="I227:I229" si="134">+E203</f>
        <v>66500</v>
      </c>
      <c r="J227" s="30">
        <f t="shared" si="130"/>
        <v>18500</v>
      </c>
      <c r="K227" s="144" t="b">
        <f>J227=I203</f>
        <v>1</v>
      </c>
    </row>
    <row r="228" spans="1:11" x14ac:dyDescent="0.3">
      <c r="A228" s="122" t="str">
        <f t="shared" ref="A228:A238" si="135">+A227</f>
        <v>JANVIER</v>
      </c>
      <c r="B228" s="127" t="s">
        <v>263</v>
      </c>
      <c r="C228" s="32">
        <f t="shared" si="131"/>
        <v>236200</v>
      </c>
      <c r="D228" s="31"/>
      <c r="E228" s="32">
        <f t="shared" si="132"/>
        <v>264000</v>
      </c>
      <c r="F228" s="32"/>
      <c r="G228" s="32"/>
      <c r="H228" s="55">
        <f t="shared" si="133"/>
        <v>210000</v>
      </c>
      <c r="I228" s="32">
        <f t="shared" si="134"/>
        <v>279550</v>
      </c>
      <c r="J228" s="30">
        <f t="shared" si="130"/>
        <v>10650</v>
      </c>
      <c r="K228" s="144" t="b">
        <f t="shared" ref="K228:K238" si="136">J228=I204</f>
        <v>1</v>
      </c>
    </row>
    <row r="229" spans="1:11" x14ac:dyDescent="0.3">
      <c r="A229" s="122" t="str">
        <f t="shared" si="135"/>
        <v>JANVIER</v>
      </c>
      <c r="B229" s="127" t="s">
        <v>31</v>
      </c>
      <c r="C229" s="32">
        <f t="shared" si="131"/>
        <v>11675</v>
      </c>
      <c r="D229" s="31"/>
      <c r="E229" s="32">
        <f t="shared" si="132"/>
        <v>187000</v>
      </c>
      <c r="F229" s="32"/>
      <c r="G229" s="32"/>
      <c r="H229" s="55">
        <f t="shared" si="133"/>
        <v>0</v>
      </c>
      <c r="I229" s="32">
        <f t="shared" si="134"/>
        <v>190350</v>
      </c>
      <c r="J229" s="30">
        <f t="shared" si="130"/>
        <v>8325</v>
      </c>
      <c r="K229" s="144" t="b">
        <f t="shared" si="136"/>
        <v>1</v>
      </c>
    </row>
    <row r="230" spans="1:11" x14ac:dyDescent="0.3">
      <c r="A230" s="122" t="str">
        <f t="shared" si="135"/>
        <v>JANVIER</v>
      </c>
      <c r="B230" s="129" t="s">
        <v>84</v>
      </c>
      <c r="C230" s="120">
        <f>+C206</f>
        <v>233614</v>
      </c>
      <c r="D230" s="123"/>
      <c r="E230" s="120">
        <f>+D206</f>
        <v>0</v>
      </c>
      <c r="F230" s="137"/>
      <c r="G230" s="137"/>
      <c r="H230" s="155">
        <f>+F206</f>
        <v>0</v>
      </c>
      <c r="I230" s="120">
        <f>+E206</f>
        <v>0</v>
      </c>
      <c r="J230" s="121">
        <f>+SUM(C230:G230)-(H230+I230)</f>
        <v>233614</v>
      </c>
      <c r="K230" s="144" t="b">
        <f t="shared" si="136"/>
        <v>1</v>
      </c>
    </row>
    <row r="231" spans="1:11" x14ac:dyDescent="0.3">
      <c r="A231" s="122" t="str">
        <f t="shared" si="135"/>
        <v>JANVIER</v>
      </c>
      <c r="B231" s="129" t="s">
        <v>83</v>
      </c>
      <c r="C231" s="120">
        <f>+C207</f>
        <v>249769</v>
      </c>
      <c r="D231" s="123"/>
      <c r="E231" s="120">
        <f>+D207</f>
        <v>0</v>
      </c>
      <c r="F231" s="137"/>
      <c r="G231" s="137"/>
      <c r="H231" s="155">
        <f>+F207</f>
        <v>0</v>
      </c>
      <c r="I231" s="120">
        <f>+E207</f>
        <v>0</v>
      </c>
      <c r="J231" s="121">
        <f t="shared" ref="J231:J238" si="137">+SUM(C231:G231)-(H231+I231)</f>
        <v>249769</v>
      </c>
      <c r="K231" s="144" t="b">
        <f t="shared" si="136"/>
        <v>1</v>
      </c>
    </row>
    <row r="232" spans="1:11" x14ac:dyDescent="0.3">
      <c r="A232" s="122" t="str">
        <f t="shared" si="135"/>
        <v>JANVIER</v>
      </c>
      <c r="B232" s="127" t="s">
        <v>150</v>
      </c>
      <c r="C232" s="32">
        <f>+C208</f>
        <v>11800</v>
      </c>
      <c r="D232" s="31"/>
      <c r="E232" s="32">
        <f>+D208</f>
        <v>639000</v>
      </c>
      <c r="F232" s="32"/>
      <c r="G232" s="104"/>
      <c r="H232" s="55">
        <f>+F208</f>
        <v>193000</v>
      </c>
      <c r="I232" s="32">
        <f>+E208</f>
        <v>437050</v>
      </c>
      <c r="J232" s="30">
        <f t="shared" si="137"/>
        <v>20750</v>
      </c>
      <c r="K232" s="144" t="b">
        <f t="shared" si="136"/>
        <v>1</v>
      </c>
    </row>
    <row r="233" spans="1:11" x14ac:dyDescent="0.3">
      <c r="A233" s="122" t="str">
        <f t="shared" si="135"/>
        <v>JANVIER</v>
      </c>
      <c r="B233" s="127" t="s">
        <v>204</v>
      </c>
      <c r="C233" s="32">
        <f t="shared" ref="C233:C238" si="138">+C209</f>
        <v>18750</v>
      </c>
      <c r="D233" s="31"/>
      <c r="E233" s="32">
        <f t="shared" ref="E233:E238" si="139">+D209</f>
        <v>517000</v>
      </c>
      <c r="F233" s="32"/>
      <c r="G233" s="104"/>
      <c r="H233" s="55">
        <f t="shared" ref="H233:H238" si="140">+F209</f>
        <v>47000</v>
      </c>
      <c r="I233" s="32">
        <f t="shared" ref="I233:I238" si="141">+E209</f>
        <v>335200</v>
      </c>
      <c r="J233" s="30">
        <f t="shared" si="137"/>
        <v>153550</v>
      </c>
      <c r="K233" s="144" t="b">
        <f t="shared" si="136"/>
        <v>1</v>
      </c>
    </row>
    <row r="234" spans="1:11" x14ac:dyDescent="0.3">
      <c r="A234" s="122" t="str">
        <f t="shared" si="135"/>
        <v>JANVIER</v>
      </c>
      <c r="B234" s="127" t="s">
        <v>278</v>
      </c>
      <c r="C234" s="32">
        <f t="shared" si="138"/>
        <v>0</v>
      </c>
      <c r="D234" s="31"/>
      <c r="E234" s="32">
        <f t="shared" si="139"/>
        <v>6000</v>
      </c>
      <c r="F234" s="32"/>
      <c r="G234" s="104"/>
      <c r="H234" s="55">
        <f t="shared" si="140"/>
        <v>0</v>
      </c>
      <c r="I234" s="32">
        <f t="shared" si="141"/>
        <v>6000</v>
      </c>
      <c r="J234" s="30">
        <f t="shared" si="137"/>
        <v>0</v>
      </c>
      <c r="K234" s="144" t="b">
        <f t="shared" si="136"/>
        <v>1</v>
      </c>
    </row>
    <row r="235" spans="1:11" x14ac:dyDescent="0.3">
      <c r="A235" s="122" t="str">
        <f t="shared" si="135"/>
        <v>JANVIER</v>
      </c>
      <c r="B235" s="127" t="s">
        <v>93</v>
      </c>
      <c r="C235" s="32">
        <f t="shared" si="138"/>
        <v>-2900</v>
      </c>
      <c r="D235" s="31"/>
      <c r="E235" s="32">
        <f t="shared" si="139"/>
        <v>218000</v>
      </c>
      <c r="F235" s="32"/>
      <c r="G235" s="104"/>
      <c r="H235" s="55">
        <f t="shared" si="140"/>
        <v>20000</v>
      </c>
      <c r="I235" s="32">
        <f t="shared" si="141"/>
        <v>124800</v>
      </c>
      <c r="J235" s="30">
        <f t="shared" si="137"/>
        <v>70300</v>
      </c>
      <c r="K235" s="144" t="b">
        <f t="shared" si="136"/>
        <v>1</v>
      </c>
    </row>
    <row r="236" spans="1:11" x14ac:dyDescent="0.3">
      <c r="A236" s="122" t="str">
        <f t="shared" si="135"/>
        <v>JANVIER</v>
      </c>
      <c r="B236" s="127" t="s">
        <v>29</v>
      </c>
      <c r="C236" s="32">
        <f t="shared" si="138"/>
        <v>148600</v>
      </c>
      <c r="D236" s="31"/>
      <c r="E236" s="32">
        <f t="shared" si="139"/>
        <v>375000</v>
      </c>
      <c r="F236" s="32"/>
      <c r="G236" s="104"/>
      <c r="H236" s="55">
        <f t="shared" si="140"/>
        <v>0</v>
      </c>
      <c r="I236" s="32">
        <f t="shared" si="141"/>
        <v>424500</v>
      </c>
      <c r="J236" s="30">
        <f t="shared" si="137"/>
        <v>99100</v>
      </c>
      <c r="K236" s="144" t="b">
        <f t="shared" si="136"/>
        <v>1</v>
      </c>
    </row>
    <row r="237" spans="1:11" x14ac:dyDescent="0.3">
      <c r="A237" s="122" t="str">
        <f t="shared" si="135"/>
        <v>JANVIER</v>
      </c>
      <c r="B237" s="128" t="s">
        <v>276</v>
      </c>
      <c r="C237" s="32">
        <f t="shared" si="138"/>
        <v>0</v>
      </c>
      <c r="D237" s="119"/>
      <c r="E237" s="32">
        <f t="shared" si="139"/>
        <v>85000</v>
      </c>
      <c r="F237" s="51"/>
      <c r="G237" s="138"/>
      <c r="H237" s="55">
        <f t="shared" si="140"/>
        <v>0</v>
      </c>
      <c r="I237" s="32">
        <f t="shared" si="141"/>
        <v>71100</v>
      </c>
      <c r="J237" s="30">
        <f t="shared" ref="J237" si="142">+SUM(C237:G237)-(H237+I237)</f>
        <v>13900</v>
      </c>
      <c r="K237" s="144" t="b">
        <f t="shared" si="136"/>
        <v>1</v>
      </c>
    </row>
    <row r="238" spans="1:11" x14ac:dyDescent="0.3">
      <c r="A238" s="122" t="str">
        <f t="shared" si="135"/>
        <v>JANVIER</v>
      </c>
      <c r="B238" s="128" t="s">
        <v>113</v>
      </c>
      <c r="C238" s="32">
        <f t="shared" si="138"/>
        <v>-10174</v>
      </c>
      <c r="D238" s="119"/>
      <c r="E238" s="32">
        <f t="shared" si="139"/>
        <v>198000</v>
      </c>
      <c r="F238" s="51"/>
      <c r="G238" s="138"/>
      <c r="H238" s="55">
        <f t="shared" si="140"/>
        <v>50000</v>
      </c>
      <c r="I238" s="32">
        <f t="shared" si="141"/>
        <v>141150</v>
      </c>
      <c r="J238" s="30">
        <f t="shared" si="137"/>
        <v>-3324</v>
      </c>
      <c r="K238" s="144" t="b">
        <f t="shared" si="136"/>
        <v>1</v>
      </c>
    </row>
    <row r="239" spans="1:11" x14ac:dyDescent="0.3">
      <c r="A239" s="34" t="s">
        <v>60</v>
      </c>
      <c r="B239" s="35"/>
      <c r="C239" s="35"/>
      <c r="D239" s="35"/>
      <c r="E239" s="35"/>
      <c r="F239" s="35"/>
      <c r="G239" s="35"/>
      <c r="H239" s="35"/>
      <c r="I239" s="35"/>
      <c r="J239" s="36"/>
      <c r="K239" s="143"/>
    </row>
    <row r="240" spans="1:11" x14ac:dyDescent="0.3">
      <c r="A240" s="122" t="str">
        <f>A238</f>
        <v>JANVIER</v>
      </c>
      <c r="B240" s="37" t="s">
        <v>61</v>
      </c>
      <c r="C240" s="38">
        <f>+C201</f>
        <v>1335599</v>
      </c>
      <c r="D240" s="49"/>
      <c r="E240" s="49">
        <f>D201</f>
        <v>4277000</v>
      </c>
      <c r="F240" s="49"/>
      <c r="G240" s="125"/>
      <c r="H240" s="51">
        <f>+F201</f>
        <v>2331000</v>
      </c>
      <c r="I240" s="126">
        <f>+E201</f>
        <v>2382011</v>
      </c>
      <c r="J240" s="30">
        <f>+SUM(C240:G240)-(H240+I240)</f>
        <v>899588</v>
      </c>
      <c r="K240" s="144" t="b">
        <f>J240=I201</f>
        <v>1</v>
      </c>
    </row>
    <row r="241" spans="1:16" x14ac:dyDescent="0.3">
      <c r="A241" s="43" t="s">
        <v>62</v>
      </c>
      <c r="B241" s="24"/>
      <c r="C241" s="35"/>
      <c r="D241" s="24"/>
      <c r="E241" s="24"/>
      <c r="F241" s="24"/>
      <c r="G241" s="24"/>
      <c r="H241" s="24"/>
      <c r="I241" s="24"/>
      <c r="J241" s="36"/>
      <c r="K241" s="143"/>
    </row>
    <row r="242" spans="1:16" x14ac:dyDescent="0.3">
      <c r="A242" s="122" t="str">
        <f>+A240</f>
        <v>JANVIER</v>
      </c>
      <c r="B242" s="37" t="s">
        <v>24</v>
      </c>
      <c r="C242" s="125">
        <f>+C199</f>
        <v>13524897</v>
      </c>
      <c r="D242" s="132">
        <f>+G199</f>
        <v>0</v>
      </c>
      <c r="E242" s="49"/>
      <c r="F242" s="49"/>
      <c r="G242" s="49"/>
      <c r="H242" s="51">
        <f>+F199</f>
        <v>4000000</v>
      </c>
      <c r="I242" s="53">
        <f>+E199</f>
        <v>173345</v>
      </c>
      <c r="J242" s="30">
        <f>+SUM(C242:G242)-(H242+I242)</f>
        <v>9351552</v>
      </c>
      <c r="K242" s="144" t="b">
        <f>+J242=I199</f>
        <v>1</v>
      </c>
    </row>
    <row r="243" spans="1:16" x14ac:dyDescent="0.3">
      <c r="A243" s="122" t="str">
        <f t="shared" ref="A243" si="143">+A242</f>
        <v>JANVIER</v>
      </c>
      <c r="B243" s="37" t="s">
        <v>64</v>
      </c>
      <c r="C243" s="125">
        <f>+C200</f>
        <v>2476363</v>
      </c>
      <c r="D243" s="49">
        <f>+G200</f>
        <v>8735379</v>
      </c>
      <c r="E243" s="48"/>
      <c r="F243" s="48"/>
      <c r="G243" s="48"/>
      <c r="H243" s="32">
        <f>+F200</f>
        <v>0</v>
      </c>
      <c r="I243" s="50">
        <f>+E200</f>
        <v>4873189</v>
      </c>
      <c r="J243" s="30">
        <f>SUM(C243:G243)-(H243+I243)</f>
        <v>6338553</v>
      </c>
      <c r="K243" s="144" t="b">
        <f>+J243=I200</f>
        <v>1</v>
      </c>
    </row>
    <row r="244" spans="1:16" ht="15.6" x14ac:dyDescent="0.3">
      <c r="C244" s="141">
        <f>SUM(C226:C243)</f>
        <v>18323398</v>
      </c>
      <c r="I244" s="140">
        <f>SUM(I226:I243)</f>
        <v>9504745</v>
      </c>
      <c r="J244" s="105">
        <f>+SUM(J226:J243)</f>
        <v>17554032</v>
      </c>
      <c r="K244" s="5" t="b">
        <f>J244=I215</f>
        <v>1</v>
      </c>
    </row>
    <row r="245" spans="1:16" ht="15.6" x14ac:dyDescent="0.3">
      <c r="C245" s="141"/>
      <c r="I245" s="140"/>
      <c r="J245" s="105"/>
    </row>
    <row r="246" spans="1:16" ht="15.6" x14ac:dyDescent="0.3">
      <c r="A246" s="161"/>
      <c r="B246" s="161"/>
      <c r="C246" s="162"/>
      <c r="D246" s="161"/>
      <c r="E246" s="161"/>
      <c r="F246" s="161"/>
      <c r="G246" s="161"/>
      <c r="H246" s="161"/>
      <c r="I246" s="163"/>
      <c r="J246" s="164"/>
      <c r="K246" s="161"/>
      <c r="L246" s="165"/>
      <c r="M246" s="165"/>
      <c r="N246" s="165"/>
      <c r="O246" s="165"/>
      <c r="P246" s="161"/>
    </row>
    <row r="247" spans="1:16" ht="15.75" customHeight="1" x14ac:dyDescent="0.3"/>
    <row r="248" spans="1:16" ht="15.6" x14ac:dyDescent="0.3">
      <c r="A248" s="6" t="s">
        <v>36</v>
      </c>
      <c r="B248" s="6" t="s">
        <v>1</v>
      </c>
      <c r="C248" s="6">
        <v>44896</v>
      </c>
      <c r="D248" s="7" t="s">
        <v>37</v>
      </c>
      <c r="E248" s="7" t="s">
        <v>38</v>
      </c>
      <c r="F248" s="7" t="s">
        <v>39</v>
      </c>
      <c r="G248" s="7" t="s">
        <v>40</v>
      </c>
      <c r="H248" s="6">
        <v>44926</v>
      </c>
      <c r="I248" s="7" t="s">
        <v>41</v>
      </c>
      <c r="K248" s="45"/>
      <c r="L248" s="45" t="s">
        <v>42</v>
      </c>
      <c r="M248" s="45" t="s">
        <v>43</v>
      </c>
      <c r="N248" s="45" t="s">
        <v>44</v>
      </c>
      <c r="O248" s="45" t="s">
        <v>45</v>
      </c>
    </row>
    <row r="249" spans="1:16" x14ac:dyDescent="0.3">
      <c r="A249" s="58" t="str">
        <f>K249</f>
        <v>BCI</v>
      </c>
      <c r="B249" s="59" t="s">
        <v>46</v>
      </c>
      <c r="C249" s="61">
        <v>16218242</v>
      </c>
      <c r="D249" s="61">
        <f>+L249</f>
        <v>0</v>
      </c>
      <c r="E249" s="61">
        <f>+N249</f>
        <v>693345</v>
      </c>
      <c r="F249" s="61">
        <f>+M249</f>
        <v>2000000</v>
      </c>
      <c r="G249" s="61">
        <f t="shared" ref="G249:G262" si="144">+O249</f>
        <v>0</v>
      </c>
      <c r="H249" s="61">
        <v>13524897</v>
      </c>
      <c r="I249" s="61">
        <f>+C249+D249-E249-F249+G249</f>
        <v>13524897</v>
      </c>
      <c r="J249" s="9">
        <f>I249-H249</f>
        <v>0</v>
      </c>
      <c r="K249" s="45" t="s">
        <v>24</v>
      </c>
      <c r="L249" s="47">
        <v>0</v>
      </c>
      <c r="M249" s="47">
        <v>2000000</v>
      </c>
      <c r="N249" s="47">
        <v>693345</v>
      </c>
      <c r="O249" s="47">
        <v>0</v>
      </c>
    </row>
    <row r="250" spans="1:16" x14ac:dyDescent="0.3">
      <c r="A250" s="58" t="str">
        <f t="shared" ref="A250:A262" si="145">K250</f>
        <v>BCI-Sous Compte</v>
      </c>
      <c r="B250" s="59" t="s">
        <v>46</v>
      </c>
      <c r="C250" s="61">
        <v>5621164</v>
      </c>
      <c r="D250" s="61">
        <f t="shared" ref="D250:D260" si="146">+L250</f>
        <v>0</v>
      </c>
      <c r="E250" s="61">
        <f t="shared" ref="E250:E254" si="147">+N250</f>
        <v>3144801</v>
      </c>
      <c r="F250" s="61">
        <f t="shared" ref="F250:F257" si="148">+M250</f>
        <v>0</v>
      </c>
      <c r="G250" s="61">
        <f t="shared" si="144"/>
        <v>0</v>
      </c>
      <c r="H250" s="61">
        <v>2476363</v>
      </c>
      <c r="I250" s="61">
        <f>+C250+D250-E250-F250+G250</f>
        <v>2476363</v>
      </c>
      <c r="J250" s="9">
        <f t="shared" ref="J250:J256" si="149">I250-H250</f>
        <v>0</v>
      </c>
      <c r="K250" s="45" t="s">
        <v>155</v>
      </c>
      <c r="L250" s="46">
        <v>0</v>
      </c>
      <c r="M250" s="47">
        <v>0</v>
      </c>
      <c r="N250" s="47">
        <v>3144801</v>
      </c>
      <c r="O250" s="47">
        <v>0</v>
      </c>
    </row>
    <row r="251" spans="1:16" x14ac:dyDescent="0.3">
      <c r="A251" s="58" t="str">
        <f t="shared" si="145"/>
        <v>Caisse</v>
      </c>
      <c r="B251" s="59" t="s">
        <v>25</v>
      </c>
      <c r="C251" s="61">
        <v>2476103</v>
      </c>
      <c r="D251" s="61">
        <f t="shared" si="146"/>
        <v>2461000</v>
      </c>
      <c r="E251" s="61">
        <f t="shared" si="147"/>
        <v>1832504</v>
      </c>
      <c r="F251" s="61">
        <f t="shared" si="148"/>
        <v>1769000</v>
      </c>
      <c r="G251" s="61">
        <f t="shared" si="144"/>
        <v>0</v>
      </c>
      <c r="H251" s="61">
        <v>1335599</v>
      </c>
      <c r="I251" s="61">
        <f>+C251+D251-E251-F251+G251</f>
        <v>1335599</v>
      </c>
      <c r="J251" s="102">
        <f t="shared" si="149"/>
        <v>0</v>
      </c>
      <c r="K251" s="45" t="s">
        <v>25</v>
      </c>
      <c r="L251" s="47">
        <v>2461000</v>
      </c>
      <c r="M251" s="47">
        <v>1769000</v>
      </c>
      <c r="N251" s="47">
        <v>1832504</v>
      </c>
      <c r="O251" s="47">
        <v>0</v>
      </c>
    </row>
    <row r="252" spans="1:16" x14ac:dyDescent="0.3">
      <c r="A252" s="58" t="str">
        <f t="shared" si="145"/>
        <v>Crépin</v>
      </c>
      <c r="B252" s="59" t="s">
        <v>161</v>
      </c>
      <c r="C252" s="61">
        <v>409530</v>
      </c>
      <c r="D252" s="61">
        <f t="shared" si="146"/>
        <v>435000</v>
      </c>
      <c r="E252" s="61">
        <f t="shared" si="147"/>
        <v>755325</v>
      </c>
      <c r="F252" s="61">
        <f t="shared" si="148"/>
        <v>0</v>
      </c>
      <c r="G252" s="61">
        <f t="shared" si="144"/>
        <v>0</v>
      </c>
      <c r="H252" s="61">
        <v>89205</v>
      </c>
      <c r="I252" s="61">
        <f>+C252+D252-E252-F252+G252</f>
        <v>89205</v>
      </c>
      <c r="J252" s="9">
        <f t="shared" si="149"/>
        <v>0</v>
      </c>
      <c r="K252" s="45" t="s">
        <v>47</v>
      </c>
      <c r="L252" s="47">
        <v>435000</v>
      </c>
      <c r="M252" s="47">
        <v>0</v>
      </c>
      <c r="N252" s="47">
        <v>755325</v>
      </c>
      <c r="O252" s="47">
        <v>0</v>
      </c>
    </row>
    <row r="253" spans="1:16" x14ac:dyDescent="0.3">
      <c r="A253" s="58" t="str">
        <f t="shared" si="145"/>
        <v>Donald</v>
      </c>
      <c r="B253" s="59" t="s">
        <v>161</v>
      </c>
      <c r="C253" s="61">
        <v>9700</v>
      </c>
      <c r="D253" s="61">
        <f t="shared" si="146"/>
        <v>389000</v>
      </c>
      <c r="E253" s="61">
        <f t="shared" si="147"/>
        <v>162500</v>
      </c>
      <c r="F253" s="61">
        <f t="shared" si="148"/>
        <v>0</v>
      </c>
      <c r="G253" s="61">
        <f t="shared" si="144"/>
        <v>0</v>
      </c>
      <c r="H253" s="61">
        <v>236200</v>
      </c>
      <c r="I253" s="61">
        <f t="shared" ref="I253:I254" si="150">+C253+D253-E253-F253+G253</f>
        <v>236200</v>
      </c>
      <c r="J253" s="9">
        <f t="shared" si="149"/>
        <v>0</v>
      </c>
      <c r="K253" s="45" t="s">
        <v>263</v>
      </c>
      <c r="L253" s="47">
        <v>389000</v>
      </c>
      <c r="M253" s="47">
        <v>0</v>
      </c>
      <c r="N253" s="47">
        <v>162500</v>
      </c>
      <c r="O253" s="47">
        <v>0</v>
      </c>
    </row>
    <row r="254" spans="1:16" x14ac:dyDescent="0.3">
      <c r="A254" s="58" t="str">
        <f t="shared" si="145"/>
        <v>Evariste</v>
      </c>
      <c r="B254" s="59" t="s">
        <v>162</v>
      </c>
      <c r="C254" s="61">
        <v>265425</v>
      </c>
      <c r="D254" s="61">
        <f t="shared" si="146"/>
        <v>0</v>
      </c>
      <c r="E254" s="61">
        <f t="shared" si="147"/>
        <v>128750</v>
      </c>
      <c r="F254" s="61">
        <f t="shared" si="148"/>
        <v>125000</v>
      </c>
      <c r="G254" s="61">
        <f t="shared" si="144"/>
        <v>0</v>
      </c>
      <c r="H254" s="61">
        <v>11675</v>
      </c>
      <c r="I254" s="61">
        <f t="shared" si="150"/>
        <v>11675</v>
      </c>
      <c r="J254" s="9">
        <f t="shared" si="149"/>
        <v>0</v>
      </c>
      <c r="K254" s="45" t="s">
        <v>31</v>
      </c>
      <c r="L254" s="47">
        <v>0</v>
      </c>
      <c r="M254" s="47">
        <v>125000</v>
      </c>
      <c r="N254" s="47">
        <v>128750</v>
      </c>
      <c r="O254" s="47">
        <v>0</v>
      </c>
    </row>
    <row r="255" spans="1:16" x14ac:dyDescent="0.3">
      <c r="A255" s="58" t="str">
        <f t="shared" si="145"/>
        <v>I55S</v>
      </c>
      <c r="B255" s="116" t="s">
        <v>4</v>
      </c>
      <c r="C255" s="118">
        <v>233614</v>
      </c>
      <c r="D255" s="118">
        <f t="shared" si="146"/>
        <v>0</v>
      </c>
      <c r="E255" s="118">
        <f>+N255</f>
        <v>0</v>
      </c>
      <c r="F255" s="118">
        <f t="shared" si="148"/>
        <v>0</v>
      </c>
      <c r="G255" s="118">
        <f t="shared" si="144"/>
        <v>0</v>
      </c>
      <c r="H255" s="118">
        <v>233614</v>
      </c>
      <c r="I255" s="118">
        <f>+C255+D255-E255-F255+G255</f>
        <v>233614</v>
      </c>
      <c r="J255" s="9">
        <f t="shared" si="149"/>
        <v>0</v>
      </c>
      <c r="K255" s="45" t="s">
        <v>84</v>
      </c>
      <c r="L255" s="47">
        <v>0</v>
      </c>
      <c r="M255" s="47">
        <v>0</v>
      </c>
      <c r="N255" s="47">
        <v>0</v>
      </c>
      <c r="O255" s="47">
        <v>0</v>
      </c>
    </row>
    <row r="256" spans="1:16" x14ac:dyDescent="0.3">
      <c r="A256" s="58" t="str">
        <f t="shared" si="145"/>
        <v>I73X</v>
      </c>
      <c r="B256" s="116" t="s">
        <v>4</v>
      </c>
      <c r="C256" s="118">
        <v>249769</v>
      </c>
      <c r="D256" s="118">
        <f t="shared" si="146"/>
        <v>0</v>
      </c>
      <c r="E256" s="118">
        <f>+N256</f>
        <v>0</v>
      </c>
      <c r="F256" s="118">
        <f t="shared" si="148"/>
        <v>0</v>
      </c>
      <c r="G256" s="118">
        <f t="shared" si="144"/>
        <v>0</v>
      </c>
      <c r="H256" s="118">
        <v>249769</v>
      </c>
      <c r="I256" s="118">
        <f t="shared" ref="I256:I260" si="151">+C256+D256-E256-F256+G256</f>
        <v>249769</v>
      </c>
      <c r="J256" s="9">
        <f t="shared" si="149"/>
        <v>0</v>
      </c>
      <c r="K256" s="45" t="s">
        <v>83</v>
      </c>
      <c r="L256" s="47">
        <v>0</v>
      </c>
      <c r="M256" s="47">
        <v>0</v>
      </c>
      <c r="N256" s="47">
        <v>0</v>
      </c>
      <c r="O256" s="47">
        <v>0</v>
      </c>
    </row>
    <row r="257" spans="1:15" s="189" customFormat="1" ht="15.6" x14ac:dyDescent="0.3">
      <c r="A257" s="58" t="str">
        <f t="shared" si="145"/>
        <v>Grace</v>
      </c>
      <c r="B257" s="59" t="s">
        <v>2</v>
      </c>
      <c r="C257" s="61">
        <v>596200</v>
      </c>
      <c r="D257" s="61">
        <f t="shared" si="146"/>
        <v>0</v>
      </c>
      <c r="E257" s="61">
        <f t="shared" ref="E257" si="152">+N257</f>
        <v>83400</v>
      </c>
      <c r="F257" s="61">
        <f t="shared" si="148"/>
        <v>501000</v>
      </c>
      <c r="G257" s="61">
        <f t="shared" si="144"/>
        <v>0</v>
      </c>
      <c r="H257" s="185">
        <v>11800</v>
      </c>
      <c r="I257" s="185">
        <f t="shared" si="151"/>
        <v>11800</v>
      </c>
      <c r="J257" s="186">
        <f>I257-H257</f>
        <v>0</v>
      </c>
      <c r="K257" s="187" t="s">
        <v>150</v>
      </c>
      <c r="L257" s="188">
        <v>0</v>
      </c>
      <c r="M257" s="188">
        <v>501000</v>
      </c>
      <c r="N257" s="47">
        <v>83400</v>
      </c>
      <c r="O257" s="188">
        <v>0</v>
      </c>
    </row>
    <row r="258" spans="1:15" x14ac:dyDescent="0.3">
      <c r="A258" s="58" t="str">
        <f t="shared" si="145"/>
        <v>Hurielle</v>
      </c>
      <c r="B258" s="98" t="s">
        <v>161</v>
      </c>
      <c r="C258" s="61">
        <v>144700</v>
      </c>
      <c r="D258" s="61">
        <f t="shared" si="146"/>
        <v>326000</v>
      </c>
      <c r="E258" s="61">
        <f>+N258</f>
        <v>292950</v>
      </c>
      <c r="F258" s="61">
        <f>+M258</f>
        <v>159000</v>
      </c>
      <c r="G258" s="61">
        <f t="shared" si="144"/>
        <v>0</v>
      </c>
      <c r="H258" s="61">
        <v>18750</v>
      </c>
      <c r="I258" s="61">
        <f t="shared" si="151"/>
        <v>18750</v>
      </c>
      <c r="J258" s="9">
        <f t="shared" ref="J258" si="153">I258-H258</f>
        <v>0</v>
      </c>
      <c r="K258" s="45" t="s">
        <v>204</v>
      </c>
      <c r="L258" s="47">
        <v>326000</v>
      </c>
      <c r="M258" s="47">
        <v>159000</v>
      </c>
      <c r="N258" s="47">
        <v>292950</v>
      </c>
      <c r="O258" s="47">
        <v>0</v>
      </c>
    </row>
    <row r="259" spans="1:15" s="189" customFormat="1" ht="15.6" x14ac:dyDescent="0.3">
      <c r="A259" s="58" t="str">
        <f t="shared" si="145"/>
        <v>Merveille</v>
      </c>
      <c r="B259" s="59" t="s">
        <v>2</v>
      </c>
      <c r="C259" s="61">
        <v>-2900</v>
      </c>
      <c r="D259" s="61">
        <f t="shared" si="146"/>
        <v>0</v>
      </c>
      <c r="E259" s="61">
        <f t="shared" ref="E259:E262" si="154">+N259</f>
        <v>0</v>
      </c>
      <c r="F259" s="61">
        <f t="shared" ref="F259:F262" si="155">+M259</f>
        <v>0</v>
      </c>
      <c r="G259" s="61">
        <f t="shared" si="144"/>
        <v>0</v>
      </c>
      <c r="H259" s="185">
        <v>-2900</v>
      </c>
      <c r="I259" s="185">
        <f t="shared" si="151"/>
        <v>-2900</v>
      </c>
      <c r="J259" s="186">
        <f>I259-H259</f>
        <v>0</v>
      </c>
      <c r="K259" s="187" t="s">
        <v>93</v>
      </c>
      <c r="L259" s="188">
        <v>0</v>
      </c>
      <c r="M259" s="188">
        <v>0</v>
      </c>
      <c r="N259" s="47">
        <v>0</v>
      </c>
      <c r="O259" s="188">
        <v>0</v>
      </c>
    </row>
    <row r="260" spans="1:15" x14ac:dyDescent="0.3">
      <c r="A260" s="58" t="str">
        <f t="shared" si="145"/>
        <v>P10</v>
      </c>
      <c r="B260" s="98" t="s">
        <v>4</v>
      </c>
      <c r="C260" s="61">
        <v>103900</v>
      </c>
      <c r="D260" s="61">
        <f t="shared" si="146"/>
        <v>205000</v>
      </c>
      <c r="E260" s="61">
        <f t="shared" si="154"/>
        <v>271900</v>
      </c>
      <c r="F260" s="61">
        <f t="shared" si="155"/>
        <v>37000</v>
      </c>
      <c r="G260" s="61">
        <f t="shared" si="144"/>
        <v>0</v>
      </c>
      <c r="H260" s="61">
        <v>0</v>
      </c>
      <c r="I260" s="61">
        <f t="shared" si="151"/>
        <v>0</v>
      </c>
      <c r="J260" s="9">
        <f t="shared" ref="J260:J261" si="156">I260-H260</f>
        <v>0</v>
      </c>
      <c r="K260" s="45" t="s">
        <v>262</v>
      </c>
      <c r="L260" s="47">
        <v>205000</v>
      </c>
      <c r="M260" s="47">
        <v>37000</v>
      </c>
      <c r="N260" s="47">
        <v>271900</v>
      </c>
      <c r="O260" s="47">
        <v>0</v>
      </c>
    </row>
    <row r="261" spans="1:15" ht="15.6" x14ac:dyDescent="0.3">
      <c r="A261" s="58" t="str">
        <f t="shared" si="145"/>
        <v>P29</v>
      </c>
      <c r="B261" s="59" t="s">
        <v>4</v>
      </c>
      <c r="C261" s="61">
        <v>175900</v>
      </c>
      <c r="D261" s="61">
        <f>+L261</f>
        <v>646000</v>
      </c>
      <c r="E261" s="61">
        <f t="shared" si="154"/>
        <v>623300</v>
      </c>
      <c r="F261" s="61">
        <f t="shared" si="155"/>
        <v>50000</v>
      </c>
      <c r="G261" s="61">
        <f t="shared" si="144"/>
        <v>0</v>
      </c>
      <c r="H261" s="61">
        <v>148600</v>
      </c>
      <c r="I261" s="61">
        <f>+C261+D261-E261-F261+G261</f>
        <v>148600</v>
      </c>
      <c r="J261" s="9">
        <f t="shared" si="156"/>
        <v>0</v>
      </c>
      <c r="K261" s="45" t="s">
        <v>29</v>
      </c>
      <c r="L261" s="47">
        <v>646000</v>
      </c>
      <c r="M261" s="47">
        <v>50000</v>
      </c>
      <c r="N261" s="188">
        <v>623300</v>
      </c>
      <c r="O261" s="47">
        <v>0</v>
      </c>
    </row>
    <row r="262" spans="1:15" x14ac:dyDescent="0.3">
      <c r="A262" s="58" t="str">
        <f t="shared" si="145"/>
        <v>Tiffany</v>
      </c>
      <c r="B262" s="59" t="s">
        <v>2</v>
      </c>
      <c r="C262" s="61">
        <v>-20702</v>
      </c>
      <c r="D262" s="61">
        <f t="shared" ref="D262" si="157">+L262</f>
        <v>179000</v>
      </c>
      <c r="E262" s="61">
        <f t="shared" si="154"/>
        <v>168472</v>
      </c>
      <c r="F262" s="61">
        <f t="shared" si="155"/>
        <v>0</v>
      </c>
      <c r="G262" s="61">
        <f t="shared" si="144"/>
        <v>0</v>
      </c>
      <c r="H262" s="61">
        <v>-10174</v>
      </c>
      <c r="I262" s="61">
        <f>+C262+D262-E262-F262+G262</f>
        <v>-10174</v>
      </c>
      <c r="J262" s="9">
        <f>I262-H262</f>
        <v>0</v>
      </c>
      <c r="K262" s="45" t="s">
        <v>113</v>
      </c>
      <c r="L262" s="47">
        <v>179000</v>
      </c>
      <c r="M262" s="47">
        <v>0</v>
      </c>
      <c r="N262" s="47">
        <v>168472</v>
      </c>
      <c r="O262" s="47">
        <v>0</v>
      </c>
    </row>
    <row r="263" spans="1:15" x14ac:dyDescent="0.3">
      <c r="A263" s="10" t="s">
        <v>50</v>
      </c>
      <c r="B263" s="11"/>
      <c r="C263" s="12">
        <f t="shared" ref="C263:I263" si="158">SUM(C249:C262)</f>
        <v>26480645</v>
      </c>
      <c r="D263" s="57">
        <f t="shared" si="158"/>
        <v>4641000</v>
      </c>
      <c r="E263" s="57">
        <f t="shared" si="158"/>
        <v>8157247</v>
      </c>
      <c r="F263" s="57">
        <f t="shared" si="158"/>
        <v>4641000</v>
      </c>
      <c r="G263" s="57">
        <f t="shared" si="158"/>
        <v>0</v>
      </c>
      <c r="H263" s="57">
        <f t="shared" si="158"/>
        <v>18323398</v>
      </c>
      <c r="I263" s="57">
        <f t="shared" si="158"/>
        <v>18323398</v>
      </c>
      <c r="J263" s="9">
        <f>I263-H263</f>
        <v>0</v>
      </c>
      <c r="K263" s="3"/>
      <c r="L263" s="47">
        <f>+SUM(L249:L262)</f>
        <v>4641000</v>
      </c>
      <c r="M263" s="47">
        <f>+SUM(M249:M262)</f>
        <v>4641000</v>
      </c>
      <c r="N263" s="47">
        <f>+SUM(N249:N262)</f>
        <v>8157247</v>
      </c>
      <c r="O263" s="47">
        <f>+SUM(O249:O262)</f>
        <v>0</v>
      </c>
    </row>
    <row r="264" spans="1:15" x14ac:dyDescent="0.3">
      <c r="A264" s="10"/>
      <c r="B264" s="11"/>
      <c r="C264" s="12"/>
      <c r="D264" s="13"/>
      <c r="E264" s="12"/>
      <c r="F264" s="13"/>
      <c r="G264" s="12"/>
      <c r="H264" s="12"/>
      <c r="I264" s="134" t="b">
        <f>I263=D266</f>
        <v>1</v>
      </c>
      <c r="J264" s="9">
        <f>H263-I263</f>
        <v>0</v>
      </c>
      <c r="L264" s="5"/>
      <c r="M264" s="5"/>
      <c r="N264" s="5"/>
      <c r="O264" s="5"/>
    </row>
    <row r="265" spans="1:15" x14ac:dyDescent="0.3">
      <c r="A265" s="10" t="s">
        <v>270</v>
      </c>
      <c r="B265" s="11" t="s">
        <v>172</v>
      </c>
      <c r="C265" s="12" t="s">
        <v>173</v>
      </c>
      <c r="D265" s="12" t="s">
        <v>271</v>
      </c>
      <c r="E265" s="12" t="s">
        <v>51</v>
      </c>
      <c r="F265" s="12"/>
      <c r="G265" s="12">
        <f>+D263-F263</f>
        <v>0</v>
      </c>
      <c r="H265" s="12"/>
      <c r="I265" s="12"/>
    </row>
    <row r="266" spans="1:15" x14ac:dyDescent="0.3">
      <c r="A266" s="14">
        <f>C263</f>
        <v>26480645</v>
      </c>
      <c r="B266" s="15">
        <f>G263</f>
        <v>0</v>
      </c>
      <c r="C266" s="12">
        <f>E263</f>
        <v>8157247</v>
      </c>
      <c r="D266" s="12">
        <f>A266+B266-C266</f>
        <v>18323398</v>
      </c>
      <c r="E266" s="13">
        <f>I263-D266</f>
        <v>0</v>
      </c>
      <c r="F266" s="12"/>
      <c r="G266" s="12"/>
      <c r="H266" s="12"/>
      <c r="I266" s="12"/>
    </row>
    <row r="267" spans="1:15" x14ac:dyDescent="0.3">
      <c r="A267" s="14"/>
      <c r="B267" s="15"/>
      <c r="C267" s="12"/>
      <c r="D267" s="12"/>
      <c r="E267" s="13"/>
      <c r="F267" s="12"/>
      <c r="G267" s="12"/>
      <c r="H267" s="12"/>
      <c r="I267" s="12"/>
    </row>
    <row r="268" spans="1:15" x14ac:dyDescent="0.3">
      <c r="A268" s="16" t="s">
        <v>52</v>
      </c>
      <c r="B268" s="16"/>
      <c r="C268" s="16"/>
      <c r="D268" s="17"/>
      <c r="E268" s="17"/>
      <c r="F268" s="17"/>
      <c r="G268" s="17"/>
      <c r="H268" s="17"/>
      <c r="I268" s="17"/>
    </row>
    <row r="269" spans="1:15" x14ac:dyDescent="0.3">
      <c r="A269" s="18" t="s">
        <v>272</v>
      </c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5" x14ac:dyDescent="0.3">
      <c r="A270" s="19"/>
      <c r="B270" s="17"/>
      <c r="C270" s="20"/>
      <c r="D270" s="20"/>
      <c r="E270" s="20"/>
      <c r="F270" s="20"/>
      <c r="G270" s="20"/>
      <c r="H270" s="17"/>
      <c r="I270" s="17"/>
    </row>
    <row r="271" spans="1:15" ht="45" customHeight="1" x14ac:dyDescent="0.3">
      <c r="A271" s="170" t="s">
        <v>53</v>
      </c>
      <c r="B271" s="172" t="s">
        <v>54</v>
      </c>
      <c r="C271" s="174" t="s">
        <v>273</v>
      </c>
      <c r="D271" s="175" t="s">
        <v>55</v>
      </c>
      <c r="E271" s="176"/>
      <c r="F271" s="176"/>
      <c r="G271" s="177"/>
      <c r="H271" s="178" t="s">
        <v>56</v>
      </c>
      <c r="I271" s="166" t="s">
        <v>57</v>
      </c>
      <c r="J271" s="213"/>
    </row>
    <row r="272" spans="1:15" ht="28.5" customHeight="1" x14ac:dyDescent="0.3">
      <c r="A272" s="171"/>
      <c r="B272" s="173"/>
      <c r="C272" s="22"/>
      <c r="D272" s="21" t="s">
        <v>24</v>
      </c>
      <c r="E272" s="21" t="s">
        <v>25</v>
      </c>
      <c r="F272" s="22" t="s">
        <v>123</v>
      </c>
      <c r="G272" s="21" t="s">
        <v>58</v>
      </c>
      <c r="H272" s="179"/>
      <c r="I272" s="167"/>
      <c r="J272" s="169" t="s">
        <v>274</v>
      </c>
      <c r="K272" s="143"/>
    </row>
    <row r="273" spans="1:11" x14ac:dyDescent="0.3">
      <c r="A273" s="23"/>
      <c r="B273" s="24" t="s">
        <v>59</v>
      </c>
      <c r="C273" s="25"/>
      <c r="D273" s="25"/>
      <c r="E273" s="25"/>
      <c r="F273" s="25"/>
      <c r="G273" s="25"/>
      <c r="H273" s="25"/>
      <c r="I273" s="26"/>
      <c r="J273" s="169"/>
      <c r="K273" s="143"/>
    </row>
    <row r="274" spans="1:11" x14ac:dyDescent="0.3">
      <c r="A274" s="122" t="s">
        <v>103</v>
      </c>
      <c r="B274" s="127" t="s">
        <v>47</v>
      </c>
      <c r="C274" s="32">
        <f>+C252</f>
        <v>409530</v>
      </c>
      <c r="D274" s="31"/>
      <c r="E274" s="32">
        <f t="shared" ref="E274:E284" si="159">+D252</f>
        <v>435000</v>
      </c>
      <c r="F274" s="32"/>
      <c r="G274" s="32"/>
      <c r="H274" s="55">
        <f t="shared" ref="H274:H284" si="160">+F252</f>
        <v>0</v>
      </c>
      <c r="I274" s="32">
        <f t="shared" ref="I274:I284" si="161">+E252</f>
        <v>755325</v>
      </c>
      <c r="J274" s="30">
        <f t="shared" ref="J274" si="162">+SUM(C274:G274)-(H274+I274)</f>
        <v>89205</v>
      </c>
      <c r="K274" s="144" t="b">
        <f>J274=I252</f>
        <v>1</v>
      </c>
    </row>
    <row r="275" spans="1:11" x14ac:dyDescent="0.3">
      <c r="A275" s="122" t="str">
        <f>+A274</f>
        <v>DECEMBRE</v>
      </c>
      <c r="B275" s="127" t="s">
        <v>263</v>
      </c>
      <c r="C275" s="32">
        <f t="shared" ref="C275:C276" si="163">+C253</f>
        <v>9700</v>
      </c>
      <c r="D275" s="31"/>
      <c r="E275" s="32">
        <f t="shared" si="159"/>
        <v>389000</v>
      </c>
      <c r="F275" s="32"/>
      <c r="G275" s="32"/>
      <c r="H275" s="55">
        <f t="shared" si="160"/>
        <v>0</v>
      </c>
      <c r="I275" s="32">
        <f t="shared" si="161"/>
        <v>162500</v>
      </c>
      <c r="J275" s="101">
        <f t="shared" ref="J275" si="164">+SUM(C275:G275)-(H275+I275)</f>
        <v>236200</v>
      </c>
      <c r="K275" s="144" t="b">
        <f>J275=I253</f>
        <v>1</v>
      </c>
    </row>
    <row r="276" spans="1:11" x14ac:dyDescent="0.3">
      <c r="A276" s="122" t="str">
        <f t="shared" ref="A276:A284" si="165">+A275</f>
        <v>DECEMBRE</v>
      </c>
      <c r="B276" s="127" t="s">
        <v>31</v>
      </c>
      <c r="C276" s="32">
        <f t="shared" si="163"/>
        <v>265425</v>
      </c>
      <c r="D276" s="31"/>
      <c r="E276" s="32">
        <f t="shared" si="159"/>
        <v>0</v>
      </c>
      <c r="F276" s="32"/>
      <c r="G276" s="32"/>
      <c r="H276" s="55">
        <f t="shared" si="160"/>
        <v>125000</v>
      </c>
      <c r="I276" s="32">
        <f t="shared" si="161"/>
        <v>128750</v>
      </c>
      <c r="J276" s="101">
        <f t="shared" ref="J276" si="166">+SUM(C276:G276)-(H276+I276)</f>
        <v>11675</v>
      </c>
      <c r="K276" s="144" t="b">
        <f t="shared" ref="K276:K284" si="167">J276=I254</f>
        <v>1</v>
      </c>
    </row>
    <row r="277" spans="1:11" x14ac:dyDescent="0.3">
      <c r="A277" s="122" t="str">
        <f t="shared" si="165"/>
        <v>DECEMBRE</v>
      </c>
      <c r="B277" s="129" t="s">
        <v>84</v>
      </c>
      <c r="C277" s="120">
        <f>+C255</f>
        <v>233614</v>
      </c>
      <c r="D277" s="123"/>
      <c r="E277" s="120">
        <f t="shared" si="159"/>
        <v>0</v>
      </c>
      <c r="F277" s="137"/>
      <c r="G277" s="137"/>
      <c r="H277" s="155">
        <f t="shared" si="160"/>
        <v>0</v>
      </c>
      <c r="I277" s="120">
        <f t="shared" si="161"/>
        <v>0</v>
      </c>
      <c r="J277" s="121">
        <f>+SUM(C277:G277)-(H277+I277)</f>
        <v>233614</v>
      </c>
      <c r="K277" s="144" t="b">
        <f t="shared" si="167"/>
        <v>1</v>
      </c>
    </row>
    <row r="278" spans="1:11" x14ac:dyDescent="0.3">
      <c r="A278" s="122" t="str">
        <f t="shared" si="165"/>
        <v>DECEMBRE</v>
      </c>
      <c r="B278" s="129" t="s">
        <v>83</v>
      </c>
      <c r="C278" s="120">
        <f>+C256</f>
        <v>249769</v>
      </c>
      <c r="D278" s="123"/>
      <c r="E278" s="120">
        <f t="shared" si="159"/>
        <v>0</v>
      </c>
      <c r="F278" s="137"/>
      <c r="G278" s="137"/>
      <c r="H278" s="155">
        <f t="shared" si="160"/>
        <v>0</v>
      </c>
      <c r="I278" s="120">
        <f t="shared" si="161"/>
        <v>0</v>
      </c>
      <c r="J278" s="121">
        <f t="shared" ref="J278:J284" si="168">+SUM(C278:G278)-(H278+I278)</f>
        <v>249769</v>
      </c>
      <c r="K278" s="144" t="b">
        <f t="shared" si="167"/>
        <v>1</v>
      </c>
    </row>
    <row r="279" spans="1:11" x14ac:dyDescent="0.3">
      <c r="A279" s="122" t="str">
        <f t="shared" si="165"/>
        <v>DECEMBRE</v>
      </c>
      <c r="B279" s="127" t="s">
        <v>150</v>
      </c>
      <c r="C279" s="32">
        <f>+C257</f>
        <v>596200</v>
      </c>
      <c r="D279" s="31"/>
      <c r="E279" s="32">
        <f t="shared" si="159"/>
        <v>0</v>
      </c>
      <c r="F279" s="32"/>
      <c r="G279" s="104"/>
      <c r="H279" s="55">
        <f t="shared" si="160"/>
        <v>501000</v>
      </c>
      <c r="I279" s="32">
        <f t="shared" si="161"/>
        <v>83400</v>
      </c>
      <c r="J279" s="30">
        <f t="shared" si="168"/>
        <v>11800</v>
      </c>
      <c r="K279" s="144" t="b">
        <f t="shared" si="167"/>
        <v>1</v>
      </c>
    </row>
    <row r="280" spans="1:11" x14ac:dyDescent="0.3">
      <c r="A280" s="122" t="str">
        <f t="shared" si="165"/>
        <v>DECEMBRE</v>
      </c>
      <c r="B280" s="127" t="s">
        <v>204</v>
      </c>
      <c r="C280" s="32">
        <f t="shared" ref="C280:C284" si="169">+C258</f>
        <v>144700</v>
      </c>
      <c r="D280" s="31"/>
      <c r="E280" s="32">
        <f t="shared" si="159"/>
        <v>326000</v>
      </c>
      <c r="F280" s="32"/>
      <c r="G280" s="104"/>
      <c r="H280" s="55">
        <f t="shared" si="160"/>
        <v>159000</v>
      </c>
      <c r="I280" s="32">
        <f t="shared" si="161"/>
        <v>292950</v>
      </c>
      <c r="J280" s="30">
        <f t="shared" si="168"/>
        <v>18750</v>
      </c>
      <c r="K280" s="144" t="b">
        <f t="shared" si="167"/>
        <v>1</v>
      </c>
    </row>
    <row r="281" spans="1:11" x14ac:dyDescent="0.3">
      <c r="A281" s="122" t="str">
        <f t="shared" si="165"/>
        <v>DECEMBRE</v>
      </c>
      <c r="B281" s="127" t="s">
        <v>93</v>
      </c>
      <c r="C281" s="32">
        <f t="shared" si="169"/>
        <v>-2900</v>
      </c>
      <c r="D281" s="31"/>
      <c r="E281" s="32">
        <f t="shared" si="159"/>
        <v>0</v>
      </c>
      <c r="F281" s="32"/>
      <c r="G281" s="104"/>
      <c r="H281" s="55">
        <f t="shared" si="160"/>
        <v>0</v>
      </c>
      <c r="I281" s="32">
        <f t="shared" si="161"/>
        <v>0</v>
      </c>
      <c r="J281" s="30">
        <f t="shared" si="168"/>
        <v>-2900</v>
      </c>
      <c r="K281" s="144" t="b">
        <f t="shared" si="167"/>
        <v>1</v>
      </c>
    </row>
    <row r="282" spans="1:11" x14ac:dyDescent="0.3">
      <c r="A282" s="122" t="str">
        <f t="shared" si="165"/>
        <v>DECEMBRE</v>
      </c>
      <c r="B282" s="127" t="s">
        <v>262</v>
      </c>
      <c r="C282" s="32">
        <f t="shared" si="169"/>
        <v>103900</v>
      </c>
      <c r="D282" s="31"/>
      <c r="E282" s="32">
        <f t="shared" si="159"/>
        <v>205000</v>
      </c>
      <c r="F282" s="32"/>
      <c r="G282" s="104"/>
      <c r="H282" s="55">
        <f t="shared" si="160"/>
        <v>37000</v>
      </c>
      <c r="I282" s="32">
        <f t="shared" si="161"/>
        <v>271900</v>
      </c>
      <c r="J282" s="30">
        <f t="shared" si="168"/>
        <v>0</v>
      </c>
      <c r="K282" s="144" t="b">
        <f t="shared" si="167"/>
        <v>1</v>
      </c>
    </row>
    <row r="283" spans="1:11" x14ac:dyDescent="0.3">
      <c r="A283" s="122" t="str">
        <f t="shared" si="165"/>
        <v>DECEMBRE</v>
      </c>
      <c r="B283" s="127" t="s">
        <v>29</v>
      </c>
      <c r="C283" s="32">
        <f t="shared" si="169"/>
        <v>175900</v>
      </c>
      <c r="D283" s="31"/>
      <c r="E283" s="32">
        <f t="shared" si="159"/>
        <v>646000</v>
      </c>
      <c r="F283" s="32"/>
      <c r="G283" s="104"/>
      <c r="H283" s="55">
        <f t="shared" si="160"/>
        <v>50000</v>
      </c>
      <c r="I283" s="32">
        <f t="shared" si="161"/>
        <v>623300</v>
      </c>
      <c r="J283" s="30">
        <f t="shared" si="168"/>
        <v>148600</v>
      </c>
      <c r="K283" s="144" t="b">
        <f t="shared" si="167"/>
        <v>1</v>
      </c>
    </row>
    <row r="284" spans="1:11" x14ac:dyDescent="0.3">
      <c r="A284" s="122" t="str">
        <f t="shared" si="165"/>
        <v>DECEMBRE</v>
      </c>
      <c r="B284" s="128" t="s">
        <v>113</v>
      </c>
      <c r="C284" s="32">
        <f t="shared" si="169"/>
        <v>-20702</v>
      </c>
      <c r="D284" s="119"/>
      <c r="E284" s="32">
        <f t="shared" si="159"/>
        <v>179000</v>
      </c>
      <c r="F284" s="51"/>
      <c r="G284" s="138"/>
      <c r="H284" s="55">
        <f t="shared" si="160"/>
        <v>0</v>
      </c>
      <c r="I284" s="32">
        <f t="shared" si="161"/>
        <v>168472</v>
      </c>
      <c r="J284" s="30">
        <f t="shared" si="168"/>
        <v>-10174</v>
      </c>
      <c r="K284" s="144" t="b">
        <f t="shared" si="167"/>
        <v>1</v>
      </c>
    </row>
    <row r="285" spans="1:11" x14ac:dyDescent="0.3">
      <c r="A285" s="34" t="s">
        <v>60</v>
      </c>
      <c r="B285" s="35"/>
      <c r="C285" s="35"/>
      <c r="D285" s="35"/>
      <c r="E285" s="35"/>
      <c r="F285" s="35"/>
      <c r="G285" s="35"/>
      <c r="H285" s="35"/>
      <c r="I285" s="35"/>
      <c r="J285" s="36"/>
      <c r="K285" s="143"/>
    </row>
    <row r="286" spans="1:11" x14ac:dyDescent="0.3">
      <c r="A286" s="122" t="str">
        <f>A284</f>
        <v>DECEMBRE</v>
      </c>
      <c r="B286" s="37" t="s">
        <v>61</v>
      </c>
      <c r="C286" s="38">
        <f>+C251</f>
        <v>2476103</v>
      </c>
      <c r="D286" s="49"/>
      <c r="E286" s="49">
        <f>D251</f>
        <v>2461000</v>
      </c>
      <c r="F286" s="49"/>
      <c r="G286" s="125"/>
      <c r="H286" s="51">
        <f>+F251</f>
        <v>1769000</v>
      </c>
      <c r="I286" s="126">
        <f>+E251</f>
        <v>1832504</v>
      </c>
      <c r="J286" s="30">
        <f>+SUM(C286:G286)-(H286+I286)</f>
        <v>1335599</v>
      </c>
      <c r="K286" s="144" t="b">
        <f>J286=I251</f>
        <v>1</v>
      </c>
    </row>
    <row r="287" spans="1:11" x14ac:dyDescent="0.3">
      <c r="A287" s="43" t="s">
        <v>62</v>
      </c>
      <c r="B287" s="24"/>
      <c r="C287" s="35"/>
      <c r="D287" s="24"/>
      <c r="E287" s="24"/>
      <c r="F287" s="24"/>
      <c r="G287" s="24"/>
      <c r="H287" s="24"/>
      <c r="I287" s="24"/>
      <c r="J287" s="36"/>
      <c r="K287" s="143"/>
    </row>
    <row r="288" spans="1:11" x14ac:dyDescent="0.3">
      <c r="A288" s="122" t="str">
        <f>+A286</f>
        <v>DECEMBRE</v>
      </c>
      <c r="B288" s="37" t="s">
        <v>163</v>
      </c>
      <c r="C288" s="125">
        <f>+C249</f>
        <v>16218242</v>
      </c>
      <c r="D288" s="132">
        <f>+G249</f>
        <v>0</v>
      </c>
      <c r="E288" s="49"/>
      <c r="F288" s="49"/>
      <c r="G288" s="49"/>
      <c r="H288" s="51">
        <f>+F249</f>
        <v>2000000</v>
      </c>
      <c r="I288" s="53">
        <f>+E249</f>
        <v>693345</v>
      </c>
      <c r="J288" s="30">
        <f>+SUM(C288:G288)-(H288+I288)</f>
        <v>13524897</v>
      </c>
      <c r="K288" s="144" t="b">
        <f>+J288=I249</f>
        <v>1</v>
      </c>
    </row>
    <row r="289" spans="1:16" x14ac:dyDescent="0.3">
      <c r="A289" s="122" t="str">
        <f t="shared" ref="A289" si="170">+A288</f>
        <v>DECEMBRE</v>
      </c>
      <c r="B289" s="37" t="s">
        <v>64</v>
      </c>
      <c r="C289" s="125">
        <f>+C250</f>
        <v>5621164</v>
      </c>
      <c r="D289" s="49">
        <f>+G250</f>
        <v>0</v>
      </c>
      <c r="E289" s="48"/>
      <c r="F289" s="48"/>
      <c r="G289" s="48"/>
      <c r="H289" s="32">
        <f>+F250</f>
        <v>0</v>
      </c>
      <c r="I289" s="50">
        <f>+E250</f>
        <v>3144801</v>
      </c>
      <c r="J289" s="30">
        <f>SUM(C289:G289)-(H289+I289)</f>
        <v>2476363</v>
      </c>
      <c r="K289" s="144" t="b">
        <f>+J289=I250</f>
        <v>1</v>
      </c>
    </row>
    <row r="290" spans="1:16" ht="15.6" x14ac:dyDescent="0.3">
      <c r="C290" s="141">
        <f>SUM(C274:C289)</f>
        <v>26480645</v>
      </c>
      <c r="I290" s="140">
        <f>SUM(I274:I289)</f>
        <v>8157247</v>
      </c>
      <c r="J290" s="105">
        <f>+SUM(J274:J289)</f>
        <v>18323398</v>
      </c>
      <c r="K290" s="5" t="b">
        <f>J290=I263</f>
        <v>1</v>
      </c>
    </row>
    <row r="291" spans="1:16" ht="15.6" x14ac:dyDescent="0.3">
      <c r="C291" s="141"/>
      <c r="I291" s="140"/>
      <c r="J291" s="105"/>
    </row>
    <row r="292" spans="1:16" ht="15.6" x14ac:dyDescent="0.3">
      <c r="A292" s="161"/>
      <c r="B292" s="161"/>
      <c r="C292" s="162"/>
      <c r="D292" s="161"/>
      <c r="E292" s="161"/>
      <c r="F292" s="161"/>
      <c r="G292" s="161"/>
      <c r="H292" s="161"/>
      <c r="I292" s="163"/>
      <c r="J292" s="164"/>
      <c r="K292" s="161"/>
      <c r="L292" s="165"/>
      <c r="M292" s="165"/>
      <c r="N292" s="165"/>
      <c r="O292" s="165"/>
      <c r="P292" s="161"/>
    </row>
    <row r="294" spans="1:16" ht="15.6" x14ac:dyDescent="0.3">
      <c r="A294" s="6" t="s">
        <v>36</v>
      </c>
      <c r="B294" s="6" t="s">
        <v>1</v>
      </c>
      <c r="C294" s="6">
        <v>44866</v>
      </c>
      <c r="D294" s="7" t="s">
        <v>37</v>
      </c>
      <c r="E294" s="7" t="s">
        <v>38</v>
      </c>
      <c r="F294" s="7" t="s">
        <v>39</v>
      </c>
      <c r="G294" s="7" t="s">
        <v>40</v>
      </c>
      <c r="H294" s="6">
        <v>44895</v>
      </c>
      <c r="I294" s="7" t="s">
        <v>41</v>
      </c>
      <c r="K294" s="45"/>
      <c r="L294" s="45" t="s">
        <v>42</v>
      </c>
      <c r="M294" s="45" t="s">
        <v>43</v>
      </c>
      <c r="N294" s="45" t="s">
        <v>44</v>
      </c>
      <c r="O294" s="45" t="s">
        <v>45</v>
      </c>
    </row>
    <row r="295" spans="1:16" x14ac:dyDescent="0.3">
      <c r="A295" s="58" t="str">
        <f>K295</f>
        <v>BCI</v>
      </c>
      <c r="B295" s="59" t="s">
        <v>46</v>
      </c>
      <c r="C295" s="61">
        <v>9603727</v>
      </c>
      <c r="D295" s="61">
        <f>+L295</f>
        <v>0</v>
      </c>
      <c r="E295" s="61">
        <f>+N295</f>
        <v>173438</v>
      </c>
      <c r="F295" s="61">
        <f>+M295</f>
        <v>6000000</v>
      </c>
      <c r="G295" s="61">
        <f t="shared" ref="G295:G308" si="171">+O295</f>
        <v>12787953</v>
      </c>
      <c r="H295" s="61">
        <v>16218242</v>
      </c>
      <c r="I295" s="61">
        <f>+C295+D295-E295-F295+G295</f>
        <v>16218242</v>
      </c>
      <c r="J295" s="9">
        <f>I295-H295</f>
        <v>0</v>
      </c>
      <c r="K295" s="45" t="s">
        <v>24</v>
      </c>
      <c r="L295" s="47">
        <v>0</v>
      </c>
      <c r="M295" s="47">
        <v>6000000</v>
      </c>
      <c r="N295" s="47">
        <v>173438</v>
      </c>
      <c r="O295" s="47">
        <v>12787953</v>
      </c>
    </row>
    <row r="296" spans="1:16" x14ac:dyDescent="0.3">
      <c r="A296" s="58" t="str">
        <f t="shared" ref="A296:A308" si="172">K296</f>
        <v>BCI-Sous Compte</v>
      </c>
      <c r="B296" s="59" t="s">
        <v>46</v>
      </c>
      <c r="C296" s="61">
        <v>9538949</v>
      </c>
      <c r="D296" s="61">
        <f t="shared" ref="D296:D306" si="173">+L296</f>
        <v>0</v>
      </c>
      <c r="E296" s="61">
        <f t="shared" ref="E296:E300" si="174">+N296</f>
        <v>3917785</v>
      </c>
      <c r="F296" s="61">
        <f t="shared" ref="F296:F303" si="175">+M296</f>
        <v>0</v>
      </c>
      <c r="G296" s="61">
        <f t="shared" si="171"/>
        <v>0</v>
      </c>
      <c r="H296" s="61">
        <v>5621164</v>
      </c>
      <c r="I296" s="61">
        <f>+C296+D296-E296-F296+G296</f>
        <v>5621164</v>
      </c>
      <c r="J296" s="9">
        <f t="shared" ref="J296:J304" si="176">I296-H296</f>
        <v>0</v>
      </c>
      <c r="K296" s="45" t="s">
        <v>155</v>
      </c>
      <c r="L296" s="46">
        <v>0</v>
      </c>
      <c r="M296" s="47">
        <v>0</v>
      </c>
      <c r="N296" s="47">
        <v>3917785</v>
      </c>
      <c r="O296" s="47">
        <v>0</v>
      </c>
    </row>
    <row r="297" spans="1:16" x14ac:dyDescent="0.3">
      <c r="A297" s="58" t="str">
        <f t="shared" si="172"/>
        <v>Caisse</v>
      </c>
      <c r="B297" s="59" t="s">
        <v>25</v>
      </c>
      <c r="C297" s="61">
        <v>2105331</v>
      </c>
      <c r="D297" s="61">
        <f t="shared" si="173"/>
        <v>6149000</v>
      </c>
      <c r="E297" s="61">
        <f t="shared" si="174"/>
        <v>1843228</v>
      </c>
      <c r="F297" s="61">
        <f t="shared" si="175"/>
        <v>3935000</v>
      </c>
      <c r="G297" s="61">
        <f t="shared" si="171"/>
        <v>0</v>
      </c>
      <c r="H297" s="61">
        <v>2476103</v>
      </c>
      <c r="I297" s="61">
        <f>+C297+D297-E297-F297+G297</f>
        <v>2476103</v>
      </c>
      <c r="J297" s="102">
        <f t="shared" si="176"/>
        <v>0</v>
      </c>
      <c r="K297" s="45" t="s">
        <v>25</v>
      </c>
      <c r="L297" s="47">
        <v>6149000</v>
      </c>
      <c r="M297" s="47">
        <v>3935000</v>
      </c>
      <c r="N297" s="47">
        <v>1843228</v>
      </c>
      <c r="O297" s="47">
        <v>0</v>
      </c>
    </row>
    <row r="298" spans="1:16" x14ac:dyDescent="0.3">
      <c r="A298" s="58" t="str">
        <f t="shared" si="172"/>
        <v>Crépin</v>
      </c>
      <c r="B298" s="59" t="s">
        <v>161</v>
      </c>
      <c r="C298" s="61">
        <v>113930</v>
      </c>
      <c r="D298" s="61">
        <f t="shared" si="173"/>
        <v>614000</v>
      </c>
      <c r="E298" s="61">
        <f t="shared" si="174"/>
        <v>238400</v>
      </c>
      <c r="F298" s="61">
        <f t="shared" si="175"/>
        <v>80000</v>
      </c>
      <c r="G298" s="61">
        <f t="shared" si="171"/>
        <v>0</v>
      </c>
      <c r="H298" s="61">
        <v>409530</v>
      </c>
      <c r="I298" s="61">
        <f>+C298+D298-E298-F298+G298</f>
        <v>409530</v>
      </c>
      <c r="J298" s="9">
        <f t="shared" si="176"/>
        <v>0</v>
      </c>
      <c r="K298" s="45" t="s">
        <v>47</v>
      </c>
      <c r="L298" s="47">
        <v>614000</v>
      </c>
      <c r="M298" s="47">
        <v>80000</v>
      </c>
      <c r="N298" s="47">
        <v>238400</v>
      </c>
      <c r="O298" s="47">
        <v>0</v>
      </c>
    </row>
    <row r="299" spans="1:16" x14ac:dyDescent="0.3">
      <c r="A299" s="58" t="str">
        <f t="shared" si="172"/>
        <v>Donald</v>
      </c>
      <c r="B299" s="59" t="s">
        <v>161</v>
      </c>
      <c r="C299" s="61">
        <v>13000</v>
      </c>
      <c r="D299" s="61">
        <f t="shared" si="173"/>
        <v>521000</v>
      </c>
      <c r="E299" s="61">
        <f t="shared" si="174"/>
        <v>504300</v>
      </c>
      <c r="F299" s="61">
        <f t="shared" si="175"/>
        <v>20000</v>
      </c>
      <c r="G299" s="61">
        <f t="shared" si="171"/>
        <v>0</v>
      </c>
      <c r="H299" s="61">
        <v>9700</v>
      </c>
      <c r="I299" s="61">
        <f t="shared" ref="I299:I300" si="177">+C299+D299-E299-F299+G299</f>
        <v>9700</v>
      </c>
      <c r="J299" s="9">
        <f t="shared" si="176"/>
        <v>0</v>
      </c>
      <c r="K299" s="45" t="s">
        <v>263</v>
      </c>
      <c r="L299" s="47">
        <v>521000</v>
      </c>
      <c r="M299" s="47">
        <v>20000</v>
      </c>
      <c r="N299" s="47">
        <v>504300</v>
      </c>
      <c r="O299" s="47">
        <v>0</v>
      </c>
    </row>
    <row r="300" spans="1:16" x14ac:dyDescent="0.3">
      <c r="A300" s="58" t="str">
        <f t="shared" si="172"/>
        <v>Evariste</v>
      </c>
      <c r="B300" s="59" t="s">
        <v>162</v>
      </c>
      <c r="C300" s="61">
        <v>11575</v>
      </c>
      <c r="D300" s="61">
        <f t="shared" si="173"/>
        <v>324000</v>
      </c>
      <c r="E300" s="61">
        <f t="shared" si="174"/>
        <v>70150</v>
      </c>
      <c r="F300" s="61">
        <f t="shared" si="175"/>
        <v>0</v>
      </c>
      <c r="G300" s="61">
        <f t="shared" si="171"/>
        <v>0</v>
      </c>
      <c r="H300" s="61">
        <v>265425</v>
      </c>
      <c r="I300" s="61">
        <f t="shared" si="177"/>
        <v>265425</v>
      </c>
      <c r="J300" s="9">
        <f t="shared" si="176"/>
        <v>0</v>
      </c>
      <c r="K300" s="45" t="s">
        <v>31</v>
      </c>
      <c r="L300" s="47">
        <v>324000</v>
      </c>
      <c r="M300" s="47">
        <v>0</v>
      </c>
      <c r="N300" s="47">
        <v>70150</v>
      </c>
      <c r="O300" s="47">
        <v>0</v>
      </c>
    </row>
    <row r="301" spans="1:16" x14ac:dyDescent="0.3">
      <c r="A301" s="58" t="str">
        <f t="shared" si="172"/>
        <v>I55S</v>
      </c>
      <c r="B301" s="116" t="s">
        <v>4</v>
      </c>
      <c r="C301" s="118">
        <v>233614</v>
      </c>
      <c r="D301" s="118">
        <f t="shared" si="173"/>
        <v>0</v>
      </c>
      <c r="E301" s="118">
        <f>+N301</f>
        <v>0</v>
      </c>
      <c r="F301" s="118">
        <f t="shared" si="175"/>
        <v>0</v>
      </c>
      <c r="G301" s="118">
        <f t="shared" si="171"/>
        <v>0</v>
      </c>
      <c r="H301" s="118">
        <v>233614</v>
      </c>
      <c r="I301" s="118">
        <f>+C301+D301-E301-F301+G301</f>
        <v>233614</v>
      </c>
      <c r="J301" s="9">
        <f t="shared" si="176"/>
        <v>0</v>
      </c>
      <c r="K301" s="45" t="s">
        <v>84</v>
      </c>
      <c r="L301" s="47">
        <v>0</v>
      </c>
      <c r="M301" s="47">
        <v>0</v>
      </c>
      <c r="N301" s="47">
        <v>0</v>
      </c>
      <c r="O301" s="47">
        <v>0</v>
      </c>
    </row>
    <row r="302" spans="1:16" x14ac:dyDescent="0.3">
      <c r="A302" s="58" t="str">
        <f t="shared" si="172"/>
        <v>I73X</v>
      </c>
      <c r="B302" s="116" t="s">
        <v>4</v>
      </c>
      <c r="C302" s="118">
        <v>249769</v>
      </c>
      <c r="D302" s="118">
        <f t="shared" si="173"/>
        <v>0</v>
      </c>
      <c r="E302" s="118">
        <f>+N302</f>
        <v>0</v>
      </c>
      <c r="F302" s="118">
        <f t="shared" si="175"/>
        <v>0</v>
      </c>
      <c r="G302" s="118">
        <f t="shared" si="171"/>
        <v>0</v>
      </c>
      <c r="H302" s="118">
        <v>249769</v>
      </c>
      <c r="I302" s="118">
        <f t="shared" ref="I302:I306" si="178">+C302+D302-E302-F302+G302</f>
        <v>249769</v>
      </c>
      <c r="J302" s="9">
        <f t="shared" si="176"/>
        <v>0</v>
      </c>
      <c r="K302" s="45" t="s">
        <v>83</v>
      </c>
      <c r="L302" s="47">
        <v>0</v>
      </c>
      <c r="M302" s="47">
        <v>0</v>
      </c>
      <c r="N302" s="47">
        <v>0</v>
      </c>
      <c r="O302" s="47">
        <v>0</v>
      </c>
    </row>
    <row r="303" spans="1:16" s="189" customFormat="1" ht="15.6" x14ac:dyDescent="0.3">
      <c r="A303" s="58" t="str">
        <f t="shared" ref="A303" si="179">K303</f>
        <v>Grace</v>
      </c>
      <c r="B303" s="184" t="s">
        <v>2</v>
      </c>
      <c r="C303" s="185">
        <v>0</v>
      </c>
      <c r="D303" s="61">
        <f t="shared" ref="D303" si="180">+L303</f>
        <v>950000</v>
      </c>
      <c r="E303" s="61">
        <f t="shared" ref="E303" si="181">+N303</f>
        <v>33800</v>
      </c>
      <c r="F303" s="61">
        <f t="shared" si="175"/>
        <v>320000</v>
      </c>
      <c r="G303" s="61">
        <f t="shared" ref="G303" si="182">+O303</f>
        <v>0</v>
      </c>
      <c r="H303" s="185">
        <v>596200</v>
      </c>
      <c r="I303" s="185">
        <f t="shared" ref="I303" si="183">+C303+D303-E303-F303+G303</f>
        <v>596200</v>
      </c>
      <c r="J303" s="186">
        <f>I303-H303</f>
        <v>0</v>
      </c>
      <c r="K303" s="187" t="s">
        <v>150</v>
      </c>
      <c r="L303" s="188">
        <v>950000</v>
      </c>
      <c r="M303" s="188">
        <v>320000</v>
      </c>
      <c r="N303" s="47">
        <v>33800</v>
      </c>
      <c r="O303" s="188">
        <v>0</v>
      </c>
    </row>
    <row r="304" spans="1:16" x14ac:dyDescent="0.3">
      <c r="A304" s="58" t="str">
        <f t="shared" si="172"/>
        <v>Hurielle</v>
      </c>
      <c r="B304" s="98" t="s">
        <v>161</v>
      </c>
      <c r="C304" s="61">
        <v>46900</v>
      </c>
      <c r="D304" s="61">
        <f t="shared" si="173"/>
        <v>603000</v>
      </c>
      <c r="E304" s="61">
        <f>+N304</f>
        <v>456200</v>
      </c>
      <c r="F304" s="61">
        <f>+M304</f>
        <v>49000</v>
      </c>
      <c r="G304" s="61">
        <f t="shared" si="171"/>
        <v>0</v>
      </c>
      <c r="H304" s="61">
        <v>144700</v>
      </c>
      <c r="I304" s="61">
        <f t="shared" si="178"/>
        <v>144700</v>
      </c>
      <c r="J304" s="9">
        <f t="shared" si="176"/>
        <v>0</v>
      </c>
      <c r="K304" s="45" t="s">
        <v>204</v>
      </c>
      <c r="L304" s="47">
        <v>603000</v>
      </c>
      <c r="M304" s="47">
        <v>49000</v>
      </c>
      <c r="N304" s="47">
        <v>456200</v>
      </c>
      <c r="O304" s="47">
        <v>0</v>
      </c>
    </row>
    <row r="305" spans="1:15" s="189" customFormat="1" ht="15.6" x14ac:dyDescent="0.3">
      <c r="A305" s="58" t="str">
        <f t="shared" si="172"/>
        <v>Merveille</v>
      </c>
      <c r="B305" s="184" t="s">
        <v>2</v>
      </c>
      <c r="C305" s="185">
        <v>14100</v>
      </c>
      <c r="D305" s="61">
        <f t="shared" si="173"/>
        <v>0</v>
      </c>
      <c r="E305" s="61">
        <f t="shared" ref="E305:E308" si="184">+N305</f>
        <v>17000</v>
      </c>
      <c r="F305" s="61">
        <f t="shared" ref="F305:F308" si="185">+M305</f>
        <v>0</v>
      </c>
      <c r="G305" s="61">
        <f t="shared" si="171"/>
        <v>0</v>
      </c>
      <c r="H305" s="185">
        <v>-2900</v>
      </c>
      <c r="I305" s="185">
        <f t="shared" si="178"/>
        <v>-2900</v>
      </c>
      <c r="J305" s="186">
        <f>I305-H305</f>
        <v>0</v>
      </c>
      <c r="K305" s="187" t="s">
        <v>93</v>
      </c>
      <c r="L305" s="188">
        <v>0</v>
      </c>
      <c r="M305" s="188">
        <v>0</v>
      </c>
      <c r="N305" s="47">
        <v>17000</v>
      </c>
      <c r="O305" s="188">
        <v>0</v>
      </c>
    </row>
    <row r="306" spans="1:15" x14ac:dyDescent="0.3">
      <c r="A306" s="58" t="str">
        <f t="shared" si="172"/>
        <v>P10</v>
      </c>
      <c r="B306" s="98" t="s">
        <v>4</v>
      </c>
      <c r="C306" s="61">
        <v>-3000</v>
      </c>
      <c r="D306" s="61">
        <f t="shared" si="173"/>
        <v>685000</v>
      </c>
      <c r="E306" s="61">
        <f t="shared" si="184"/>
        <v>578100</v>
      </c>
      <c r="F306" s="61">
        <f t="shared" si="185"/>
        <v>0</v>
      </c>
      <c r="G306" s="61">
        <f t="shared" si="171"/>
        <v>0</v>
      </c>
      <c r="H306" s="61">
        <v>103900</v>
      </c>
      <c r="I306" s="61">
        <f t="shared" si="178"/>
        <v>103900</v>
      </c>
      <c r="J306" s="9">
        <f t="shared" ref="J306:J307" si="186">I306-H306</f>
        <v>0</v>
      </c>
      <c r="K306" s="45" t="s">
        <v>262</v>
      </c>
      <c r="L306" s="47">
        <v>685000</v>
      </c>
      <c r="M306" s="47">
        <v>0</v>
      </c>
      <c r="N306" s="47">
        <v>578100</v>
      </c>
      <c r="O306" s="47">
        <v>0</v>
      </c>
    </row>
    <row r="307" spans="1:15" ht="15.6" x14ac:dyDescent="0.3">
      <c r="A307" s="58" t="str">
        <f t="shared" si="172"/>
        <v>P29</v>
      </c>
      <c r="B307" s="59" t="s">
        <v>4</v>
      </c>
      <c r="C307" s="61">
        <v>56000</v>
      </c>
      <c r="D307" s="61">
        <f>+L307</f>
        <v>538000</v>
      </c>
      <c r="E307" s="61">
        <f t="shared" si="184"/>
        <v>418100</v>
      </c>
      <c r="F307" s="61">
        <f t="shared" si="185"/>
        <v>0</v>
      </c>
      <c r="G307" s="61">
        <f t="shared" si="171"/>
        <v>0</v>
      </c>
      <c r="H307" s="61">
        <v>175900</v>
      </c>
      <c r="I307" s="61">
        <f>+C307+D307-E307-F307+G307</f>
        <v>175900</v>
      </c>
      <c r="J307" s="9">
        <f t="shared" si="186"/>
        <v>0</v>
      </c>
      <c r="K307" s="45" t="s">
        <v>29</v>
      </c>
      <c r="L307" s="47">
        <v>538000</v>
      </c>
      <c r="M307" s="47">
        <v>0</v>
      </c>
      <c r="N307" s="188">
        <v>418100</v>
      </c>
      <c r="O307" s="47">
        <v>0</v>
      </c>
    </row>
    <row r="308" spans="1:15" x14ac:dyDescent="0.3">
      <c r="A308" s="58" t="str">
        <f t="shared" si="172"/>
        <v>Tiffany</v>
      </c>
      <c r="B308" s="59" t="s">
        <v>2</v>
      </c>
      <c r="C308" s="61">
        <v>18298</v>
      </c>
      <c r="D308" s="61">
        <f t="shared" ref="D308" si="187">+L308</f>
        <v>20000</v>
      </c>
      <c r="E308" s="61">
        <f t="shared" si="184"/>
        <v>59000</v>
      </c>
      <c r="F308" s="61">
        <f t="shared" si="185"/>
        <v>0</v>
      </c>
      <c r="G308" s="61">
        <f t="shared" si="171"/>
        <v>0</v>
      </c>
      <c r="H308" s="61">
        <v>-20702</v>
      </c>
      <c r="I308" s="61">
        <f>+C308+D308-E308-F308+G308</f>
        <v>-20702</v>
      </c>
      <c r="J308" s="9">
        <f>I308-H308</f>
        <v>0</v>
      </c>
      <c r="K308" s="45" t="s">
        <v>113</v>
      </c>
      <c r="L308" s="47">
        <v>20000</v>
      </c>
      <c r="M308" s="47">
        <v>0</v>
      </c>
      <c r="N308" s="47">
        <v>59000</v>
      </c>
      <c r="O308" s="47">
        <v>0</v>
      </c>
    </row>
    <row r="309" spans="1:15" x14ac:dyDescent="0.3">
      <c r="A309" s="10" t="s">
        <v>50</v>
      </c>
      <c r="B309" s="11"/>
      <c r="C309" s="12">
        <f t="shared" ref="C309:I309" si="188">SUM(C295:C308)</f>
        <v>22002193</v>
      </c>
      <c r="D309" s="57">
        <f t="shared" si="188"/>
        <v>10404000</v>
      </c>
      <c r="E309" s="57">
        <f t="shared" si="188"/>
        <v>8309501</v>
      </c>
      <c r="F309" s="57">
        <f t="shared" si="188"/>
        <v>10404000</v>
      </c>
      <c r="G309" s="57">
        <f t="shared" si="188"/>
        <v>12787953</v>
      </c>
      <c r="H309" s="57">
        <f t="shared" si="188"/>
        <v>26480645</v>
      </c>
      <c r="I309" s="57">
        <f t="shared" si="188"/>
        <v>26480645</v>
      </c>
      <c r="J309" s="9">
        <f>I309-H309</f>
        <v>0</v>
      </c>
      <c r="K309" s="3"/>
      <c r="L309" s="47">
        <f>+SUM(L295:L308)</f>
        <v>10404000</v>
      </c>
      <c r="M309" s="47">
        <f>+SUM(M295:M308)</f>
        <v>10404000</v>
      </c>
      <c r="N309" s="47">
        <f>+SUM(N295:N308)</f>
        <v>8309501</v>
      </c>
      <c r="O309" s="47">
        <f>+SUM(O295:O308)</f>
        <v>12787953</v>
      </c>
    </row>
    <row r="310" spans="1:15" x14ac:dyDescent="0.3">
      <c r="A310" s="10"/>
      <c r="B310" s="11"/>
      <c r="C310" s="12"/>
      <c r="D310" s="13"/>
      <c r="E310" s="12"/>
      <c r="F310" s="13"/>
      <c r="G310" s="12"/>
      <c r="H310" s="12"/>
      <c r="I310" s="134" t="b">
        <f>I309=D312</f>
        <v>1</v>
      </c>
      <c r="J310" s="9">
        <f>H309-I309</f>
        <v>0</v>
      </c>
      <c r="L310" s="5"/>
      <c r="M310" s="5"/>
      <c r="N310" s="5"/>
      <c r="O310" s="5"/>
    </row>
    <row r="311" spans="1:15" x14ac:dyDescent="0.3">
      <c r="A311" s="10" t="s">
        <v>264</v>
      </c>
      <c r="B311" s="11" t="s">
        <v>265</v>
      </c>
      <c r="C311" s="12" t="s">
        <v>170</v>
      </c>
      <c r="D311" s="12" t="s">
        <v>266</v>
      </c>
      <c r="E311" s="12" t="s">
        <v>51</v>
      </c>
      <c r="F311" s="12"/>
      <c r="G311" s="12">
        <f>+D309-F309</f>
        <v>0</v>
      </c>
      <c r="H311" s="12"/>
      <c r="I311" s="12"/>
    </row>
    <row r="312" spans="1:15" x14ac:dyDescent="0.3">
      <c r="A312" s="14">
        <f>C309</f>
        <v>22002193</v>
      </c>
      <c r="B312" s="15">
        <f>G309</f>
        <v>12787953</v>
      </c>
      <c r="C312" s="12">
        <f>E309</f>
        <v>8309501</v>
      </c>
      <c r="D312" s="12">
        <f>A312+B312-C312</f>
        <v>26480645</v>
      </c>
      <c r="E312" s="13">
        <f>I309-D312</f>
        <v>0</v>
      </c>
      <c r="F312" s="12"/>
      <c r="G312" s="12"/>
      <c r="H312" s="12"/>
      <c r="I312" s="12"/>
    </row>
    <row r="313" spans="1:15" x14ac:dyDescent="0.3">
      <c r="A313" s="14"/>
      <c r="B313" s="15"/>
      <c r="C313" s="12"/>
      <c r="D313" s="12"/>
      <c r="E313" s="13"/>
      <c r="F313" s="12"/>
      <c r="G313" s="12"/>
      <c r="H313" s="12"/>
      <c r="I313" s="12"/>
    </row>
    <row r="314" spans="1:15" x14ac:dyDescent="0.3">
      <c r="A314" s="16" t="s">
        <v>52</v>
      </c>
      <c r="B314" s="16"/>
      <c r="C314" s="16"/>
      <c r="D314" s="17"/>
      <c r="E314" s="17"/>
      <c r="F314" s="17"/>
      <c r="G314" s="17"/>
      <c r="H314" s="17"/>
      <c r="I314" s="17"/>
    </row>
    <row r="315" spans="1:15" x14ac:dyDescent="0.3">
      <c r="A315" s="18" t="s">
        <v>269</v>
      </c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5" x14ac:dyDescent="0.3">
      <c r="A316" s="19"/>
      <c r="B316" s="17"/>
      <c r="C316" s="20"/>
      <c r="D316" s="20"/>
      <c r="E316" s="20"/>
      <c r="F316" s="20"/>
      <c r="G316" s="20"/>
      <c r="H316" s="17"/>
      <c r="I316" s="17"/>
    </row>
    <row r="317" spans="1:15" ht="45" customHeight="1" x14ac:dyDescent="0.3">
      <c r="A317" s="170" t="s">
        <v>53</v>
      </c>
      <c r="B317" s="172" t="s">
        <v>54</v>
      </c>
      <c r="C317" s="174" t="s">
        <v>268</v>
      </c>
      <c r="D317" s="175" t="s">
        <v>55</v>
      </c>
      <c r="E317" s="176"/>
      <c r="F317" s="176"/>
      <c r="G317" s="177"/>
      <c r="H317" s="178" t="s">
        <v>56</v>
      </c>
      <c r="I317" s="166" t="s">
        <v>57</v>
      </c>
      <c r="J317" s="17"/>
    </row>
    <row r="318" spans="1:15" ht="28.5" customHeight="1" x14ac:dyDescent="0.3">
      <c r="A318" s="171"/>
      <c r="B318" s="173"/>
      <c r="C318" s="22"/>
      <c r="D318" s="21" t="s">
        <v>24</v>
      </c>
      <c r="E318" s="21" t="s">
        <v>25</v>
      </c>
      <c r="F318" s="22" t="s">
        <v>123</v>
      </c>
      <c r="G318" s="21" t="s">
        <v>58</v>
      </c>
      <c r="H318" s="179"/>
      <c r="I318" s="167"/>
      <c r="J318" s="168" t="s">
        <v>267</v>
      </c>
      <c r="K318" s="143"/>
    </row>
    <row r="319" spans="1:15" x14ac:dyDescent="0.3">
      <c r="A319" s="23"/>
      <c r="B319" s="24" t="s">
        <v>59</v>
      </c>
      <c r="C319" s="25"/>
      <c r="D319" s="25"/>
      <c r="E319" s="25"/>
      <c r="F319" s="25"/>
      <c r="G319" s="25"/>
      <c r="H319" s="25"/>
      <c r="I319" s="26"/>
      <c r="J319" s="169"/>
      <c r="K319" s="143"/>
    </row>
    <row r="320" spans="1:15" x14ac:dyDescent="0.3">
      <c r="A320" s="122" t="s">
        <v>98</v>
      </c>
      <c r="B320" s="127" t="s">
        <v>47</v>
      </c>
      <c r="C320" s="32">
        <f>+C298</f>
        <v>113930</v>
      </c>
      <c r="D320" s="31"/>
      <c r="E320" s="32">
        <f t="shared" ref="E320:E325" si="189">+D298</f>
        <v>614000</v>
      </c>
      <c r="F320" s="32"/>
      <c r="G320" s="32"/>
      <c r="H320" s="55">
        <f t="shared" ref="H320:H325" si="190">+F298</f>
        <v>80000</v>
      </c>
      <c r="I320" s="32">
        <f t="shared" ref="I320:I325" si="191">+E298</f>
        <v>238400</v>
      </c>
      <c r="J320" s="30">
        <f t="shared" ref="J320:J322" si="192">+SUM(C320:G320)-(H320+I320)</f>
        <v>409530</v>
      </c>
      <c r="K320" s="144" t="b">
        <f>J320=I298</f>
        <v>1</v>
      </c>
    </row>
    <row r="321" spans="1:11" x14ac:dyDescent="0.3">
      <c r="A321" s="122" t="str">
        <f>+A320</f>
        <v>NOVEMBRE</v>
      </c>
      <c r="B321" s="127" t="s">
        <v>263</v>
      </c>
      <c r="C321" s="32">
        <f t="shared" ref="C321:C322" si="193">+C299</f>
        <v>13000</v>
      </c>
      <c r="D321" s="31"/>
      <c r="E321" s="32">
        <f t="shared" si="189"/>
        <v>521000</v>
      </c>
      <c r="F321" s="32"/>
      <c r="G321" s="32"/>
      <c r="H321" s="55">
        <f t="shared" si="190"/>
        <v>20000</v>
      </c>
      <c r="I321" s="32">
        <f t="shared" si="191"/>
        <v>504300</v>
      </c>
      <c r="J321" s="101">
        <f t="shared" ref="J321" si="194">+SUM(C321:G321)-(H321+I321)</f>
        <v>9700</v>
      </c>
      <c r="K321" s="144" t="b">
        <f>J321=I299</f>
        <v>1</v>
      </c>
    </row>
    <row r="322" spans="1:11" x14ac:dyDescent="0.3">
      <c r="A322" s="122" t="str">
        <f t="shared" ref="A322:A330" si="195">+A321</f>
        <v>NOVEMBRE</v>
      </c>
      <c r="B322" s="127" t="s">
        <v>31</v>
      </c>
      <c r="C322" s="32">
        <f t="shared" si="193"/>
        <v>11575</v>
      </c>
      <c r="D322" s="31"/>
      <c r="E322" s="32">
        <f t="shared" si="189"/>
        <v>324000</v>
      </c>
      <c r="F322" s="32"/>
      <c r="G322" s="32"/>
      <c r="H322" s="55">
        <f t="shared" si="190"/>
        <v>0</v>
      </c>
      <c r="I322" s="32">
        <f t="shared" si="191"/>
        <v>70150</v>
      </c>
      <c r="J322" s="101">
        <f t="shared" si="192"/>
        <v>265425</v>
      </c>
      <c r="K322" s="144" t="b">
        <f t="shared" ref="K322:K330" si="196">J322=I300</f>
        <v>1</v>
      </c>
    </row>
    <row r="323" spans="1:11" x14ac:dyDescent="0.3">
      <c r="A323" s="122" t="str">
        <f t="shared" si="195"/>
        <v>NOVEMBRE</v>
      </c>
      <c r="B323" s="129" t="s">
        <v>84</v>
      </c>
      <c r="C323" s="120">
        <f>+C301</f>
        <v>233614</v>
      </c>
      <c r="D323" s="123"/>
      <c r="E323" s="120">
        <f t="shared" si="189"/>
        <v>0</v>
      </c>
      <c r="F323" s="137"/>
      <c r="G323" s="137"/>
      <c r="H323" s="155">
        <f t="shared" si="190"/>
        <v>0</v>
      </c>
      <c r="I323" s="120">
        <f t="shared" si="191"/>
        <v>0</v>
      </c>
      <c r="J323" s="121">
        <f>+SUM(C323:G323)-(H323+I323)</f>
        <v>233614</v>
      </c>
      <c r="K323" s="144" t="b">
        <f t="shared" si="196"/>
        <v>1</v>
      </c>
    </row>
    <row r="324" spans="1:11" x14ac:dyDescent="0.3">
      <c r="A324" s="122" t="str">
        <f t="shared" si="195"/>
        <v>NOVEMBRE</v>
      </c>
      <c r="B324" s="129" t="s">
        <v>83</v>
      </c>
      <c r="C324" s="120">
        <f>+C302</f>
        <v>249769</v>
      </c>
      <c r="D324" s="123"/>
      <c r="E324" s="120">
        <f t="shared" si="189"/>
        <v>0</v>
      </c>
      <c r="F324" s="137"/>
      <c r="G324" s="137"/>
      <c r="H324" s="155">
        <f t="shared" si="190"/>
        <v>0</v>
      </c>
      <c r="I324" s="120">
        <f t="shared" si="191"/>
        <v>0</v>
      </c>
      <c r="J324" s="121">
        <f t="shared" ref="J324:J330" si="197">+SUM(C324:G324)-(H324+I324)</f>
        <v>249769</v>
      </c>
      <c r="K324" s="144" t="b">
        <f t="shared" si="196"/>
        <v>1</v>
      </c>
    </row>
    <row r="325" spans="1:11" x14ac:dyDescent="0.3">
      <c r="A325" s="122" t="str">
        <f t="shared" si="195"/>
        <v>NOVEMBRE</v>
      </c>
      <c r="B325" s="127" t="s">
        <v>150</v>
      </c>
      <c r="C325" s="32">
        <f>+C303</f>
        <v>0</v>
      </c>
      <c r="D325" s="31"/>
      <c r="E325" s="32">
        <f t="shared" si="189"/>
        <v>950000</v>
      </c>
      <c r="F325" s="32"/>
      <c r="G325" s="104"/>
      <c r="H325" s="55">
        <f t="shared" si="190"/>
        <v>320000</v>
      </c>
      <c r="I325" s="32">
        <f t="shared" si="191"/>
        <v>33800</v>
      </c>
      <c r="J325" s="30">
        <f t="shared" si="197"/>
        <v>596200</v>
      </c>
      <c r="K325" s="144" t="b">
        <f t="shared" si="196"/>
        <v>1</v>
      </c>
    </row>
    <row r="326" spans="1:11" x14ac:dyDescent="0.3">
      <c r="A326" s="122" t="str">
        <f t="shared" si="195"/>
        <v>NOVEMBRE</v>
      </c>
      <c r="B326" s="127" t="s">
        <v>204</v>
      </c>
      <c r="C326" s="32">
        <f t="shared" ref="C326:C330" si="198">+C304</f>
        <v>46900</v>
      </c>
      <c r="D326" s="31"/>
      <c r="E326" s="32">
        <f t="shared" ref="E326:E330" si="199">+D304</f>
        <v>603000</v>
      </c>
      <c r="F326" s="32"/>
      <c r="G326" s="104"/>
      <c r="H326" s="55">
        <f t="shared" ref="H326:H330" si="200">+F304</f>
        <v>49000</v>
      </c>
      <c r="I326" s="32">
        <f t="shared" ref="I326:I330" si="201">+E304</f>
        <v>456200</v>
      </c>
      <c r="J326" s="30">
        <f t="shared" si="197"/>
        <v>144700</v>
      </c>
      <c r="K326" s="144" t="b">
        <f t="shared" si="196"/>
        <v>1</v>
      </c>
    </row>
    <row r="327" spans="1:11" x14ac:dyDescent="0.3">
      <c r="A327" s="122" t="str">
        <f t="shared" si="195"/>
        <v>NOVEMBRE</v>
      </c>
      <c r="B327" s="127" t="s">
        <v>93</v>
      </c>
      <c r="C327" s="32">
        <f t="shared" si="198"/>
        <v>14100</v>
      </c>
      <c r="D327" s="31"/>
      <c r="E327" s="32">
        <f t="shared" si="199"/>
        <v>0</v>
      </c>
      <c r="F327" s="32"/>
      <c r="G327" s="104"/>
      <c r="H327" s="55">
        <f t="shared" si="200"/>
        <v>0</v>
      </c>
      <c r="I327" s="32">
        <f t="shared" si="201"/>
        <v>17000</v>
      </c>
      <c r="J327" s="30">
        <f t="shared" si="197"/>
        <v>-2900</v>
      </c>
      <c r="K327" s="144" t="b">
        <f t="shared" si="196"/>
        <v>1</v>
      </c>
    </row>
    <row r="328" spans="1:11" x14ac:dyDescent="0.3">
      <c r="A328" s="122" t="str">
        <f t="shared" si="195"/>
        <v>NOVEMBRE</v>
      </c>
      <c r="B328" s="127" t="s">
        <v>262</v>
      </c>
      <c r="C328" s="32">
        <f t="shared" si="198"/>
        <v>-3000</v>
      </c>
      <c r="D328" s="31"/>
      <c r="E328" s="32">
        <f t="shared" si="199"/>
        <v>685000</v>
      </c>
      <c r="F328" s="32"/>
      <c r="G328" s="104"/>
      <c r="H328" s="55">
        <f t="shared" si="200"/>
        <v>0</v>
      </c>
      <c r="I328" s="32">
        <f t="shared" si="201"/>
        <v>578100</v>
      </c>
      <c r="J328" s="30">
        <f t="shared" si="197"/>
        <v>103900</v>
      </c>
      <c r="K328" s="144" t="b">
        <f t="shared" si="196"/>
        <v>1</v>
      </c>
    </row>
    <row r="329" spans="1:11" x14ac:dyDescent="0.3">
      <c r="A329" s="122" t="str">
        <f t="shared" si="195"/>
        <v>NOVEMBRE</v>
      </c>
      <c r="B329" s="127" t="s">
        <v>29</v>
      </c>
      <c r="C329" s="32">
        <f t="shared" si="198"/>
        <v>56000</v>
      </c>
      <c r="D329" s="31"/>
      <c r="E329" s="32">
        <f t="shared" si="199"/>
        <v>538000</v>
      </c>
      <c r="F329" s="32"/>
      <c r="G329" s="104"/>
      <c r="H329" s="55">
        <f t="shared" si="200"/>
        <v>0</v>
      </c>
      <c r="I329" s="32">
        <f t="shared" si="201"/>
        <v>418100</v>
      </c>
      <c r="J329" s="30">
        <f t="shared" si="197"/>
        <v>175900</v>
      </c>
      <c r="K329" s="144" t="b">
        <f t="shared" si="196"/>
        <v>1</v>
      </c>
    </row>
    <row r="330" spans="1:11" x14ac:dyDescent="0.3">
      <c r="A330" s="122" t="str">
        <f t="shared" si="195"/>
        <v>NOVEMBRE</v>
      </c>
      <c r="B330" s="128" t="s">
        <v>113</v>
      </c>
      <c r="C330" s="32">
        <f t="shared" si="198"/>
        <v>18298</v>
      </c>
      <c r="D330" s="119"/>
      <c r="E330" s="32">
        <f t="shared" si="199"/>
        <v>20000</v>
      </c>
      <c r="F330" s="51"/>
      <c r="G330" s="138"/>
      <c r="H330" s="55">
        <f t="shared" si="200"/>
        <v>0</v>
      </c>
      <c r="I330" s="32">
        <f t="shared" si="201"/>
        <v>59000</v>
      </c>
      <c r="J330" s="30">
        <f t="shared" si="197"/>
        <v>-20702</v>
      </c>
      <c r="K330" s="144" t="b">
        <f t="shared" si="196"/>
        <v>1</v>
      </c>
    </row>
    <row r="331" spans="1:11" x14ac:dyDescent="0.3">
      <c r="A331" s="34" t="s">
        <v>60</v>
      </c>
      <c r="B331" s="35"/>
      <c r="C331" s="35"/>
      <c r="D331" s="35"/>
      <c r="E331" s="35"/>
      <c r="F331" s="35"/>
      <c r="G331" s="35"/>
      <c r="H331" s="35"/>
      <c r="I331" s="35"/>
      <c r="J331" s="36"/>
      <c r="K331" s="143"/>
    </row>
    <row r="332" spans="1:11" x14ac:dyDescent="0.3">
      <c r="A332" s="122" t="str">
        <f>A330</f>
        <v>NOVEMBRE</v>
      </c>
      <c r="B332" s="37" t="s">
        <v>61</v>
      </c>
      <c r="C332" s="38">
        <f>+C297</f>
        <v>2105331</v>
      </c>
      <c r="D332" s="49"/>
      <c r="E332" s="49">
        <f>D297</f>
        <v>6149000</v>
      </c>
      <c r="F332" s="49"/>
      <c r="G332" s="125"/>
      <c r="H332" s="51">
        <f>+F297</f>
        <v>3935000</v>
      </c>
      <c r="I332" s="126">
        <f>+E297</f>
        <v>1843228</v>
      </c>
      <c r="J332" s="30">
        <f>+SUM(C332:G332)-(H332+I332)</f>
        <v>2476103</v>
      </c>
      <c r="K332" s="144" t="b">
        <f>J332=I297</f>
        <v>1</v>
      </c>
    </row>
    <row r="333" spans="1:11" x14ac:dyDescent="0.3">
      <c r="A333" s="43" t="s">
        <v>62</v>
      </c>
      <c r="B333" s="24"/>
      <c r="C333" s="35"/>
      <c r="D333" s="24"/>
      <c r="E333" s="24"/>
      <c r="F333" s="24"/>
      <c r="G333" s="24"/>
      <c r="H333" s="24"/>
      <c r="I333" s="24"/>
      <c r="J333" s="36"/>
      <c r="K333" s="143"/>
    </row>
    <row r="334" spans="1:11" x14ac:dyDescent="0.3">
      <c r="A334" s="122" t="str">
        <f>+A332</f>
        <v>NOVEMBRE</v>
      </c>
      <c r="B334" s="37" t="s">
        <v>163</v>
      </c>
      <c r="C334" s="125">
        <f>+C295</f>
        <v>9603727</v>
      </c>
      <c r="D334" s="132">
        <f>+G295</f>
        <v>12787953</v>
      </c>
      <c r="E334" s="49"/>
      <c r="F334" s="49"/>
      <c r="G334" s="49"/>
      <c r="H334" s="51">
        <f>+F295</f>
        <v>6000000</v>
      </c>
      <c r="I334" s="53">
        <f>+E295</f>
        <v>173438</v>
      </c>
      <c r="J334" s="30">
        <f>+SUM(C334:G334)-(H334+I334)</f>
        <v>16218242</v>
      </c>
      <c r="K334" s="144" t="b">
        <f>+J334=I295</f>
        <v>1</v>
      </c>
    </row>
    <row r="335" spans="1:11" x14ac:dyDescent="0.3">
      <c r="A335" s="122" t="str">
        <f t="shared" ref="A335" si="202">+A334</f>
        <v>NOVEMBRE</v>
      </c>
      <c r="B335" s="37" t="s">
        <v>64</v>
      </c>
      <c r="C335" s="125">
        <f>+C296</f>
        <v>9538949</v>
      </c>
      <c r="D335" s="49">
        <f>+G296</f>
        <v>0</v>
      </c>
      <c r="E335" s="48"/>
      <c r="F335" s="48"/>
      <c r="G335" s="48"/>
      <c r="H335" s="32">
        <f>+F296</f>
        <v>0</v>
      </c>
      <c r="I335" s="50">
        <f>+E296</f>
        <v>3917785</v>
      </c>
      <c r="J335" s="30">
        <f>SUM(C335:G335)-(H335+I335)</f>
        <v>5621164</v>
      </c>
      <c r="K335" s="144" t="b">
        <f>+J335=I296</f>
        <v>1</v>
      </c>
    </row>
    <row r="336" spans="1:11" ht="15.6" x14ac:dyDescent="0.3">
      <c r="C336" s="141">
        <f>SUM(C320:C335)</f>
        <v>22002193</v>
      </c>
      <c r="I336" s="140">
        <f>SUM(I320:I335)</f>
        <v>8309501</v>
      </c>
      <c r="J336" s="105">
        <f>+SUM(J320:J335)</f>
        <v>26480645</v>
      </c>
      <c r="K336" s="5" t="b">
        <f>J336=I309</f>
        <v>1</v>
      </c>
    </row>
    <row r="337" spans="1:16" ht="15.6" x14ac:dyDescent="0.3">
      <c r="C337" s="141"/>
      <c r="I337" s="140"/>
      <c r="J337" s="105"/>
    </row>
    <row r="338" spans="1:16" ht="15.6" x14ac:dyDescent="0.3">
      <c r="A338" s="161"/>
      <c r="B338" s="161"/>
      <c r="C338" s="162"/>
      <c r="D338" s="161"/>
      <c r="E338" s="161"/>
      <c r="F338" s="161"/>
      <c r="G338" s="161"/>
      <c r="H338" s="161"/>
      <c r="I338" s="163"/>
      <c r="J338" s="164"/>
      <c r="K338" s="161"/>
      <c r="L338" s="165"/>
      <c r="M338" s="165"/>
      <c r="N338" s="165"/>
      <c r="O338" s="165"/>
      <c r="P338" s="161"/>
    </row>
    <row r="341" spans="1:16" ht="15.6" x14ac:dyDescent="0.3">
      <c r="A341" s="6" t="s">
        <v>36</v>
      </c>
      <c r="B341" s="6" t="s">
        <v>1</v>
      </c>
      <c r="C341" s="6">
        <v>44835</v>
      </c>
      <c r="D341" s="7" t="s">
        <v>37</v>
      </c>
      <c r="E341" s="7" t="s">
        <v>38</v>
      </c>
      <c r="F341" s="7" t="s">
        <v>39</v>
      </c>
      <c r="G341" s="7" t="s">
        <v>40</v>
      </c>
      <c r="H341" s="6">
        <v>44865</v>
      </c>
      <c r="I341" s="7" t="s">
        <v>41</v>
      </c>
      <c r="K341" s="45"/>
      <c r="L341" s="45" t="s">
        <v>42</v>
      </c>
      <c r="M341" s="45" t="s">
        <v>43</v>
      </c>
      <c r="N341" s="45" t="s">
        <v>44</v>
      </c>
      <c r="O341" s="45" t="s">
        <v>45</v>
      </c>
    </row>
    <row r="342" spans="1:16" x14ac:dyDescent="0.3">
      <c r="A342" s="58" t="str">
        <f>K342</f>
        <v>BCI</v>
      </c>
      <c r="B342" s="59" t="s">
        <v>46</v>
      </c>
      <c r="C342" s="61">
        <v>14237475</v>
      </c>
      <c r="D342" s="61">
        <f>+L342</f>
        <v>0</v>
      </c>
      <c r="E342" s="61">
        <f>+N342</f>
        <v>633748</v>
      </c>
      <c r="F342" s="61">
        <f>+M342</f>
        <v>4000000</v>
      </c>
      <c r="G342" s="61">
        <f t="shared" ref="G342:G355" si="203">+O342</f>
        <v>0</v>
      </c>
      <c r="H342" s="61">
        <v>9603727</v>
      </c>
      <c r="I342" s="61">
        <f>+C342+D342-E342-F342+G342</f>
        <v>9603727</v>
      </c>
      <c r="J342" s="9">
        <f>I342-H342</f>
        <v>0</v>
      </c>
      <c r="K342" s="45" t="s">
        <v>24</v>
      </c>
      <c r="L342" s="47">
        <v>0</v>
      </c>
      <c r="M342" s="47">
        <v>4000000</v>
      </c>
      <c r="N342" s="47">
        <v>633748</v>
      </c>
      <c r="O342" s="47">
        <v>0</v>
      </c>
    </row>
    <row r="343" spans="1:16" x14ac:dyDescent="0.3">
      <c r="A343" s="58" t="str">
        <f t="shared" ref="A343:A355" si="204">K343</f>
        <v>BCI-Sous Compte</v>
      </c>
      <c r="B343" s="59" t="s">
        <v>46</v>
      </c>
      <c r="C343" s="61">
        <v>8844061</v>
      </c>
      <c r="D343" s="61">
        <f t="shared" ref="D343:D355" si="205">+L343</f>
        <v>0</v>
      </c>
      <c r="E343" s="61">
        <f t="shared" ref="E343:E347" si="206">+N343</f>
        <v>4731844</v>
      </c>
      <c r="F343" s="61">
        <f t="shared" ref="F343:F349" si="207">+M343</f>
        <v>0</v>
      </c>
      <c r="G343" s="61">
        <f t="shared" si="203"/>
        <v>5426732</v>
      </c>
      <c r="H343" s="61">
        <v>9538949</v>
      </c>
      <c r="I343" s="61">
        <f>+C343+D343-E343-F343+G343</f>
        <v>9538949</v>
      </c>
      <c r="J343" s="9">
        <f>I343-H343</f>
        <v>0</v>
      </c>
      <c r="K343" s="45" t="s">
        <v>155</v>
      </c>
      <c r="L343" s="46">
        <v>0</v>
      </c>
      <c r="M343" s="47">
        <v>0</v>
      </c>
      <c r="N343" s="47">
        <v>4731844</v>
      </c>
      <c r="O343" s="47">
        <v>5426732</v>
      </c>
    </row>
    <row r="344" spans="1:16" x14ac:dyDescent="0.3">
      <c r="A344" s="58" t="str">
        <f t="shared" si="204"/>
        <v>Caisse</v>
      </c>
      <c r="B344" s="59" t="s">
        <v>25</v>
      </c>
      <c r="C344" s="61">
        <v>1081474</v>
      </c>
      <c r="D344" s="61">
        <f t="shared" si="205"/>
        <v>4595950</v>
      </c>
      <c r="E344" s="61">
        <f t="shared" si="206"/>
        <v>2106393</v>
      </c>
      <c r="F344" s="61">
        <f t="shared" si="207"/>
        <v>1465700</v>
      </c>
      <c r="G344" s="61">
        <f t="shared" si="203"/>
        <v>0</v>
      </c>
      <c r="H344" s="61">
        <v>2105331</v>
      </c>
      <c r="I344" s="61">
        <f>+C344+D344-E344-F344+G344</f>
        <v>2105331</v>
      </c>
      <c r="J344" s="102">
        <f t="shared" ref="J344:J350" si="208">I344-H344</f>
        <v>0</v>
      </c>
      <c r="K344" s="45" t="s">
        <v>25</v>
      </c>
      <c r="L344" s="47">
        <v>4595950</v>
      </c>
      <c r="M344" s="47">
        <v>1465700</v>
      </c>
      <c r="N344" s="47">
        <v>2106393</v>
      </c>
      <c r="O344" s="47">
        <v>0</v>
      </c>
    </row>
    <row r="345" spans="1:16" x14ac:dyDescent="0.3">
      <c r="A345" s="58" t="str">
        <f t="shared" si="204"/>
        <v>Crépin</v>
      </c>
      <c r="B345" s="59" t="s">
        <v>161</v>
      </c>
      <c r="C345" s="61">
        <v>483330</v>
      </c>
      <c r="D345" s="61">
        <f t="shared" si="205"/>
        <v>552500</v>
      </c>
      <c r="E345" s="61">
        <f t="shared" si="206"/>
        <v>521900</v>
      </c>
      <c r="F345" s="61">
        <f t="shared" si="207"/>
        <v>400000</v>
      </c>
      <c r="G345" s="61">
        <f t="shared" si="203"/>
        <v>0</v>
      </c>
      <c r="H345" s="61">
        <v>113930</v>
      </c>
      <c r="I345" s="61">
        <f>+C345+D345-E345-F345+G345</f>
        <v>113930</v>
      </c>
      <c r="J345" s="9">
        <f t="shared" si="208"/>
        <v>0</v>
      </c>
      <c r="K345" s="45" t="s">
        <v>47</v>
      </c>
      <c r="L345" s="47">
        <v>552500</v>
      </c>
      <c r="M345" s="47">
        <v>400000</v>
      </c>
      <c r="N345" s="47">
        <v>521900</v>
      </c>
      <c r="O345" s="47">
        <v>0</v>
      </c>
    </row>
    <row r="346" spans="1:16" x14ac:dyDescent="0.3">
      <c r="A346" s="58" t="str">
        <f t="shared" si="204"/>
        <v>Donald</v>
      </c>
      <c r="B346" s="59" t="s">
        <v>161</v>
      </c>
      <c r="C346" s="61">
        <v>0</v>
      </c>
      <c r="D346" s="61">
        <f t="shared" si="205"/>
        <v>20000</v>
      </c>
      <c r="E346" s="61">
        <f t="shared" si="206"/>
        <v>7000</v>
      </c>
      <c r="F346" s="61">
        <f t="shared" si="207"/>
        <v>0</v>
      </c>
      <c r="G346" s="61">
        <f t="shared" si="203"/>
        <v>0</v>
      </c>
      <c r="H346" s="61">
        <v>13000</v>
      </c>
      <c r="I346" s="61">
        <f t="shared" ref="I346:I347" si="209">+C346+D346-E346-F346+G346</f>
        <v>13000</v>
      </c>
      <c r="J346" s="9">
        <f t="shared" si="208"/>
        <v>0</v>
      </c>
      <c r="K346" s="45" t="s">
        <v>263</v>
      </c>
      <c r="L346" s="47">
        <v>20000</v>
      </c>
      <c r="M346" s="47">
        <v>0</v>
      </c>
      <c r="N346" s="47">
        <v>7000</v>
      </c>
      <c r="O346" s="47">
        <v>0</v>
      </c>
    </row>
    <row r="347" spans="1:16" x14ac:dyDescent="0.3">
      <c r="A347" s="58" t="str">
        <f t="shared" si="204"/>
        <v>Evariste</v>
      </c>
      <c r="B347" s="59" t="s">
        <v>162</v>
      </c>
      <c r="C347" s="61">
        <v>76225</v>
      </c>
      <c r="D347" s="61">
        <f t="shared" si="205"/>
        <v>15000</v>
      </c>
      <c r="E347" s="61">
        <f t="shared" si="206"/>
        <v>34650</v>
      </c>
      <c r="F347" s="61">
        <f t="shared" si="207"/>
        <v>45000</v>
      </c>
      <c r="G347" s="61">
        <f t="shared" si="203"/>
        <v>0</v>
      </c>
      <c r="H347" s="61">
        <v>11575</v>
      </c>
      <c r="I347" s="61">
        <f t="shared" si="209"/>
        <v>11575</v>
      </c>
      <c r="J347" s="9">
        <f t="shared" si="208"/>
        <v>0</v>
      </c>
      <c r="K347" s="45" t="s">
        <v>31</v>
      </c>
      <c r="L347" s="47">
        <v>15000</v>
      </c>
      <c r="M347" s="47">
        <v>45000</v>
      </c>
      <c r="N347" s="47">
        <v>34650</v>
      </c>
      <c r="O347" s="47">
        <v>0</v>
      </c>
    </row>
    <row r="348" spans="1:16" x14ac:dyDescent="0.3">
      <c r="A348" s="58" t="str">
        <f t="shared" si="204"/>
        <v>I55S</v>
      </c>
      <c r="B348" s="116" t="s">
        <v>4</v>
      </c>
      <c r="C348" s="118">
        <v>233614</v>
      </c>
      <c r="D348" s="118">
        <f t="shared" si="205"/>
        <v>0</v>
      </c>
      <c r="E348" s="118">
        <f>+N348</f>
        <v>0</v>
      </c>
      <c r="F348" s="118">
        <f t="shared" si="207"/>
        <v>0</v>
      </c>
      <c r="G348" s="118">
        <f t="shared" si="203"/>
        <v>0</v>
      </c>
      <c r="H348" s="118">
        <v>233614</v>
      </c>
      <c r="I348" s="118">
        <f>+C348+D348-E348-F348+G348</f>
        <v>233614</v>
      </c>
      <c r="J348" s="9">
        <f t="shared" si="208"/>
        <v>0</v>
      </c>
      <c r="K348" s="45" t="s">
        <v>84</v>
      </c>
      <c r="L348" s="47">
        <v>0</v>
      </c>
      <c r="M348" s="47">
        <v>0</v>
      </c>
      <c r="N348" s="47">
        <v>0</v>
      </c>
      <c r="O348" s="47">
        <v>0</v>
      </c>
    </row>
    <row r="349" spans="1:16" x14ac:dyDescent="0.3">
      <c r="A349" s="58" t="str">
        <f t="shared" si="204"/>
        <v>I73X</v>
      </c>
      <c r="B349" s="116" t="s">
        <v>4</v>
      </c>
      <c r="C349" s="118">
        <v>249769</v>
      </c>
      <c r="D349" s="118">
        <f t="shared" si="205"/>
        <v>0</v>
      </c>
      <c r="E349" s="118">
        <f>+N349</f>
        <v>0</v>
      </c>
      <c r="F349" s="118">
        <f t="shared" si="207"/>
        <v>0</v>
      </c>
      <c r="G349" s="118">
        <f t="shared" si="203"/>
        <v>0</v>
      </c>
      <c r="H349" s="118">
        <v>249769</v>
      </c>
      <c r="I349" s="118">
        <f t="shared" ref="I349:I352" si="210">+C349+D349-E349-F349+G349</f>
        <v>249769</v>
      </c>
      <c r="J349" s="9">
        <f t="shared" si="208"/>
        <v>0</v>
      </c>
      <c r="K349" s="45" t="s">
        <v>83</v>
      </c>
      <c r="L349" s="47">
        <v>0</v>
      </c>
      <c r="M349" s="47">
        <v>0</v>
      </c>
      <c r="N349" s="47">
        <v>0</v>
      </c>
      <c r="O349" s="47">
        <v>0</v>
      </c>
    </row>
    <row r="350" spans="1:16" x14ac:dyDescent="0.3">
      <c r="A350" s="58" t="str">
        <f t="shared" si="204"/>
        <v>Hurielle</v>
      </c>
      <c r="B350" s="98" t="s">
        <v>161</v>
      </c>
      <c r="C350" s="61">
        <v>41200</v>
      </c>
      <c r="D350" s="61">
        <f t="shared" si="205"/>
        <v>294000</v>
      </c>
      <c r="E350" s="61">
        <f>+N350</f>
        <v>258300</v>
      </c>
      <c r="F350" s="61">
        <f>+M350</f>
        <v>30000</v>
      </c>
      <c r="G350" s="61">
        <f t="shared" si="203"/>
        <v>0</v>
      </c>
      <c r="H350" s="61">
        <v>46900</v>
      </c>
      <c r="I350" s="61">
        <f t="shared" si="210"/>
        <v>46900</v>
      </c>
      <c r="J350" s="9">
        <f t="shared" si="208"/>
        <v>0</v>
      </c>
      <c r="K350" s="45" t="s">
        <v>204</v>
      </c>
      <c r="L350" s="47">
        <v>294000</v>
      </c>
      <c r="M350" s="47">
        <v>30000</v>
      </c>
      <c r="N350" s="47">
        <v>258300</v>
      </c>
      <c r="O350" s="47">
        <v>0</v>
      </c>
    </row>
    <row r="351" spans="1:16" s="189" customFormat="1" ht="15.6" x14ac:dyDescent="0.3">
      <c r="A351" s="58" t="str">
        <f t="shared" si="204"/>
        <v>Merveille</v>
      </c>
      <c r="B351" s="184" t="s">
        <v>2</v>
      </c>
      <c r="C351" s="185">
        <v>98100</v>
      </c>
      <c r="D351" s="61">
        <f t="shared" si="205"/>
        <v>0</v>
      </c>
      <c r="E351" s="61">
        <f t="shared" ref="E351:E355" si="211">+N351</f>
        <v>24000</v>
      </c>
      <c r="F351" s="61">
        <f t="shared" ref="F351:F355" si="212">+M351</f>
        <v>60000</v>
      </c>
      <c r="G351" s="61">
        <f t="shared" si="203"/>
        <v>0</v>
      </c>
      <c r="H351" s="185">
        <v>14100</v>
      </c>
      <c r="I351" s="185">
        <f t="shared" si="210"/>
        <v>14100</v>
      </c>
      <c r="J351" s="186">
        <f>I351-H351</f>
        <v>0</v>
      </c>
      <c r="K351" s="187" t="s">
        <v>93</v>
      </c>
      <c r="L351" s="188">
        <v>0</v>
      </c>
      <c r="M351" s="188">
        <v>60000</v>
      </c>
      <c r="N351" s="47">
        <v>24000</v>
      </c>
      <c r="O351" s="188">
        <v>0</v>
      </c>
    </row>
    <row r="352" spans="1:16" x14ac:dyDescent="0.3">
      <c r="A352" s="58" t="str">
        <f t="shared" si="204"/>
        <v>P10</v>
      </c>
      <c r="B352" s="59" t="s">
        <v>4</v>
      </c>
      <c r="C352" s="61">
        <v>0</v>
      </c>
      <c r="D352" s="61">
        <f t="shared" si="205"/>
        <v>105000</v>
      </c>
      <c r="E352" s="61">
        <f t="shared" si="211"/>
        <v>98000</v>
      </c>
      <c r="F352" s="61">
        <f t="shared" si="212"/>
        <v>10000</v>
      </c>
      <c r="G352" s="61">
        <f t="shared" si="203"/>
        <v>0</v>
      </c>
      <c r="H352" s="61">
        <v>-3000</v>
      </c>
      <c r="I352" s="61">
        <f t="shared" si="210"/>
        <v>-3000</v>
      </c>
      <c r="J352" s="9">
        <f t="shared" ref="J352:J353" si="213">I352-H352</f>
        <v>0</v>
      </c>
      <c r="K352" s="45" t="s">
        <v>262</v>
      </c>
      <c r="L352" s="47">
        <v>105000</v>
      </c>
      <c r="M352" s="47">
        <v>10000</v>
      </c>
      <c r="N352" s="47">
        <v>98000</v>
      </c>
      <c r="O352" s="47">
        <v>0</v>
      </c>
    </row>
    <row r="353" spans="1:15" ht="15.6" x14ac:dyDescent="0.3">
      <c r="A353" s="58" t="str">
        <f t="shared" si="204"/>
        <v>P29</v>
      </c>
      <c r="B353" s="59" t="s">
        <v>4</v>
      </c>
      <c r="C353" s="61">
        <v>60950</v>
      </c>
      <c r="D353" s="61">
        <f>+L353</f>
        <v>315000</v>
      </c>
      <c r="E353" s="61">
        <f t="shared" si="211"/>
        <v>259000</v>
      </c>
      <c r="F353" s="61">
        <f t="shared" si="212"/>
        <v>60950</v>
      </c>
      <c r="G353" s="61">
        <f t="shared" si="203"/>
        <v>0</v>
      </c>
      <c r="H353" s="61">
        <v>56000</v>
      </c>
      <c r="I353" s="61">
        <f>+C353+D353-E353-F353+G353</f>
        <v>56000</v>
      </c>
      <c r="J353" s="9">
        <f t="shared" si="213"/>
        <v>0</v>
      </c>
      <c r="K353" s="45" t="s">
        <v>29</v>
      </c>
      <c r="L353" s="47">
        <v>315000</v>
      </c>
      <c r="M353" s="47">
        <v>60950</v>
      </c>
      <c r="N353" s="188">
        <v>259000</v>
      </c>
      <c r="O353" s="47">
        <v>0</v>
      </c>
    </row>
    <row r="354" spans="1:15" x14ac:dyDescent="0.3">
      <c r="A354" s="58" t="str">
        <f t="shared" si="204"/>
        <v>Tiffany</v>
      </c>
      <c r="B354" s="59" t="s">
        <v>2</v>
      </c>
      <c r="C354" s="61">
        <v>26298</v>
      </c>
      <c r="D354" s="61">
        <f t="shared" si="205"/>
        <v>150000</v>
      </c>
      <c r="E354" s="61">
        <f t="shared" si="211"/>
        <v>158000</v>
      </c>
      <c r="F354" s="61">
        <f t="shared" si="212"/>
        <v>0</v>
      </c>
      <c r="G354" s="61">
        <f t="shared" si="203"/>
        <v>0</v>
      </c>
      <c r="H354" s="61">
        <v>18298</v>
      </c>
      <c r="I354" s="61">
        <f>+C354+D354-E354-F354+G354</f>
        <v>18298</v>
      </c>
      <c r="J354" s="9">
        <f>I354-H354</f>
        <v>0</v>
      </c>
      <c r="K354" s="45" t="s">
        <v>113</v>
      </c>
      <c r="L354" s="47">
        <v>150000</v>
      </c>
      <c r="M354" s="47">
        <v>0</v>
      </c>
      <c r="N354" s="47">
        <v>158000</v>
      </c>
      <c r="O354" s="47">
        <v>0</v>
      </c>
    </row>
    <row r="355" spans="1:15" x14ac:dyDescent="0.3">
      <c r="A355" s="58" t="str">
        <f t="shared" si="204"/>
        <v>Yan</v>
      </c>
      <c r="B355" s="59" t="s">
        <v>161</v>
      </c>
      <c r="C355" s="61">
        <v>-1700</v>
      </c>
      <c r="D355" s="61">
        <f t="shared" si="205"/>
        <v>24200</v>
      </c>
      <c r="E355" s="61">
        <f t="shared" si="211"/>
        <v>22500</v>
      </c>
      <c r="F355" s="61">
        <f t="shared" si="212"/>
        <v>0</v>
      </c>
      <c r="G355" s="61">
        <f t="shared" si="203"/>
        <v>0</v>
      </c>
      <c r="H355" s="61">
        <v>0</v>
      </c>
      <c r="I355" s="61">
        <f t="shared" ref="I355" si="214">+C355+D355-E355-F355+G355</f>
        <v>0</v>
      </c>
      <c r="J355" s="9">
        <f t="shared" ref="J355" si="215">I355-H355</f>
        <v>0</v>
      </c>
      <c r="K355" s="45" t="s">
        <v>219</v>
      </c>
      <c r="L355" s="47">
        <v>24200</v>
      </c>
      <c r="M355" s="47">
        <v>0</v>
      </c>
      <c r="N355" s="47">
        <v>22500</v>
      </c>
      <c r="O355" s="47">
        <v>0</v>
      </c>
    </row>
    <row r="356" spans="1:15" x14ac:dyDescent="0.3">
      <c r="A356" s="10" t="s">
        <v>50</v>
      </c>
      <c r="B356" s="11"/>
      <c r="C356" s="12">
        <f t="shared" ref="C356:G356" si="216">SUM(C342:C355)</f>
        <v>25430796</v>
      </c>
      <c r="D356" s="57">
        <f t="shared" si="216"/>
        <v>6071650</v>
      </c>
      <c r="E356" s="57">
        <f t="shared" si="216"/>
        <v>8855335</v>
      </c>
      <c r="F356" s="57">
        <f t="shared" si="216"/>
        <v>6071650</v>
      </c>
      <c r="G356" s="57">
        <f t="shared" si="216"/>
        <v>5426732</v>
      </c>
      <c r="H356" s="57">
        <f>SUM(H342:H355)</f>
        <v>22002193</v>
      </c>
      <c r="I356" s="57">
        <f t="shared" ref="I356" si="217">SUM(I342:I355)</f>
        <v>22002193</v>
      </c>
      <c r="J356" s="9">
        <f>I356-H356</f>
        <v>0</v>
      </c>
      <c r="K356" s="3"/>
      <c r="L356" s="47">
        <f>+SUM(L342:L355)</f>
        <v>6071650</v>
      </c>
      <c r="M356" s="47">
        <f>+SUM(M342:M355)</f>
        <v>6071650</v>
      </c>
      <c r="N356" s="47">
        <f>+SUM(N342:N355)</f>
        <v>8855335</v>
      </c>
      <c r="O356" s="47">
        <f>+SUM(O342:O355)</f>
        <v>5426732</v>
      </c>
    </row>
    <row r="357" spans="1:15" x14ac:dyDescent="0.3">
      <c r="A357" s="10"/>
      <c r="B357" s="11"/>
      <c r="C357" s="12"/>
      <c r="D357" s="13"/>
      <c r="E357" s="12"/>
      <c r="F357" s="13"/>
      <c r="G357" s="12"/>
      <c r="H357" s="12"/>
      <c r="I357" s="134" t="b">
        <f>I356=D359</f>
        <v>1</v>
      </c>
      <c r="J357" s="9">
        <f>H356-I356</f>
        <v>0</v>
      </c>
      <c r="L357" s="5"/>
      <c r="M357" s="5"/>
      <c r="N357" s="5"/>
      <c r="O357" s="5"/>
    </row>
    <row r="358" spans="1:15" x14ac:dyDescent="0.3">
      <c r="A358" s="10" t="s">
        <v>255</v>
      </c>
      <c r="B358" s="11" t="s">
        <v>256</v>
      </c>
      <c r="C358" s="12" t="s">
        <v>257</v>
      </c>
      <c r="D358" s="12" t="s">
        <v>258</v>
      </c>
      <c r="E358" s="12" t="s">
        <v>51</v>
      </c>
      <c r="F358" s="12"/>
      <c r="G358" s="12">
        <f>+D356-F356</f>
        <v>0</v>
      </c>
      <c r="H358" s="12"/>
      <c r="I358" s="12"/>
    </row>
    <row r="359" spans="1:15" x14ac:dyDescent="0.3">
      <c r="A359" s="14">
        <f>C356</f>
        <v>25430796</v>
      </c>
      <c r="B359" s="15">
        <f>G356</f>
        <v>5426732</v>
      </c>
      <c r="C359" s="12">
        <f>E356</f>
        <v>8855335</v>
      </c>
      <c r="D359" s="12">
        <f>A359+B359-C359</f>
        <v>22002193</v>
      </c>
      <c r="E359" s="13">
        <f>I356-D359</f>
        <v>0</v>
      </c>
      <c r="F359" s="12"/>
      <c r="G359" s="12"/>
      <c r="H359" s="12"/>
      <c r="I359" s="12"/>
    </row>
    <row r="360" spans="1:15" x14ac:dyDescent="0.3">
      <c r="A360" s="14"/>
      <c r="B360" s="15"/>
      <c r="C360" s="12"/>
      <c r="D360" s="12"/>
      <c r="E360" s="13"/>
      <c r="F360" s="12"/>
      <c r="G360" s="12"/>
      <c r="H360" s="12"/>
      <c r="I360" s="12"/>
    </row>
    <row r="361" spans="1:15" x14ac:dyDescent="0.3">
      <c r="A361" s="16" t="s">
        <v>52</v>
      </c>
      <c r="B361" s="16"/>
      <c r="C361" s="16"/>
      <c r="D361" s="17"/>
      <c r="E361" s="17"/>
      <c r="F361" s="17"/>
      <c r="G361" s="17"/>
      <c r="H361" s="17"/>
      <c r="I361" s="17"/>
    </row>
    <row r="362" spans="1:15" x14ac:dyDescent="0.3">
      <c r="A362" s="18" t="s">
        <v>261</v>
      </c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5" x14ac:dyDescent="0.3">
      <c r="A363" s="19"/>
      <c r="B363" s="17"/>
      <c r="C363" s="20"/>
      <c r="D363" s="20"/>
      <c r="E363" s="20"/>
      <c r="F363" s="20"/>
      <c r="G363" s="20"/>
      <c r="H363" s="17"/>
      <c r="I363" s="17"/>
    </row>
    <row r="364" spans="1:15" ht="45" customHeight="1" x14ac:dyDescent="0.3">
      <c r="A364" s="170" t="s">
        <v>53</v>
      </c>
      <c r="B364" s="172" t="s">
        <v>54</v>
      </c>
      <c r="C364" s="174" t="s">
        <v>259</v>
      </c>
      <c r="D364" s="175" t="s">
        <v>55</v>
      </c>
      <c r="E364" s="176"/>
      <c r="F364" s="176"/>
      <c r="G364" s="177"/>
      <c r="H364" s="178" t="s">
        <v>56</v>
      </c>
      <c r="I364" s="166" t="s">
        <v>57</v>
      </c>
      <c r="J364" s="17"/>
    </row>
    <row r="365" spans="1:15" ht="28.5" customHeight="1" x14ac:dyDescent="0.3">
      <c r="A365" s="171"/>
      <c r="B365" s="173"/>
      <c r="C365" s="22"/>
      <c r="D365" s="21" t="s">
        <v>24</v>
      </c>
      <c r="E365" s="21" t="s">
        <v>25</v>
      </c>
      <c r="F365" s="22" t="s">
        <v>123</v>
      </c>
      <c r="G365" s="21" t="s">
        <v>58</v>
      </c>
      <c r="H365" s="179"/>
      <c r="I365" s="167"/>
      <c r="J365" s="168" t="s">
        <v>260</v>
      </c>
      <c r="K365" s="143"/>
    </row>
    <row r="366" spans="1:15" x14ac:dyDescent="0.3">
      <c r="A366" s="23"/>
      <c r="B366" s="24" t="s">
        <v>59</v>
      </c>
      <c r="C366" s="25"/>
      <c r="D366" s="25"/>
      <c r="E366" s="25"/>
      <c r="F366" s="25"/>
      <c r="G366" s="25"/>
      <c r="H366" s="25"/>
      <c r="I366" s="26"/>
      <c r="J366" s="169"/>
      <c r="K366" s="143"/>
    </row>
    <row r="367" spans="1:15" x14ac:dyDescent="0.3">
      <c r="A367" s="122" t="s">
        <v>90</v>
      </c>
      <c r="B367" s="127" t="s">
        <v>47</v>
      </c>
      <c r="C367" s="32">
        <f>+C345</f>
        <v>483330</v>
      </c>
      <c r="D367" s="31"/>
      <c r="E367" s="32">
        <f>+D345</f>
        <v>552500</v>
      </c>
      <c r="F367" s="32"/>
      <c r="G367" s="32"/>
      <c r="H367" s="55">
        <f>+F345</f>
        <v>400000</v>
      </c>
      <c r="I367" s="32">
        <f>+E345</f>
        <v>521900</v>
      </c>
      <c r="J367" s="30">
        <f t="shared" ref="J367" si="218">+SUM(C367:G367)-(H367+I367)</f>
        <v>113930</v>
      </c>
      <c r="K367" s="144" t="b">
        <f>J367=I345</f>
        <v>1</v>
      </c>
    </row>
    <row r="368" spans="1:15" x14ac:dyDescent="0.3">
      <c r="A368" s="122" t="str">
        <f>+A367</f>
        <v>OCTOBRE</v>
      </c>
      <c r="B368" s="127" t="s">
        <v>263</v>
      </c>
      <c r="C368" s="32">
        <f>+C346</f>
        <v>0</v>
      </c>
      <c r="D368" s="31"/>
      <c r="E368" s="32">
        <f>+D346</f>
        <v>20000</v>
      </c>
      <c r="F368" s="32"/>
      <c r="G368" s="32"/>
      <c r="H368" s="55">
        <f>+F346</f>
        <v>0</v>
      </c>
      <c r="I368" s="32">
        <f>+E346</f>
        <v>7000</v>
      </c>
      <c r="J368" s="101">
        <f>+SUM(C368:G368)-(H368+I368)</f>
        <v>13000</v>
      </c>
      <c r="K368" s="144" t="b">
        <f>J368=I346</f>
        <v>1</v>
      </c>
    </row>
    <row r="369" spans="1:16" x14ac:dyDescent="0.3">
      <c r="A369" s="122" t="str">
        <f t="shared" ref="A369:A373" si="219">+A368</f>
        <v>OCTOBRE</v>
      </c>
      <c r="B369" s="129" t="s">
        <v>84</v>
      </c>
      <c r="C369" s="120">
        <f t="shared" ref="C369:C370" si="220">+C348</f>
        <v>233614</v>
      </c>
      <c r="D369" s="123"/>
      <c r="E369" s="120">
        <f t="shared" ref="E369:E370" si="221">+D348</f>
        <v>0</v>
      </c>
      <c r="F369" s="137"/>
      <c r="G369" s="137"/>
      <c r="H369" s="155">
        <f t="shared" ref="H369:H370" si="222">+F348</f>
        <v>0</v>
      </c>
      <c r="I369" s="120">
        <f t="shared" ref="I369:I370" si="223">+E348</f>
        <v>0</v>
      </c>
      <c r="J369" s="121">
        <f>+SUM(C369:G369)-(H369+I369)</f>
        <v>233614</v>
      </c>
      <c r="K369" s="144" t="b">
        <f t="shared" ref="K369:K370" si="224">J369=I348</f>
        <v>1</v>
      </c>
    </row>
    <row r="370" spans="1:16" x14ac:dyDescent="0.3">
      <c r="A370" s="122" t="str">
        <f t="shared" si="219"/>
        <v>OCTOBRE</v>
      </c>
      <c r="B370" s="129" t="s">
        <v>83</v>
      </c>
      <c r="C370" s="120">
        <f t="shared" si="220"/>
        <v>249769</v>
      </c>
      <c r="D370" s="123"/>
      <c r="E370" s="120">
        <f t="shared" si="221"/>
        <v>0</v>
      </c>
      <c r="F370" s="137"/>
      <c r="G370" s="137"/>
      <c r="H370" s="155">
        <f t="shared" si="222"/>
        <v>0</v>
      </c>
      <c r="I370" s="120">
        <f t="shared" si="223"/>
        <v>0</v>
      </c>
      <c r="J370" s="121">
        <f t="shared" ref="J370:J377" si="225">+SUM(C370:G370)-(H370+I370)</f>
        <v>249769</v>
      </c>
      <c r="K370" s="144" t="b">
        <f t="shared" si="224"/>
        <v>1</v>
      </c>
    </row>
    <row r="371" spans="1:16" x14ac:dyDescent="0.3">
      <c r="A371" s="122" t="str">
        <f t="shared" si="219"/>
        <v>OCTOBRE</v>
      </c>
      <c r="B371" s="127" t="s">
        <v>31</v>
      </c>
      <c r="C371" s="32">
        <f>C347</f>
        <v>76225</v>
      </c>
      <c r="D371" s="31"/>
      <c r="E371" s="32">
        <f>+D347</f>
        <v>15000</v>
      </c>
      <c r="F371" s="32"/>
      <c r="G371" s="104"/>
      <c r="H371" s="55">
        <f>+F347</f>
        <v>45000</v>
      </c>
      <c r="I371" s="32">
        <f>+E347</f>
        <v>34650</v>
      </c>
      <c r="J371" s="30">
        <f t="shared" si="225"/>
        <v>11575</v>
      </c>
      <c r="K371" s="144" t="b">
        <f>J371=I347</f>
        <v>1</v>
      </c>
    </row>
    <row r="372" spans="1:16" x14ac:dyDescent="0.3">
      <c r="A372" s="122" t="str">
        <f t="shared" si="219"/>
        <v>OCTOBRE</v>
      </c>
      <c r="B372" s="127" t="s">
        <v>204</v>
      </c>
      <c r="C372" s="32">
        <f>C350</f>
        <v>41200</v>
      </c>
      <c r="D372" s="31"/>
      <c r="E372" s="32">
        <f>+D350</f>
        <v>294000</v>
      </c>
      <c r="F372" s="32"/>
      <c r="G372" s="104"/>
      <c r="H372" s="55">
        <f>+F350</f>
        <v>30000</v>
      </c>
      <c r="I372" s="32">
        <f>+E350</f>
        <v>258300</v>
      </c>
      <c r="J372" s="30">
        <f t="shared" si="225"/>
        <v>46900</v>
      </c>
      <c r="K372" s="144" t="b">
        <f>J372=I350</f>
        <v>1</v>
      </c>
    </row>
    <row r="373" spans="1:16" x14ac:dyDescent="0.3">
      <c r="A373" s="122" t="str">
        <f t="shared" si="219"/>
        <v>OCTOBRE</v>
      </c>
      <c r="B373" s="127" t="s">
        <v>93</v>
      </c>
      <c r="C373" s="32">
        <f t="shared" ref="C373:C377" si="226">C351</f>
        <v>98100</v>
      </c>
      <c r="D373" s="31"/>
      <c r="E373" s="32">
        <f t="shared" ref="E373:E377" si="227">+D351</f>
        <v>0</v>
      </c>
      <c r="F373" s="32"/>
      <c r="G373" s="104"/>
      <c r="H373" s="55">
        <f t="shared" ref="H373:H377" si="228">+F351</f>
        <v>60000</v>
      </c>
      <c r="I373" s="32">
        <f t="shared" ref="I373:I377" si="229">+E351</f>
        <v>24000</v>
      </c>
      <c r="J373" s="30">
        <f t="shared" si="225"/>
        <v>14100</v>
      </c>
      <c r="K373" s="144" t="b">
        <f t="shared" ref="K373:K377" si="230">J373=I351</f>
        <v>1</v>
      </c>
    </row>
    <row r="374" spans="1:16" x14ac:dyDescent="0.3">
      <c r="A374" s="122" t="str">
        <f>+A372</f>
        <v>OCTOBRE</v>
      </c>
      <c r="B374" s="127" t="s">
        <v>262</v>
      </c>
      <c r="C374" s="32">
        <f t="shared" si="226"/>
        <v>0</v>
      </c>
      <c r="D374" s="31"/>
      <c r="E374" s="32">
        <f t="shared" si="227"/>
        <v>105000</v>
      </c>
      <c r="F374" s="32"/>
      <c r="G374" s="104"/>
      <c r="H374" s="55">
        <f t="shared" si="228"/>
        <v>10000</v>
      </c>
      <c r="I374" s="32">
        <f t="shared" si="229"/>
        <v>98000</v>
      </c>
      <c r="J374" s="30">
        <f t="shared" si="225"/>
        <v>-3000</v>
      </c>
      <c r="K374" s="144" t="b">
        <f t="shared" si="230"/>
        <v>1</v>
      </c>
    </row>
    <row r="375" spans="1:16" x14ac:dyDescent="0.3">
      <c r="A375" s="122" t="str">
        <f t="shared" ref="A375:A377" si="231">+A373</f>
        <v>OCTOBRE</v>
      </c>
      <c r="B375" s="127" t="s">
        <v>29</v>
      </c>
      <c r="C375" s="32">
        <f t="shared" si="226"/>
        <v>60950</v>
      </c>
      <c r="D375" s="31"/>
      <c r="E375" s="32">
        <f t="shared" si="227"/>
        <v>315000</v>
      </c>
      <c r="F375" s="32"/>
      <c r="G375" s="104"/>
      <c r="H375" s="55">
        <f t="shared" si="228"/>
        <v>60950</v>
      </c>
      <c r="I375" s="32">
        <f t="shared" si="229"/>
        <v>259000</v>
      </c>
      <c r="J375" s="30">
        <f t="shared" si="225"/>
        <v>56000</v>
      </c>
      <c r="K375" s="144" t="b">
        <f t="shared" si="230"/>
        <v>1</v>
      </c>
    </row>
    <row r="376" spans="1:16" x14ac:dyDescent="0.3">
      <c r="A376" s="122" t="str">
        <f t="shared" si="231"/>
        <v>OCTOBRE</v>
      </c>
      <c r="B376" s="128" t="s">
        <v>113</v>
      </c>
      <c r="C376" s="32">
        <f t="shared" si="226"/>
        <v>26298</v>
      </c>
      <c r="D376" s="119"/>
      <c r="E376" s="32">
        <f t="shared" si="227"/>
        <v>150000</v>
      </c>
      <c r="F376" s="51"/>
      <c r="G376" s="138"/>
      <c r="H376" s="55">
        <f t="shared" si="228"/>
        <v>0</v>
      </c>
      <c r="I376" s="32">
        <f t="shared" si="229"/>
        <v>158000</v>
      </c>
      <c r="J376" s="30">
        <f t="shared" si="225"/>
        <v>18298</v>
      </c>
      <c r="K376" s="144" t="b">
        <f t="shared" si="230"/>
        <v>1</v>
      </c>
    </row>
    <row r="377" spans="1:16" x14ac:dyDescent="0.3">
      <c r="A377" s="122" t="str">
        <f t="shared" si="231"/>
        <v>OCTOBRE</v>
      </c>
      <c r="B377" s="128" t="s">
        <v>219</v>
      </c>
      <c r="C377" s="32">
        <f t="shared" si="226"/>
        <v>-1700</v>
      </c>
      <c r="D377" s="119"/>
      <c r="E377" s="32">
        <f t="shared" si="227"/>
        <v>24200</v>
      </c>
      <c r="F377" s="51"/>
      <c r="G377" s="138"/>
      <c r="H377" s="55">
        <f t="shared" si="228"/>
        <v>0</v>
      </c>
      <c r="I377" s="32">
        <f t="shared" si="229"/>
        <v>22500</v>
      </c>
      <c r="J377" s="30">
        <f t="shared" si="225"/>
        <v>0</v>
      </c>
      <c r="K377" s="144" t="b">
        <f t="shared" si="230"/>
        <v>1</v>
      </c>
    </row>
    <row r="378" spans="1:16" x14ac:dyDescent="0.3">
      <c r="A378" s="34" t="s">
        <v>60</v>
      </c>
      <c r="B378" s="35"/>
      <c r="C378" s="35"/>
      <c r="D378" s="35"/>
      <c r="E378" s="35"/>
      <c r="F378" s="35"/>
      <c r="G378" s="35"/>
      <c r="H378" s="35"/>
      <c r="I378" s="35"/>
      <c r="J378" s="36"/>
      <c r="K378" s="143"/>
    </row>
    <row r="379" spans="1:16" x14ac:dyDescent="0.3">
      <c r="A379" s="122" t="str">
        <f>A377</f>
        <v>OCTOBRE</v>
      </c>
      <c r="B379" s="37" t="s">
        <v>61</v>
      </c>
      <c r="C379" s="38">
        <f>+C344</f>
        <v>1081474</v>
      </c>
      <c r="D379" s="49"/>
      <c r="E379" s="49">
        <f>D344</f>
        <v>4595950</v>
      </c>
      <c r="F379" s="49"/>
      <c r="G379" s="125"/>
      <c r="H379" s="51">
        <f>+F344</f>
        <v>1465700</v>
      </c>
      <c r="I379" s="126">
        <f>+E344</f>
        <v>2106393</v>
      </c>
      <c r="J379" s="30">
        <f>+SUM(C379:G379)-(H379+I379)</f>
        <v>2105331</v>
      </c>
      <c r="K379" s="144" t="b">
        <f>J379=I344</f>
        <v>1</v>
      </c>
    </row>
    <row r="380" spans="1:16" x14ac:dyDescent="0.3">
      <c r="A380" s="43" t="s">
        <v>62</v>
      </c>
      <c r="B380" s="24"/>
      <c r="C380" s="35"/>
      <c r="D380" s="24"/>
      <c r="E380" s="24"/>
      <c r="F380" s="24"/>
      <c r="G380" s="24"/>
      <c r="H380" s="24"/>
      <c r="I380" s="24"/>
      <c r="J380" s="36"/>
      <c r="K380" s="143"/>
    </row>
    <row r="381" spans="1:16" x14ac:dyDescent="0.3">
      <c r="A381" s="122" t="str">
        <f>+A379</f>
        <v>OCTOBRE</v>
      </c>
      <c r="B381" s="37" t="s">
        <v>163</v>
      </c>
      <c r="C381" s="125">
        <f>+C342</f>
        <v>14237475</v>
      </c>
      <c r="D381" s="132">
        <f>+G342</f>
        <v>0</v>
      </c>
      <c r="E381" s="49"/>
      <c r="F381" s="49"/>
      <c r="G381" s="49"/>
      <c r="H381" s="51">
        <f>+F342</f>
        <v>4000000</v>
      </c>
      <c r="I381" s="53">
        <f>+E342</f>
        <v>633748</v>
      </c>
      <c r="J381" s="30">
        <f>+SUM(C381:G381)-(H381+I381)</f>
        <v>9603727</v>
      </c>
      <c r="K381" s="144" t="b">
        <f>+J381=I342</f>
        <v>1</v>
      </c>
    </row>
    <row r="382" spans="1:16" x14ac:dyDescent="0.3">
      <c r="A382" s="122" t="str">
        <f t="shared" ref="A382" si="232">+A381</f>
        <v>OCTOBRE</v>
      </c>
      <c r="B382" s="37" t="s">
        <v>64</v>
      </c>
      <c r="C382" s="125">
        <f>+C343</f>
        <v>8844061</v>
      </c>
      <c r="D382" s="49">
        <f>+G343</f>
        <v>5426732</v>
      </c>
      <c r="E382" s="48"/>
      <c r="F382" s="48"/>
      <c r="G382" s="48"/>
      <c r="H382" s="32">
        <f>+F343</f>
        <v>0</v>
      </c>
      <c r="I382" s="50">
        <f>+E343</f>
        <v>4731844</v>
      </c>
      <c r="J382" s="30">
        <f>SUM(C382:G382)-(H382+I382)</f>
        <v>9538949</v>
      </c>
      <c r="K382" s="144" t="b">
        <f>+J382=I343</f>
        <v>1</v>
      </c>
    </row>
    <row r="383" spans="1:16" ht="15.6" x14ac:dyDescent="0.3">
      <c r="C383" s="141">
        <f>SUM(C367:C382)</f>
        <v>25430796</v>
      </c>
      <c r="I383" s="140">
        <f>SUM(I367:I382)</f>
        <v>8855335</v>
      </c>
      <c r="J383" s="105">
        <f>+SUM(J367:J382)</f>
        <v>22002193</v>
      </c>
      <c r="K383" s="5" t="b">
        <f>J383=I356</f>
        <v>1</v>
      </c>
    </row>
    <row r="384" spans="1:16" ht="15.6" x14ac:dyDescent="0.3">
      <c r="A384" s="161"/>
      <c r="B384" s="161"/>
      <c r="C384" s="162"/>
      <c r="D384" s="161"/>
      <c r="E384" s="161"/>
      <c r="F384" s="161"/>
      <c r="G384" s="161"/>
      <c r="H384" s="161"/>
      <c r="I384" s="163"/>
      <c r="J384" s="164"/>
      <c r="K384" s="161"/>
      <c r="L384" s="165"/>
      <c r="M384" s="165"/>
      <c r="N384" s="165"/>
      <c r="O384" s="165"/>
      <c r="P384" s="161"/>
    </row>
    <row r="385" spans="1:15" ht="15.6" x14ac:dyDescent="0.3">
      <c r="C385" s="141"/>
      <c r="I385" s="140"/>
      <c r="J385" s="105"/>
    </row>
    <row r="388" spans="1:15" ht="15.6" x14ac:dyDescent="0.3">
      <c r="A388" s="6" t="s">
        <v>36</v>
      </c>
      <c r="B388" s="6" t="s">
        <v>1</v>
      </c>
      <c r="C388" s="6">
        <v>44805</v>
      </c>
      <c r="D388" s="7" t="s">
        <v>37</v>
      </c>
      <c r="E388" s="7" t="s">
        <v>38</v>
      </c>
      <c r="F388" s="7" t="s">
        <v>39</v>
      </c>
      <c r="G388" s="7" t="s">
        <v>40</v>
      </c>
      <c r="H388" s="6" t="s">
        <v>247</v>
      </c>
      <c r="I388" s="7" t="s">
        <v>41</v>
      </c>
      <c r="K388" s="45"/>
      <c r="L388" s="45" t="s">
        <v>42</v>
      </c>
      <c r="M388" s="45" t="s">
        <v>43</v>
      </c>
      <c r="N388" s="45" t="s">
        <v>44</v>
      </c>
      <c r="O388" s="45" t="s">
        <v>45</v>
      </c>
    </row>
    <row r="389" spans="1:15" x14ac:dyDescent="0.3">
      <c r="A389" s="58" t="str">
        <f>K389</f>
        <v>BCI</v>
      </c>
      <c r="B389" s="59" t="s">
        <v>46</v>
      </c>
      <c r="C389" s="61">
        <v>23820820</v>
      </c>
      <c r="D389" s="61">
        <f>+L389</f>
        <v>0</v>
      </c>
      <c r="E389" s="61">
        <f>+N389</f>
        <v>583345</v>
      </c>
      <c r="F389" s="61">
        <f>+M389</f>
        <v>9000000</v>
      </c>
      <c r="G389" s="61">
        <f t="shared" ref="G389:G401" si="233">+O389</f>
        <v>0</v>
      </c>
      <c r="H389" s="61">
        <v>14237475</v>
      </c>
      <c r="I389" s="61">
        <f>+C389+D389-E389-F389+G389</f>
        <v>14237475</v>
      </c>
      <c r="J389" s="9">
        <f>I389-H389</f>
        <v>0</v>
      </c>
      <c r="K389" s="45" t="s">
        <v>24</v>
      </c>
      <c r="L389" s="47">
        <v>0</v>
      </c>
      <c r="M389" s="47">
        <v>9000000</v>
      </c>
      <c r="N389" s="47">
        <v>583345</v>
      </c>
      <c r="O389" s="47">
        <v>0</v>
      </c>
    </row>
    <row r="390" spans="1:15" x14ac:dyDescent="0.3">
      <c r="A390" s="58" t="str">
        <f t="shared" ref="A390:A401" si="234">K390</f>
        <v>BCI-Sous Compte</v>
      </c>
      <c r="B390" s="59" t="s">
        <v>46</v>
      </c>
      <c r="C390" s="61">
        <v>14424581</v>
      </c>
      <c r="D390" s="61">
        <f t="shared" ref="D390:D401" si="235">+L390</f>
        <v>0</v>
      </c>
      <c r="E390" s="61">
        <f t="shared" ref="E390:E401" si="236">+N390</f>
        <v>5580520</v>
      </c>
      <c r="F390" s="61">
        <f t="shared" ref="F390:F401" si="237">+M390</f>
        <v>0</v>
      </c>
      <c r="G390" s="61">
        <f t="shared" si="233"/>
        <v>0</v>
      </c>
      <c r="H390" s="61">
        <v>8844061</v>
      </c>
      <c r="I390" s="61">
        <f>+C390+D390-E390-F390+G390</f>
        <v>8844061</v>
      </c>
      <c r="J390" s="9">
        <f t="shared" ref="J390:J396" si="238">I390-H390</f>
        <v>0</v>
      </c>
      <c r="K390" s="45" t="s">
        <v>155</v>
      </c>
      <c r="L390" s="46">
        <v>0</v>
      </c>
      <c r="M390" s="47">
        <v>0</v>
      </c>
      <c r="N390" s="47">
        <v>5580520</v>
      </c>
      <c r="O390" s="47">
        <v>0</v>
      </c>
    </row>
    <row r="391" spans="1:15" x14ac:dyDescent="0.3">
      <c r="A391" s="58" t="str">
        <f t="shared" si="234"/>
        <v>Caisse</v>
      </c>
      <c r="B391" s="59" t="s">
        <v>25</v>
      </c>
      <c r="C391" s="61">
        <v>980042</v>
      </c>
      <c r="D391" s="61">
        <f t="shared" si="235"/>
        <v>9476115</v>
      </c>
      <c r="E391" s="61">
        <f t="shared" si="236"/>
        <v>2448183</v>
      </c>
      <c r="F391" s="61">
        <f t="shared" si="237"/>
        <v>6926500</v>
      </c>
      <c r="G391" s="61">
        <f t="shared" si="233"/>
        <v>0</v>
      </c>
      <c r="H391" s="61">
        <v>1081474</v>
      </c>
      <c r="I391" s="61">
        <f>+C391+D391-E391-F391+G391</f>
        <v>1081474</v>
      </c>
      <c r="J391" s="102">
        <f t="shared" si="238"/>
        <v>0</v>
      </c>
      <c r="K391" s="45" t="s">
        <v>25</v>
      </c>
      <c r="L391" s="47">
        <v>9476115</v>
      </c>
      <c r="M391" s="47">
        <v>6926500</v>
      </c>
      <c r="N391" s="47">
        <v>2448183</v>
      </c>
      <c r="O391" s="47">
        <v>0</v>
      </c>
    </row>
    <row r="392" spans="1:15" x14ac:dyDescent="0.3">
      <c r="A392" s="58" t="str">
        <f t="shared" si="234"/>
        <v>Crépin</v>
      </c>
      <c r="B392" s="59" t="s">
        <v>161</v>
      </c>
      <c r="C392" s="61">
        <v>65910</v>
      </c>
      <c r="D392" s="61">
        <f t="shared" si="235"/>
        <v>2886000</v>
      </c>
      <c r="E392" s="61">
        <f t="shared" si="236"/>
        <v>1968580</v>
      </c>
      <c r="F392" s="61">
        <f t="shared" si="237"/>
        <v>500000</v>
      </c>
      <c r="G392" s="61">
        <f t="shared" si="233"/>
        <v>0</v>
      </c>
      <c r="H392" s="61">
        <v>483330</v>
      </c>
      <c r="I392" s="61">
        <f>+C392+D392-E392-F392+G392</f>
        <v>483330</v>
      </c>
      <c r="J392" s="9">
        <f t="shared" si="238"/>
        <v>0</v>
      </c>
      <c r="K392" s="45" t="s">
        <v>47</v>
      </c>
      <c r="L392" s="47">
        <v>2886000</v>
      </c>
      <c r="M392" s="47">
        <v>500000</v>
      </c>
      <c r="N392" s="47">
        <v>1968580</v>
      </c>
      <c r="O392" s="47">
        <v>0</v>
      </c>
    </row>
    <row r="393" spans="1:15" x14ac:dyDescent="0.3">
      <c r="A393" s="58" t="str">
        <f t="shared" si="234"/>
        <v>Evariste</v>
      </c>
      <c r="B393" s="59" t="s">
        <v>162</v>
      </c>
      <c r="C393" s="61">
        <v>4795</v>
      </c>
      <c r="D393" s="61">
        <f t="shared" si="235"/>
        <v>782000</v>
      </c>
      <c r="E393" s="61">
        <f t="shared" si="236"/>
        <v>710570</v>
      </c>
      <c r="F393" s="61">
        <f t="shared" si="237"/>
        <v>0</v>
      </c>
      <c r="G393" s="61">
        <f t="shared" si="233"/>
        <v>0</v>
      </c>
      <c r="H393" s="61">
        <v>76225</v>
      </c>
      <c r="I393" s="61">
        <f t="shared" ref="I393" si="239">+C393+D393-E393-F393+G393</f>
        <v>76225</v>
      </c>
      <c r="J393" s="9">
        <f t="shared" si="238"/>
        <v>0</v>
      </c>
      <c r="K393" s="45" t="s">
        <v>31</v>
      </c>
      <c r="L393" s="47">
        <v>782000</v>
      </c>
      <c r="M393" s="47">
        <v>0</v>
      </c>
      <c r="N393" s="47">
        <v>710570</v>
      </c>
      <c r="O393" s="47">
        <v>0</v>
      </c>
    </row>
    <row r="394" spans="1:15" x14ac:dyDescent="0.3">
      <c r="A394" s="58" t="str">
        <f t="shared" si="234"/>
        <v>I55S</v>
      </c>
      <c r="B394" s="116" t="s">
        <v>4</v>
      </c>
      <c r="C394" s="118">
        <v>233614</v>
      </c>
      <c r="D394" s="118">
        <f t="shared" si="235"/>
        <v>0</v>
      </c>
      <c r="E394" s="118">
        <f t="shared" si="236"/>
        <v>0</v>
      </c>
      <c r="F394" s="118">
        <f t="shared" si="237"/>
        <v>0</v>
      </c>
      <c r="G394" s="118">
        <f t="shared" si="233"/>
        <v>0</v>
      </c>
      <c r="H394" s="118">
        <v>233614</v>
      </c>
      <c r="I394" s="118">
        <f>+C394+D394-E394-F394+G394</f>
        <v>233614</v>
      </c>
      <c r="J394" s="9">
        <f t="shared" si="238"/>
        <v>0</v>
      </c>
      <c r="K394" s="45" t="s">
        <v>84</v>
      </c>
      <c r="L394" s="47">
        <v>0</v>
      </c>
      <c r="M394" s="47">
        <v>0</v>
      </c>
      <c r="N394" s="47">
        <v>0</v>
      </c>
      <c r="O394" s="47">
        <v>0</v>
      </c>
    </row>
    <row r="395" spans="1:15" x14ac:dyDescent="0.3">
      <c r="A395" s="58" t="str">
        <f t="shared" si="234"/>
        <v>I73X</v>
      </c>
      <c r="B395" s="116" t="s">
        <v>4</v>
      </c>
      <c r="C395" s="118">
        <v>249769</v>
      </c>
      <c r="D395" s="118">
        <f t="shared" si="235"/>
        <v>0</v>
      </c>
      <c r="E395" s="118">
        <f t="shared" si="236"/>
        <v>0</v>
      </c>
      <c r="F395" s="118">
        <f t="shared" si="237"/>
        <v>0</v>
      </c>
      <c r="G395" s="118">
        <f t="shared" si="233"/>
        <v>0</v>
      </c>
      <c r="H395" s="118">
        <v>249769</v>
      </c>
      <c r="I395" s="118">
        <f t="shared" ref="I395:I398" si="240">+C395+D395-E395-F395+G395</f>
        <v>249769</v>
      </c>
      <c r="J395" s="9">
        <f t="shared" si="238"/>
        <v>0</v>
      </c>
      <c r="K395" s="45" t="s">
        <v>83</v>
      </c>
      <c r="L395" s="47">
        <v>0</v>
      </c>
      <c r="M395" s="47">
        <v>0</v>
      </c>
      <c r="N395" s="47">
        <v>0</v>
      </c>
      <c r="O395" s="47">
        <v>0</v>
      </c>
    </row>
    <row r="396" spans="1:15" x14ac:dyDescent="0.3">
      <c r="A396" s="58" t="str">
        <f t="shared" si="234"/>
        <v>Grace</v>
      </c>
      <c r="B396" s="98" t="s">
        <v>2</v>
      </c>
      <c r="C396" s="61">
        <v>116815</v>
      </c>
      <c r="D396" s="61">
        <f t="shared" si="235"/>
        <v>1388000</v>
      </c>
      <c r="E396" s="61">
        <f t="shared" si="236"/>
        <v>228700</v>
      </c>
      <c r="F396" s="61">
        <f t="shared" si="237"/>
        <v>1276115</v>
      </c>
      <c r="G396" s="61">
        <f t="shared" si="233"/>
        <v>0</v>
      </c>
      <c r="H396" s="61">
        <v>0</v>
      </c>
      <c r="I396" s="61">
        <f t="shared" si="240"/>
        <v>0</v>
      </c>
      <c r="J396" s="9">
        <f t="shared" si="238"/>
        <v>0</v>
      </c>
      <c r="K396" s="45" t="s">
        <v>150</v>
      </c>
      <c r="L396" s="47">
        <v>1388000</v>
      </c>
      <c r="M396" s="47">
        <v>1276115</v>
      </c>
      <c r="N396" s="47">
        <v>228700</v>
      </c>
      <c r="O396" s="47">
        <v>0</v>
      </c>
    </row>
    <row r="397" spans="1:15" s="189" customFormat="1" ht="15.6" x14ac:dyDescent="0.3">
      <c r="A397" s="58" t="str">
        <f t="shared" si="234"/>
        <v>Hurielle</v>
      </c>
      <c r="B397" s="184" t="s">
        <v>161</v>
      </c>
      <c r="C397" s="185">
        <v>700</v>
      </c>
      <c r="D397" s="61">
        <f t="shared" si="235"/>
        <v>629000</v>
      </c>
      <c r="E397" s="61">
        <f t="shared" si="236"/>
        <v>513500</v>
      </c>
      <c r="F397" s="61">
        <f t="shared" si="237"/>
        <v>75000</v>
      </c>
      <c r="G397" s="61">
        <f t="shared" si="233"/>
        <v>0</v>
      </c>
      <c r="H397" s="185">
        <f>5000+36200</f>
        <v>41200</v>
      </c>
      <c r="I397" s="185">
        <f t="shared" si="240"/>
        <v>41200</v>
      </c>
      <c r="J397" s="186">
        <f>I397-H397</f>
        <v>0</v>
      </c>
      <c r="K397" s="187" t="s">
        <v>204</v>
      </c>
      <c r="L397" s="188">
        <v>629000</v>
      </c>
      <c r="M397" s="188">
        <v>75000</v>
      </c>
      <c r="N397" s="188">
        <v>513500</v>
      </c>
      <c r="O397" s="188">
        <v>0</v>
      </c>
    </row>
    <row r="398" spans="1:15" x14ac:dyDescent="0.3">
      <c r="A398" s="58" t="str">
        <f t="shared" si="234"/>
        <v>Merveille</v>
      </c>
      <c r="B398" s="98" t="s">
        <v>2</v>
      </c>
      <c r="C398" s="61">
        <v>6900</v>
      </c>
      <c r="D398" s="61">
        <f t="shared" si="235"/>
        <v>521000</v>
      </c>
      <c r="E398" s="61">
        <f>+N398</f>
        <v>394800</v>
      </c>
      <c r="F398" s="61">
        <f t="shared" si="237"/>
        <v>35000</v>
      </c>
      <c r="G398" s="61">
        <f t="shared" si="233"/>
        <v>0</v>
      </c>
      <c r="H398" s="61">
        <f>97600+500</f>
        <v>98100</v>
      </c>
      <c r="I398" s="61">
        <f t="shared" si="240"/>
        <v>98100</v>
      </c>
      <c r="J398" s="9">
        <f t="shared" ref="J398:J399" si="241">I398-H398</f>
        <v>0</v>
      </c>
      <c r="K398" s="45" t="s">
        <v>93</v>
      </c>
      <c r="L398" s="47">
        <v>521000</v>
      </c>
      <c r="M398" s="47">
        <v>35000</v>
      </c>
      <c r="N398" s="47">
        <f>395300-500</f>
        <v>394800</v>
      </c>
      <c r="O398" s="47">
        <v>0</v>
      </c>
    </row>
    <row r="399" spans="1:15" x14ac:dyDescent="0.3">
      <c r="A399" s="58" t="str">
        <f t="shared" si="234"/>
        <v>P29</v>
      </c>
      <c r="B399" s="59" t="s">
        <v>4</v>
      </c>
      <c r="C399" s="61">
        <v>24050</v>
      </c>
      <c r="D399" s="61">
        <f t="shared" si="235"/>
        <v>885000</v>
      </c>
      <c r="E399" s="61">
        <f t="shared" si="236"/>
        <v>798100</v>
      </c>
      <c r="F399" s="61">
        <f t="shared" si="237"/>
        <v>50000</v>
      </c>
      <c r="G399" s="61">
        <f t="shared" si="233"/>
        <v>0</v>
      </c>
      <c r="H399" s="61">
        <v>60950</v>
      </c>
      <c r="I399" s="61">
        <f>+C399+D399-E399-F399+G399</f>
        <v>60950</v>
      </c>
      <c r="J399" s="9">
        <f t="shared" si="241"/>
        <v>0</v>
      </c>
      <c r="K399" s="45" t="s">
        <v>29</v>
      </c>
      <c r="L399" s="47">
        <v>885000</v>
      </c>
      <c r="M399" s="47">
        <v>50000</v>
      </c>
      <c r="N399" s="47">
        <v>798100</v>
      </c>
      <c r="O399" s="47">
        <v>0</v>
      </c>
    </row>
    <row r="400" spans="1:15" x14ac:dyDescent="0.3">
      <c r="A400" s="58" t="str">
        <f t="shared" si="234"/>
        <v>Tiffany</v>
      </c>
      <c r="B400" s="59" t="s">
        <v>2</v>
      </c>
      <c r="C400" s="61">
        <v>-653702</v>
      </c>
      <c r="D400" s="61">
        <f t="shared" si="235"/>
        <v>731000</v>
      </c>
      <c r="E400" s="61">
        <f t="shared" si="236"/>
        <v>51000</v>
      </c>
      <c r="F400" s="61">
        <f t="shared" si="237"/>
        <v>0</v>
      </c>
      <c r="G400" s="61">
        <f t="shared" si="233"/>
        <v>0</v>
      </c>
      <c r="H400" s="61">
        <v>26298</v>
      </c>
      <c r="I400" s="61">
        <f>+C400+D400-E400-F400+G400</f>
        <v>26298</v>
      </c>
      <c r="J400" s="9">
        <f>I400-H400</f>
        <v>0</v>
      </c>
      <c r="K400" s="45" t="s">
        <v>113</v>
      </c>
      <c r="L400" s="47">
        <v>731000</v>
      </c>
      <c r="M400" s="47">
        <v>0</v>
      </c>
      <c r="N400" s="47">
        <v>51000</v>
      </c>
      <c r="O400" s="47">
        <v>0</v>
      </c>
    </row>
    <row r="401" spans="1:15" x14ac:dyDescent="0.3">
      <c r="A401" s="58" t="str">
        <f t="shared" si="234"/>
        <v>Yan</v>
      </c>
      <c r="B401" s="59" t="s">
        <v>161</v>
      </c>
      <c r="C401" s="61">
        <v>0</v>
      </c>
      <c r="D401" s="61">
        <f t="shared" si="235"/>
        <v>599500</v>
      </c>
      <c r="E401" s="61">
        <f t="shared" si="236"/>
        <v>566200</v>
      </c>
      <c r="F401" s="61">
        <f t="shared" si="237"/>
        <v>35000</v>
      </c>
      <c r="G401" s="61">
        <f t="shared" si="233"/>
        <v>0</v>
      </c>
      <c r="H401" s="61">
        <v>-1700</v>
      </c>
      <c r="I401" s="61">
        <f t="shared" ref="I401" si="242">+C401+D401-E401-F401+G401</f>
        <v>-1700</v>
      </c>
      <c r="J401" s="9">
        <f t="shared" ref="J401" si="243">I401-H401</f>
        <v>0</v>
      </c>
      <c r="K401" s="45" t="s">
        <v>219</v>
      </c>
      <c r="L401" s="47">
        <v>599500</v>
      </c>
      <c r="M401" s="47">
        <v>35000</v>
      </c>
      <c r="N401" s="47">
        <v>566200</v>
      </c>
      <c r="O401" s="47">
        <v>0</v>
      </c>
    </row>
    <row r="402" spans="1:15" x14ac:dyDescent="0.3">
      <c r="A402" s="10" t="s">
        <v>50</v>
      </c>
      <c r="B402" s="11"/>
      <c r="C402" s="12">
        <f t="shared" ref="C402:I402" si="244">SUM(C389:C401)</f>
        <v>39274294</v>
      </c>
      <c r="D402" s="57">
        <f t="shared" si="244"/>
        <v>17897615</v>
      </c>
      <c r="E402" s="57">
        <f t="shared" si="244"/>
        <v>13843498</v>
      </c>
      <c r="F402" s="57">
        <f t="shared" si="244"/>
        <v>17897615</v>
      </c>
      <c r="G402" s="57">
        <f t="shared" si="244"/>
        <v>0</v>
      </c>
      <c r="H402" s="57">
        <f>SUM(H389:H401)</f>
        <v>25430796</v>
      </c>
      <c r="I402" s="57">
        <f t="shared" si="244"/>
        <v>25430796</v>
      </c>
      <c r="J402" s="9">
        <f>I402-H402</f>
        <v>0</v>
      </c>
      <c r="K402" s="3"/>
      <c r="L402" s="47">
        <f>+SUM(L389:L401)</f>
        <v>17897615</v>
      </c>
      <c r="M402" s="47">
        <f>+SUM(M389:M401)</f>
        <v>17897615</v>
      </c>
      <c r="N402" s="47">
        <f>+SUM(N389:N401)</f>
        <v>13843498</v>
      </c>
      <c r="O402" s="47">
        <f>+SUM(O389:O401)</f>
        <v>0</v>
      </c>
    </row>
    <row r="403" spans="1:15" x14ac:dyDescent="0.3">
      <c r="A403" s="10"/>
      <c r="B403" s="11"/>
      <c r="C403" s="12"/>
      <c r="D403" s="13"/>
      <c r="E403" s="12"/>
      <c r="F403" s="13"/>
      <c r="G403" s="12"/>
      <c r="H403" s="12"/>
      <c r="I403" s="134" t="b">
        <f>I402=D405</f>
        <v>1</v>
      </c>
      <c r="J403" s="9">
        <f>H402-I402</f>
        <v>0</v>
      </c>
      <c r="L403" s="5"/>
      <c r="M403" s="5"/>
      <c r="N403" s="5"/>
      <c r="O403" s="5"/>
    </row>
    <row r="404" spans="1:15" x14ac:dyDescent="0.3">
      <c r="A404" s="10" t="s">
        <v>251</v>
      </c>
      <c r="B404" s="11" t="s">
        <v>250</v>
      </c>
      <c r="C404" s="12" t="s">
        <v>249</v>
      </c>
      <c r="D404" s="12" t="s">
        <v>248</v>
      </c>
      <c r="E404" s="12" t="s">
        <v>51</v>
      </c>
      <c r="F404" s="12"/>
      <c r="G404" s="12">
        <f>+D402-F402</f>
        <v>0</v>
      </c>
      <c r="H404" s="12"/>
      <c r="I404" s="12"/>
    </row>
    <row r="405" spans="1:15" x14ac:dyDescent="0.3">
      <c r="A405" s="14">
        <f>C402</f>
        <v>39274294</v>
      </c>
      <c r="B405" s="15">
        <f>G402</f>
        <v>0</v>
      </c>
      <c r="C405" s="12">
        <f>E402</f>
        <v>13843498</v>
      </c>
      <c r="D405" s="12">
        <f>A405+B405-C405</f>
        <v>25430796</v>
      </c>
      <c r="E405" s="13">
        <f>I402-D405</f>
        <v>0</v>
      </c>
      <c r="F405" s="12"/>
      <c r="G405" s="12"/>
      <c r="H405" s="12"/>
      <c r="I405" s="12"/>
    </row>
    <row r="406" spans="1:15" x14ac:dyDescent="0.3">
      <c r="A406" s="14"/>
      <c r="B406" s="15"/>
      <c r="C406" s="12"/>
      <c r="D406" s="12"/>
      <c r="E406" s="13"/>
      <c r="F406" s="12"/>
      <c r="G406" s="12"/>
      <c r="H406" s="12"/>
      <c r="I406" s="12"/>
    </row>
    <row r="407" spans="1:15" x14ac:dyDescent="0.3">
      <c r="A407" s="16" t="s">
        <v>52</v>
      </c>
      <c r="B407" s="16"/>
      <c r="C407" s="16"/>
      <c r="D407" s="17"/>
      <c r="E407" s="17"/>
      <c r="F407" s="17"/>
      <c r="G407" s="17"/>
      <c r="H407" s="17"/>
      <c r="I407" s="17"/>
    </row>
    <row r="408" spans="1:15" x14ac:dyDescent="0.3">
      <c r="A408" s="18" t="s">
        <v>252</v>
      </c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5" x14ac:dyDescent="0.3">
      <c r="A409" s="19"/>
      <c r="B409" s="17"/>
      <c r="C409" s="20"/>
      <c r="D409" s="20"/>
      <c r="E409" s="20"/>
      <c r="F409" s="20"/>
      <c r="G409" s="20"/>
      <c r="H409" s="17"/>
      <c r="I409" s="17"/>
    </row>
    <row r="410" spans="1:15" ht="45" customHeight="1" x14ac:dyDescent="0.3">
      <c r="A410" s="170" t="s">
        <v>53</v>
      </c>
      <c r="B410" s="172" t="s">
        <v>54</v>
      </c>
      <c r="C410" s="174" t="s">
        <v>253</v>
      </c>
      <c r="D410" s="175" t="s">
        <v>55</v>
      </c>
      <c r="E410" s="176"/>
      <c r="F410" s="176"/>
      <c r="G410" s="177"/>
      <c r="H410" s="178" t="s">
        <v>56</v>
      </c>
      <c r="I410" s="166" t="s">
        <v>57</v>
      </c>
      <c r="J410" s="17"/>
    </row>
    <row r="411" spans="1:15" ht="28.5" customHeight="1" x14ac:dyDescent="0.3">
      <c r="A411" s="171"/>
      <c r="B411" s="173"/>
      <c r="C411" s="22"/>
      <c r="D411" s="21" t="s">
        <v>24</v>
      </c>
      <c r="E411" s="21" t="s">
        <v>25</v>
      </c>
      <c r="F411" s="22" t="s">
        <v>123</v>
      </c>
      <c r="G411" s="21" t="s">
        <v>58</v>
      </c>
      <c r="H411" s="179"/>
      <c r="I411" s="167"/>
      <c r="J411" s="168" t="s">
        <v>254</v>
      </c>
      <c r="K411" s="143"/>
    </row>
    <row r="412" spans="1:15" x14ac:dyDescent="0.3">
      <c r="A412" s="23"/>
      <c r="B412" s="24" t="s">
        <v>59</v>
      </c>
      <c r="C412" s="25"/>
      <c r="D412" s="25"/>
      <c r="E412" s="25"/>
      <c r="F412" s="25"/>
      <c r="G412" s="25"/>
      <c r="H412" s="25"/>
      <c r="I412" s="26"/>
      <c r="J412" s="169"/>
      <c r="K412" s="143"/>
    </row>
    <row r="413" spans="1:15" x14ac:dyDescent="0.3">
      <c r="A413" s="122" t="s">
        <v>79</v>
      </c>
      <c r="B413" s="127" t="s">
        <v>47</v>
      </c>
      <c r="C413" s="32">
        <f t="shared" ref="C413:C422" si="245">+C392</f>
        <v>65910</v>
      </c>
      <c r="D413" s="31"/>
      <c r="E413" s="32">
        <f t="shared" ref="E413:E422" si="246">+D392</f>
        <v>2886000</v>
      </c>
      <c r="F413" s="32"/>
      <c r="G413" s="32"/>
      <c r="H413" s="55">
        <f t="shared" ref="H413:H422" si="247">+F392</f>
        <v>500000</v>
      </c>
      <c r="I413" s="32">
        <f t="shared" ref="I413:I422" si="248">+E392</f>
        <v>1968580</v>
      </c>
      <c r="J413" s="30">
        <f t="shared" ref="J413:J414" si="249">+SUM(C413:G413)-(H413+I413)</f>
        <v>483330</v>
      </c>
      <c r="K413" s="144" t="b">
        <f t="shared" ref="K413:K422" si="250">J413=I392</f>
        <v>1</v>
      </c>
    </row>
    <row r="414" spans="1:15" x14ac:dyDescent="0.3">
      <c r="A414" s="122" t="str">
        <f>+A413</f>
        <v>SEPTEMBRE</v>
      </c>
      <c r="B414" s="127" t="s">
        <v>31</v>
      </c>
      <c r="C414" s="32">
        <f t="shared" si="245"/>
        <v>4795</v>
      </c>
      <c r="D414" s="31"/>
      <c r="E414" s="32">
        <f t="shared" si="246"/>
        <v>782000</v>
      </c>
      <c r="F414" s="32"/>
      <c r="G414" s="32"/>
      <c r="H414" s="55">
        <f t="shared" si="247"/>
        <v>0</v>
      </c>
      <c r="I414" s="32">
        <f t="shared" si="248"/>
        <v>710570</v>
      </c>
      <c r="J414" s="101">
        <f t="shared" si="249"/>
        <v>76225</v>
      </c>
      <c r="K414" s="144" t="b">
        <f t="shared" si="250"/>
        <v>1</v>
      </c>
    </row>
    <row r="415" spans="1:15" x14ac:dyDescent="0.3">
      <c r="A415" s="122" t="str">
        <f t="shared" ref="A415:A419" si="251">+A414</f>
        <v>SEPTEMBRE</v>
      </c>
      <c r="B415" s="129" t="s">
        <v>84</v>
      </c>
      <c r="C415" s="120">
        <f t="shared" si="245"/>
        <v>233614</v>
      </c>
      <c r="D415" s="123"/>
      <c r="E415" s="120">
        <f t="shared" si="246"/>
        <v>0</v>
      </c>
      <c r="F415" s="137"/>
      <c r="G415" s="137"/>
      <c r="H415" s="155">
        <f t="shared" si="247"/>
        <v>0</v>
      </c>
      <c r="I415" s="120">
        <f t="shared" si="248"/>
        <v>0</v>
      </c>
      <c r="J415" s="121">
        <f>+SUM(C415:G415)-(H415+I415)</f>
        <v>233614</v>
      </c>
      <c r="K415" s="144" t="b">
        <f t="shared" si="250"/>
        <v>1</v>
      </c>
    </row>
    <row r="416" spans="1:15" x14ac:dyDescent="0.3">
      <c r="A416" s="122" t="str">
        <f t="shared" si="251"/>
        <v>SEPTEMBRE</v>
      </c>
      <c r="B416" s="129" t="s">
        <v>83</v>
      </c>
      <c r="C416" s="120">
        <f t="shared" si="245"/>
        <v>249769</v>
      </c>
      <c r="D416" s="123"/>
      <c r="E416" s="120">
        <f t="shared" si="246"/>
        <v>0</v>
      </c>
      <c r="F416" s="137"/>
      <c r="G416" s="137"/>
      <c r="H416" s="155">
        <f t="shared" si="247"/>
        <v>0</v>
      </c>
      <c r="I416" s="120">
        <f t="shared" si="248"/>
        <v>0</v>
      </c>
      <c r="J416" s="121">
        <f t="shared" ref="J416:J422" si="252">+SUM(C416:G416)-(H416+I416)</f>
        <v>249769</v>
      </c>
      <c r="K416" s="144" t="b">
        <f t="shared" si="250"/>
        <v>1</v>
      </c>
    </row>
    <row r="417" spans="1:16" x14ac:dyDescent="0.3">
      <c r="A417" s="122" t="str">
        <f t="shared" si="251"/>
        <v>SEPTEMBRE</v>
      </c>
      <c r="B417" s="127" t="s">
        <v>150</v>
      </c>
      <c r="C417" s="32">
        <f t="shared" si="245"/>
        <v>116815</v>
      </c>
      <c r="D417" s="31"/>
      <c r="E417" s="32">
        <f t="shared" si="246"/>
        <v>1388000</v>
      </c>
      <c r="F417" s="32"/>
      <c r="G417" s="104"/>
      <c r="H417" s="55">
        <f t="shared" si="247"/>
        <v>1276115</v>
      </c>
      <c r="I417" s="32">
        <f t="shared" si="248"/>
        <v>228700</v>
      </c>
      <c r="J417" s="30">
        <f t="shared" si="252"/>
        <v>0</v>
      </c>
      <c r="K417" s="144" t="b">
        <f t="shared" si="250"/>
        <v>1</v>
      </c>
    </row>
    <row r="418" spans="1:16" x14ac:dyDescent="0.3">
      <c r="A418" s="122" t="str">
        <f t="shared" si="251"/>
        <v>SEPTEMBRE</v>
      </c>
      <c r="B418" s="127" t="s">
        <v>204</v>
      </c>
      <c r="C418" s="32">
        <f t="shared" si="245"/>
        <v>700</v>
      </c>
      <c r="D418" s="31"/>
      <c r="E418" s="32">
        <f t="shared" si="246"/>
        <v>629000</v>
      </c>
      <c r="F418" s="32"/>
      <c r="G418" s="104"/>
      <c r="H418" s="55">
        <f t="shared" si="247"/>
        <v>75000</v>
      </c>
      <c r="I418" s="32">
        <f t="shared" si="248"/>
        <v>513500</v>
      </c>
      <c r="J418" s="30">
        <f t="shared" si="252"/>
        <v>41200</v>
      </c>
      <c r="K418" s="144" t="b">
        <f t="shared" si="250"/>
        <v>1</v>
      </c>
    </row>
    <row r="419" spans="1:16" x14ac:dyDescent="0.3">
      <c r="A419" s="122" t="str">
        <f t="shared" si="251"/>
        <v>SEPTEMBRE</v>
      </c>
      <c r="B419" s="127" t="s">
        <v>93</v>
      </c>
      <c r="C419" s="32">
        <f t="shared" si="245"/>
        <v>6900</v>
      </c>
      <c r="D419" s="31"/>
      <c r="E419" s="32">
        <f t="shared" si="246"/>
        <v>521000</v>
      </c>
      <c r="F419" s="32"/>
      <c r="G419" s="104"/>
      <c r="H419" s="55">
        <f t="shared" si="247"/>
        <v>35000</v>
      </c>
      <c r="I419" s="32">
        <f t="shared" si="248"/>
        <v>394800</v>
      </c>
      <c r="J419" s="30">
        <f t="shared" si="252"/>
        <v>98100</v>
      </c>
      <c r="K419" s="144" t="b">
        <f t="shared" si="250"/>
        <v>1</v>
      </c>
    </row>
    <row r="420" spans="1:16" x14ac:dyDescent="0.3">
      <c r="A420" s="122" t="str">
        <f>+A418</f>
        <v>SEPTEMBRE</v>
      </c>
      <c r="B420" s="127" t="s">
        <v>29</v>
      </c>
      <c r="C420" s="32">
        <f t="shared" si="245"/>
        <v>24050</v>
      </c>
      <c r="D420" s="31"/>
      <c r="E420" s="32">
        <f t="shared" si="246"/>
        <v>885000</v>
      </c>
      <c r="F420" s="32"/>
      <c r="G420" s="104"/>
      <c r="H420" s="55">
        <f t="shared" si="247"/>
        <v>50000</v>
      </c>
      <c r="I420" s="32">
        <f t="shared" si="248"/>
        <v>798100</v>
      </c>
      <c r="J420" s="30">
        <f t="shared" si="252"/>
        <v>60950</v>
      </c>
      <c r="K420" s="144" t="b">
        <f t="shared" si="250"/>
        <v>1</v>
      </c>
    </row>
    <row r="421" spans="1:16" x14ac:dyDescent="0.3">
      <c r="A421" s="122" t="str">
        <f>+A419</f>
        <v>SEPTEMBRE</v>
      </c>
      <c r="B421" s="127" t="s">
        <v>113</v>
      </c>
      <c r="C421" s="32">
        <f t="shared" si="245"/>
        <v>-653702</v>
      </c>
      <c r="D421" s="31"/>
      <c r="E421" s="32">
        <f t="shared" si="246"/>
        <v>731000</v>
      </c>
      <c r="F421" s="32"/>
      <c r="G421" s="104"/>
      <c r="H421" s="55">
        <f t="shared" si="247"/>
        <v>0</v>
      </c>
      <c r="I421" s="32">
        <f t="shared" si="248"/>
        <v>51000</v>
      </c>
      <c r="J421" s="30">
        <f t="shared" si="252"/>
        <v>26298</v>
      </c>
      <c r="K421" s="144" t="b">
        <f t="shared" si="250"/>
        <v>1</v>
      </c>
    </row>
    <row r="422" spans="1:16" x14ac:dyDescent="0.3">
      <c r="A422" s="122" t="str">
        <f>+A420</f>
        <v>SEPTEMBRE</v>
      </c>
      <c r="B422" s="128" t="s">
        <v>219</v>
      </c>
      <c r="C422" s="32">
        <f t="shared" si="245"/>
        <v>0</v>
      </c>
      <c r="D422" s="119"/>
      <c r="E422" s="32">
        <f t="shared" si="246"/>
        <v>599500</v>
      </c>
      <c r="F422" s="51"/>
      <c r="G422" s="138"/>
      <c r="H422" s="55">
        <f t="shared" si="247"/>
        <v>35000</v>
      </c>
      <c r="I422" s="32">
        <f t="shared" si="248"/>
        <v>566200</v>
      </c>
      <c r="J422" s="30">
        <f t="shared" si="252"/>
        <v>-1700</v>
      </c>
      <c r="K422" s="144" t="b">
        <f t="shared" si="250"/>
        <v>1</v>
      </c>
    </row>
    <row r="423" spans="1:16" x14ac:dyDescent="0.3">
      <c r="A423" s="34" t="s">
        <v>60</v>
      </c>
      <c r="B423" s="35"/>
      <c r="C423" s="35"/>
      <c r="D423" s="35"/>
      <c r="E423" s="35"/>
      <c r="F423" s="35"/>
      <c r="G423" s="35"/>
      <c r="H423" s="35"/>
      <c r="I423" s="35"/>
      <c r="J423" s="36"/>
      <c r="K423" s="143"/>
    </row>
    <row r="424" spans="1:16" x14ac:dyDescent="0.3">
      <c r="A424" s="122" t="str">
        <f>A422</f>
        <v>SEPTEMBRE</v>
      </c>
      <c r="B424" s="37" t="s">
        <v>61</v>
      </c>
      <c r="C424" s="38">
        <f>+C391</f>
        <v>980042</v>
      </c>
      <c r="D424" s="49"/>
      <c r="E424" s="49">
        <f>D391</f>
        <v>9476115</v>
      </c>
      <c r="F424" s="49"/>
      <c r="G424" s="125"/>
      <c r="H424" s="51">
        <f>+F391</f>
        <v>6926500</v>
      </c>
      <c r="I424" s="126">
        <f>+E391</f>
        <v>2448183</v>
      </c>
      <c r="J424" s="30">
        <f>+SUM(C424:G424)-(H424+I424)</f>
        <v>1081474</v>
      </c>
      <c r="K424" s="144" t="b">
        <f>J424=I391</f>
        <v>1</v>
      </c>
    </row>
    <row r="425" spans="1:16" x14ac:dyDescent="0.3">
      <c r="A425" s="43" t="s">
        <v>62</v>
      </c>
      <c r="B425" s="24"/>
      <c r="C425" s="35"/>
      <c r="D425" s="24"/>
      <c r="E425" s="24"/>
      <c r="F425" s="24"/>
      <c r="G425" s="24"/>
      <c r="H425" s="24"/>
      <c r="I425" s="24"/>
      <c r="J425" s="36"/>
      <c r="K425" s="143"/>
    </row>
    <row r="426" spans="1:16" x14ac:dyDescent="0.3">
      <c r="A426" s="122" t="str">
        <f>+A424</f>
        <v>SEPTEMBRE</v>
      </c>
      <c r="B426" s="37" t="s">
        <v>163</v>
      </c>
      <c r="C426" s="125">
        <f>+C389</f>
        <v>23820820</v>
      </c>
      <c r="D426" s="132">
        <f>+G389</f>
        <v>0</v>
      </c>
      <c r="E426" s="49"/>
      <c r="F426" s="49"/>
      <c r="G426" s="49"/>
      <c r="H426" s="51">
        <f>+F389</f>
        <v>9000000</v>
      </c>
      <c r="I426" s="53">
        <f>+E389</f>
        <v>583345</v>
      </c>
      <c r="J426" s="30">
        <f>+SUM(C426:G426)-(H426+I426)</f>
        <v>14237475</v>
      </c>
      <c r="K426" s="144" t="b">
        <f>+J426=I389</f>
        <v>1</v>
      </c>
    </row>
    <row r="427" spans="1:16" x14ac:dyDescent="0.3">
      <c r="A427" s="122" t="str">
        <f t="shared" ref="A427" si="253">+A426</f>
        <v>SEPTEMBRE</v>
      </c>
      <c r="B427" s="37" t="s">
        <v>64</v>
      </c>
      <c r="C427" s="125">
        <f>+C390</f>
        <v>14424581</v>
      </c>
      <c r="D427" s="49">
        <f>+G390</f>
        <v>0</v>
      </c>
      <c r="E427" s="48"/>
      <c r="F427" s="48"/>
      <c r="G427" s="48"/>
      <c r="H427" s="32">
        <f>+F390</f>
        <v>0</v>
      </c>
      <c r="I427" s="50">
        <f>+E390</f>
        <v>5580520</v>
      </c>
      <c r="J427" s="30">
        <f>SUM(C427:G427)-(H427+I427)</f>
        <v>8844061</v>
      </c>
      <c r="K427" s="144" t="b">
        <f>+J427=I390</f>
        <v>1</v>
      </c>
    </row>
    <row r="428" spans="1:16" ht="15.6" x14ac:dyDescent="0.3">
      <c r="C428" s="141">
        <f>SUM(C413:C427)</f>
        <v>39274294</v>
      </c>
      <c r="I428" s="140">
        <f>SUM(I413:I427)</f>
        <v>13843498</v>
      </c>
      <c r="J428" s="105">
        <f>+SUM(J413:J427)</f>
        <v>25430796</v>
      </c>
      <c r="K428" s="5" t="b">
        <f>J428=I402</f>
        <v>1</v>
      </c>
    </row>
    <row r="429" spans="1:16" ht="15.6" x14ac:dyDescent="0.3">
      <c r="A429" s="161"/>
      <c r="B429" s="161"/>
      <c r="C429" s="162"/>
      <c r="D429" s="161"/>
      <c r="E429" s="161"/>
      <c r="F429" s="161"/>
      <c r="G429" s="161"/>
      <c r="H429" s="161"/>
      <c r="I429" s="163"/>
      <c r="J429" s="164"/>
      <c r="K429" s="161"/>
      <c r="L429" s="165"/>
      <c r="M429" s="165"/>
      <c r="N429" s="165"/>
      <c r="O429" s="165"/>
      <c r="P429" s="161"/>
    </row>
    <row r="430" spans="1:16" ht="15.6" x14ac:dyDescent="0.3">
      <c r="C430" s="141"/>
      <c r="I430" s="140"/>
      <c r="J430" s="105"/>
    </row>
    <row r="431" spans="1:16" ht="15.6" x14ac:dyDescent="0.3">
      <c r="C431" s="141"/>
      <c r="I431" s="140"/>
      <c r="J431" s="105"/>
    </row>
    <row r="432" spans="1:16" ht="15.6" x14ac:dyDescent="0.3">
      <c r="A432" s="6" t="s">
        <v>36</v>
      </c>
      <c r="B432" s="6" t="s">
        <v>1</v>
      </c>
      <c r="C432" s="6">
        <v>44774</v>
      </c>
      <c r="D432" s="7" t="s">
        <v>37</v>
      </c>
      <c r="E432" s="7" t="s">
        <v>38</v>
      </c>
      <c r="F432" s="7" t="s">
        <v>39</v>
      </c>
      <c r="G432" s="7" t="s">
        <v>40</v>
      </c>
      <c r="H432" s="6">
        <v>44804</v>
      </c>
      <c r="I432" s="7" t="s">
        <v>41</v>
      </c>
      <c r="K432" s="45"/>
      <c r="L432" s="45" t="s">
        <v>42</v>
      </c>
      <c r="M432" s="45" t="s">
        <v>43</v>
      </c>
      <c r="N432" s="45" t="s">
        <v>44</v>
      </c>
      <c r="O432" s="45" t="s">
        <v>45</v>
      </c>
    </row>
    <row r="433" spans="1:15" x14ac:dyDescent="0.3">
      <c r="A433" s="58" t="str">
        <f>K433</f>
        <v>BCI</v>
      </c>
      <c r="B433" s="59" t="s">
        <v>46</v>
      </c>
      <c r="C433" s="61">
        <v>168348</v>
      </c>
      <c r="D433" s="61">
        <f>+L433</f>
        <v>0</v>
      </c>
      <c r="E433" s="61">
        <f>+N433</f>
        <v>286008</v>
      </c>
      <c r="F433" s="61">
        <f>+M433</f>
        <v>1000000</v>
      </c>
      <c r="G433" s="61">
        <f t="shared" ref="G433:G443" si="254">+O433</f>
        <v>24938480</v>
      </c>
      <c r="H433" s="61">
        <v>23820820</v>
      </c>
      <c r="I433" s="61">
        <f>+C433+D433-E433-F433+G433</f>
        <v>23820820</v>
      </c>
      <c r="J433" s="9">
        <f>I433-H433</f>
        <v>0</v>
      </c>
      <c r="K433" s="45" t="s">
        <v>24</v>
      </c>
      <c r="L433" s="47">
        <v>0</v>
      </c>
      <c r="M433" s="47">
        <v>1000000</v>
      </c>
      <c r="N433" s="47">
        <v>286008</v>
      </c>
      <c r="O433" s="47">
        <v>24938480</v>
      </c>
    </row>
    <row r="434" spans="1:15" x14ac:dyDescent="0.3">
      <c r="A434" s="58" t="str">
        <f t="shared" ref="A434:A445" si="255">K434</f>
        <v>BCI-Sous Compte</v>
      </c>
      <c r="B434" s="59" t="s">
        <v>46</v>
      </c>
      <c r="C434" s="61">
        <v>21477810</v>
      </c>
      <c r="D434" s="61">
        <f t="shared" ref="D434:D445" si="256">+L434</f>
        <v>0</v>
      </c>
      <c r="E434" s="61">
        <f t="shared" ref="E434:E445" si="257">+N434</f>
        <v>4453229</v>
      </c>
      <c r="F434" s="61">
        <f t="shared" ref="F434:F445" si="258">+M434</f>
        <v>2600000</v>
      </c>
      <c r="G434" s="61">
        <f t="shared" si="254"/>
        <v>0</v>
      </c>
      <c r="H434" s="61">
        <v>14424581</v>
      </c>
      <c r="I434" s="61">
        <f>+C434+D434-E434-F434+G434</f>
        <v>14424581</v>
      </c>
      <c r="J434" s="9">
        <f t="shared" ref="J434:J440" si="259">I434-H434</f>
        <v>0</v>
      </c>
      <c r="K434" s="45" t="s">
        <v>155</v>
      </c>
      <c r="L434" s="46">
        <v>0</v>
      </c>
      <c r="M434" s="47">
        <v>2600000</v>
      </c>
      <c r="N434" s="47">
        <v>4453229</v>
      </c>
      <c r="O434" s="47">
        <v>0</v>
      </c>
    </row>
    <row r="435" spans="1:15" x14ac:dyDescent="0.3">
      <c r="A435" s="58" t="str">
        <f t="shared" si="255"/>
        <v>Caisse</v>
      </c>
      <c r="B435" s="59" t="s">
        <v>25</v>
      </c>
      <c r="C435" s="61">
        <v>103032</v>
      </c>
      <c r="D435" s="61">
        <f t="shared" si="256"/>
        <v>3946550</v>
      </c>
      <c r="E435" s="61">
        <f t="shared" si="257"/>
        <v>994290</v>
      </c>
      <c r="F435" s="61">
        <f t="shared" si="258"/>
        <v>2075250</v>
      </c>
      <c r="G435" s="61">
        <f t="shared" si="254"/>
        <v>0</v>
      </c>
      <c r="H435" s="61">
        <v>980042</v>
      </c>
      <c r="I435" s="61">
        <f>+C435+D435-E435-F435+G435</f>
        <v>980042</v>
      </c>
      <c r="J435" s="102">
        <f t="shared" si="259"/>
        <v>0</v>
      </c>
      <c r="K435" s="45" t="s">
        <v>25</v>
      </c>
      <c r="L435" s="47">
        <v>3946550</v>
      </c>
      <c r="M435" s="47">
        <v>2075250</v>
      </c>
      <c r="N435" s="47">
        <v>994290</v>
      </c>
      <c r="O435" s="47">
        <v>0</v>
      </c>
    </row>
    <row r="436" spans="1:15" x14ac:dyDescent="0.3">
      <c r="A436" s="58" t="str">
        <f t="shared" si="255"/>
        <v>Crépin</v>
      </c>
      <c r="B436" s="59" t="s">
        <v>161</v>
      </c>
      <c r="C436" s="61">
        <v>-5640</v>
      </c>
      <c r="D436" s="61">
        <f t="shared" si="256"/>
        <v>600250</v>
      </c>
      <c r="E436" s="61">
        <f t="shared" si="257"/>
        <v>421700</v>
      </c>
      <c r="F436" s="61">
        <f t="shared" si="258"/>
        <v>107000</v>
      </c>
      <c r="G436" s="61">
        <f t="shared" si="254"/>
        <v>0</v>
      </c>
      <c r="H436" s="61">
        <v>65910</v>
      </c>
      <c r="I436" s="61">
        <f>+C436+D436-E436-F436+G436</f>
        <v>65910</v>
      </c>
      <c r="J436" s="9">
        <f t="shared" si="259"/>
        <v>0</v>
      </c>
      <c r="K436" s="45" t="s">
        <v>47</v>
      </c>
      <c r="L436" s="47">
        <v>600250</v>
      </c>
      <c r="M436" s="47">
        <v>107000</v>
      </c>
      <c r="N436" s="47">
        <v>421700</v>
      </c>
      <c r="O436" s="47">
        <v>0</v>
      </c>
    </row>
    <row r="437" spans="1:15" x14ac:dyDescent="0.3">
      <c r="A437" s="58" t="str">
        <f t="shared" si="255"/>
        <v>Evariste</v>
      </c>
      <c r="B437" s="59" t="s">
        <v>162</v>
      </c>
      <c r="C437" s="61">
        <v>4795</v>
      </c>
      <c r="D437" s="61">
        <f t="shared" si="256"/>
        <v>0</v>
      </c>
      <c r="E437" s="61">
        <f t="shared" si="257"/>
        <v>0</v>
      </c>
      <c r="F437" s="61">
        <f t="shared" si="258"/>
        <v>0</v>
      </c>
      <c r="G437" s="61">
        <f t="shared" si="254"/>
        <v>0</v>
      </c>
      <c r="H437" s="61">
        <v>4795</v>
      </c>
      <c r="I437" s="61">
        <f t="shared" ref="I437" si="260">+C437+D437-E437-F437+G437</f>
        <v>4795</v>
      </c>
      <c r="J437" s="9">
        <f t="shared" si="259"/>
        <v>0</v>
      </c>
      <c r="K437" s="45" t="s">
        <v>31</v>
      </c>
      <c r="L437" s="47">
        <v>0</v>
      </c>
      <c r="M437" s="47">
        <v>0</v>
      </c>
      <c r="N437" s="47">
        <v>0</v>
      </c>
      <c r="O437" s="47">
        <v>0</v>
      </c>
    </row>
    <row r="438" spans="1:15" x14ac:dyDescent="0.3">
      <c r="A438" s="58" t="str">
        <f t="shared" si="255"/>
        <v>I55S</v>
      </c>
      <c r="B438" s="116" t="s">
        <v>4</v>
      </c>
      <c r="C438" s="118">
        <v>233614</v>
      </c>
      <c r="D438" s="118">
        <f t="shared" si="256"/>
        <v>0</v>
      </c>
      <c r="E438" s="118">
        <f t="shared" si="257"/>
        <v>0</v>
      </c>
      <c r="F438" s="118">
        <f t="shared" si="258"/>
        <v>0</v>
      </c>
      <c r="G438" s="118">
        <f t="shared" si="254"/>
        <v>0</v>
      </c>
      <c r="H438" s="118">
        <v>233614</v>
      </c>
      <c r="I438" s="118">
        <f>+C438+D438-E438-F438+G438</f>
        <v>233614</v>
      </c>
      <c r="J438" s="9">
        <f t="shared" si="259"/>
        <v>0</v>
      </c>
      <c r="K438" s="45" t="s">
        <v>84</v>
      </c>
      <c r="L438" s="47">
        <v>0</v>
      </c>
      <c r="M438" s="47">
        <v>0</v>
      </c>
      <c r="N438" s="47">
        <v>0</v>
      </c>
      <c r="O438" s="47">
        <v>0</v>
      </c>
    </row>
    <row r="439" spans="1:15" x14ac:dyDescent="0.3">
      <c r="A439" s="58" t="str">
        <f t="shared" si="255"/>
        <v>I73X</v>
      </c>
      <c r="B439" s="116" t="s">
        <v>4</v>
      </c>
      <c r="C439" s="118">
        <v>249769</v>
      </c>
      <c r="D439" s="118">
        <f t="shared" si="256"/>
        <v>0</v>
      </c>
      <c r="E439" s="118">
        <f t="shared" si="257"/>
        <v>0</v>
      </c>
      <c r="F439" s="118">
        <f t="shared" si="258"/>
        <v>0</v>
      </c>
      <c r="G439" s="118">
        <f t="shared" si="254"/>
        <v>0</v>
      </c>
      <c r="H439" s="118">
        <v>249769</v>
      </c>
      <c r="I439" s="118">
        <f t="shared" ref="I439:I442" si="261">+C439+D439-E439-F439+G439</f>
        <v>249769</v>
      </c>
      <c r="J439" s="9">
        <f t="shared" si="259"/>
        <v>0</v>
      </c>
      <c r="K439" s="45" t="s">
        <v>83</v>
      </c>
      <c r="L439" s="47">
        <v>0</v>
      </c>
      <c r="M439" s="47">
        <v>0</v>
      </c>
      <c r="N439" s="47">
        <v>0</v>
      </c>
      <c r="O439" s="47">
        <v>0</v>
      </c>
    </row>
    <row r="440" spans="1:15" x14ac:dyDescent="0.3">
      <c r="A440" s="58" t="str">
        <f t="shared" si="255"/>
        <v>Grace</v>
      </c>
      <c r="B440" s="98" t="s">
        <v>2</v>
      </c>
      <c r="C440" s="61">
        <v>18815</v>
      </c>
      <c r="D440" s="61">
        <f t="shared" si="256"/>
        <v>105000</v>
      </c>
      <c r="E440" s="61">
        <f t="shared" si="257"/>
        <v>7000</v>
      </c>
      <c r="F440" s="61">
        <f t="shared" si="258"/>
        <v>0</v>
      </c>
      <c r="G440" s="61">
        <f t="shared" si="254"/>
        <v>0</v>
      </c>
      <c r="H440" s="61">
        <v>116815</v>
      </c>
      <c r="I440" s="61">
        <f t="shared" si="261"/>
        <v>116815</v>
      </c>
      <c r="J440" s="9">
        <f t="shared" si="259"/>
        <v>0</v>
      </c>
      <c r="K440" s="45" t="s">
        <v>150</v>
      </c>
      <c r="L440" s="47">
        <v>105000</v>
      </c>
      <c r="M440" s="47">
        <v>0</v>
      </c>
      <c r="N440" s="47">
        <v>7000</v>
      </c>
      <c r="O440" s="47">
        <v>0</v>
      </c>
    </row>
    <row r="441" spans="1:15" s="189" customFormat="1" ht="15.6" x14ac:dyDescent="0.3">
      <c r="A441" s="183" t="str">
        <f t="shared" si="255"/>
        <v>Hurielle</v>
      </c>
      <c r="B441" s="184" t="s">
        <v>161</v>
      </c>
      <c r="C441" s="185">
        <v>36500</v>
      </c>
      <c r="D441" s="185">
        <f t="shared" si="256"/>
        <v>266000</v>
      </c>
      <c r="E441" s="185">
        <f t="shared" si="257"/>
        <v>213800</v>
      </c>
      <c r="F441" s="185">
        <f t="shared" si="258"/>
        <v>88000</v>
      </c>
      <c r="G441" s="185">
        <f t="shared" si="254"/>
        <v>0</v>
      </c>
      <c r="H441" s="185">
        <v>700</v>
      </c>
      <c r="I441" s="185">
        <f t="shared" si="261"/>
        <v>700</v>
      </c>
      <c r="J441" s="186">
        <f>I441-H441</f>
        <v>0</v>
      </c>
      <c r="K441" s="187" t="s">
        <v>204</v>
      </c>
      <c r="L441" s="188">
        <v>266000</v>
      </c>
      <c r="M441" s="188">
        <v>88000</v>
      </c>
      <c r="N441" s="188">
        <v>213800</v>
      </c>
      <c r="O441" s="188">
        <v>0</v>
      </c>
    </row>
    <row r="442" spans="1:15" x14ac:dyDescent="0.3">
      <c r="A442" s="58" t="str">
        <f t="shared" si="255"/>
        <v>I23C</v>
      </c>
      <c r="B442" s="98" t="s">
        <v>4</v>
      </c>
      <c r="C442" s="61">
        <v>79550</v>
      </c>
      <c r="D442" s="61">
        <f t="shared" si="256"/>
        <v>506000</v>
      </c>
      <c r="E442" s="61">
        <f t="shared" si="257"/>
        <v>484000</v>
      </c>
      <c r="F442" s="61">
        <f t="shared" si="258"/>
        <v>101550</v>
      </c>
      <c r="G442" s="61">
        <f t="shared" si="254"/>
        <v>0</v>
      </c>
      <c r="H442" s="61">
        <v>0</v>
      </c>
      <c r="I442" s="61">
        <f t="shared" si="261"/>
        <v>0</v>
      </c>
      <c r="J442" s="9">
        <f t="shared" ref="J442:J443" si="262">I442-H442</f>
        <v>0</v>
      </c>
      <c r="K442" s="45" t="s">
        <v>30</v>
      </c>
      <c r="L442" s="47">
        <v>506000</v>
      </c>
      <c r="M442" s="47">
        <v>101550</v>
      </c>
      <c r="N442" s="47">
        <v>484000</v>
      </c>
      <c r="O442" s="47">
        <v>0</v>
      </c>
    </row>
    <row r="443" spans="1:15" x14ac:dyDescent="0.3">
      <c r="A443" s="58" t="str">
        <f t="shared" si="255"/>
        <v>Merveille</v>
      </c>
      <c r="B443" s="59" t="s">
        <v>2</v>
      </c>
      <c r="C443" s="61">
        <v>5900</v>
      </c>
      <c r="D443" s="61">
        <f t="shared" si="256"/>
        <v>20000</v>
      </c>
      <c r="E443" s="61">
        <f t="shared" si="257"/>
        <v>19000</v>
      </c>
      <c r="F443" s="61">
        <f t="shared" si="258"/>
        <v>0</v>
      </c>
      <c r="G443" s="61">
        <f t="shared" si="254"/>
        <v>0</v>
      </c>
      <c r="H443" s="61">
        <v>6900</v>
      </c>
      <c r="I443" s="61">
        <f>+C443+D443-E443-F443+G443</f>
        <v>6900</v>
      </c>
      <c r="J443" s="9">
        <f t="shared" si="262"/>
        <v>0</v>
      </c>
      <c r="K443" s="45" t="s">
        <v>93</v>
      </c>
      <c r="L443" s="47">
        <v>20000</v>
      </c>
      <c r="M443" s="47">
        <v>0</v>
      </c>
      <c r="N443" s="47">
        <v>19000</v>
      </c>
      <c r="O443" s="47">
        <v>0</v>
      </c>
    </row>
    <row r="444" spans="1:15" x14ac:dyDescent="0.3">
      <c r="A444" s="58" t="str">
        <f t="shared" si="255"/>
        <v>P29</v>
      </c>
      <c r="B444" s="59" t="s">
        <v>4</v>
      </c>
      <c r="C444" s="61">
        <v>29850</v>
      </c>
      <c r="D444" s="61">
        <f t="shared" si="256"/>
        <v>578000</v>
      </c>
      <c r="E444" s="61">
        <f t="shared" si="257"/>
        <v>533800</v>
      </c>
      <c r="F444" s="61">
        <f t="shared" si="258"/>
        <v>50000</v>
      </c>
      <c r="G444" s="61">
        <f>+O444</f>
        <v>0</v>
      </c>
      <c r="H444" s="61">
        <v>24050</v>
      </c>
      <c r="I444" s="61">
        <f>+C444+D444-E444-F444+G444</f>
        <v>24050</v>
      </c>
      <c r="J444" s="9">
        <f>I444-H444</f>
        <v>0</v>
      </c>
      <c r="K444" s="45" t="s">
        <v>29</v>
      </c>
      <c r="L444" s="47">
        <v>578000</v>
      </c>
      <c r="M444" s="47">
        <v>50000</v>
      </c>
      <c r="N444" s="47">
        <v>533800</v>
      </c>
      <c r="O444" s="47">
        <v>0</v>
      </c>
    </row>
    <row r="445" spans="1:15" x14ac:dyDescent="0.3">
      <c r="A445" s="58" t="str">
        <f t="shared" si="255"/>
        <v>Tiffany</v>
      </c>
      <c r="B445" s="59" t="s">
        <v>2</v>
      </c>
      <c r="C445" s="61">
        <v>1123541</v>
      </c>
      <c r="D445" s="61">
        <f t="shared" si="256"/>
        <v>0</v>
      </c>
      <c r="E445" s="61">
        <f t="shared" si="257"/>
        <v>1777243</v>
      </c>
      <c r="F445" s="61">
        <f t="shared" si="258"/>
        <v>0</v>
      </c>
      <c r="G445" s="61">
        <f t="shared" ref="G445" si="263">+O445</f>
        <v>0</v>
      </c>
      <c r="H445" s="61">
        <v>-653702</v>
      </c>
      <c r="I445" s="61">
        <f t="shared" ref="I445" si="264">+C445+D445-E445-F445+G445</f>
        <v>-653702</v>
      </c>
      <c r="J445" s="9">
        <f t="shared" ref="J445" si="265">I445-H445</f>
        <v>0</v>
      </c>
      <c r="K445" s="45" t="s">
        <v>113</v>
      </c>
      <c r="L445" s="47">
        <v>0</v>
      </c>
      <c r="M445" s="47">
        <v>0</v>
      </c>
      <c r="N445" s="47">
        <v>1777243</v>
      </c>
      <c r="O445" s="47">
        <v>0</v>
      </c>
    </row>
    <row r="446" spans="1:15" x14ac:dyDescent="0.3">
      <c r="A446" s="10" t="s">
        <v>50</v>
      </c>
      <c r="B446" s="11"/>
      <c r="C446" s="12">
        <f t="shared" ref="C446:I446" si="266">SUM(C433:C445)</f>
        <v>23525884</v>
      </c>
      <c r="D446" s="57">
        <f t="shared" si="266"/>
        <v>6021800</v>
      </c>
      <c r="E446" s="57">
        <f t="shared" si="266"/>
        <v>9190070</v>
      </c>
      <c r="F446" s="57">
        <f t="shared" si="266"/>
        <v>6021800</v>
      </c>
      <c r="G446" s="57">
        <f t="shared" si="266"/>
        <v>24938480</v>
      </c>
      <c r="H446" s="57">
        <f t="shared" si="266"/>
        <v>39274294</v>
      </c>
      <c r="I446" s="57">
        <f t="shared" si="266"/>
        <v>39274294</v>
      </c>
      <c r="J446" s="9">
        <f>I446-H446</f>
        <v>0</v>
      </c>
      <c r="K446" s="3"/>
      <c r="L446" s="47">
        <f>+SUM(L433:L445)</f>
        <v>6021800</v>
      </c>
      <c r="M446" s="47">
        <f>+SUM(M433:M445)</f>
        <v>6021800</v>
      </c>
      <c r="N446" s="47">
        <f>+SUM(N433:N445)</f>
        <v>9190070</v>
      </c>
      <c r="O446" s="47">
        <f>+SUM(O433:O445)</f>
        <v>24938480</v>
      </c>
    </row>
    <row r="447" spans="1:15" x14ac:dyDescent="0.3">
      <c r="A447" s="10"/>
      <c r="B447" s="11"/>
      <c r="C447" s="12"/>
      <c r="D447" s="13"/>
      <c r="E447" s="12"/>
      <c r="F447" s="13"/>
      <c r="G447" s="12"/>
      <c r="H447" s="12"/>
      <c r="I447" s="134" t="b">
        <f>I446=D449</f>
        <v>1</v>
      </c>
      <c r="L447" s="5"/>
      <c r="M447" s="5"/>
      <c r="N447" s="5"/>
      <c r="O447" s="5"/>
    </row>
    <row r="448" spans="1:15" x14ac:dyDescent="0.3">
      <c r="A448" s="10" t="s">
        <v>238</v>
      </c>
      <c r="B448" s="11" t="s">
        <v>239</v>
      </c>
      <c r="C448" s="12" t="s">
        <v>240</v>
      </c>
      <c r="D448" s="12" t="s">
        <v>241</v>
      </c>
      <c r="E448" s="12" t="s">
        <v>51</v>
      </c>
      <c r="F448" s="12"/>
      <c r="G448" s="12">
        <f>+D446-F446</f>
        <v>0</v>
      </c>
      <c r="H448" s="12"/>
      <c r="I448" s="12"/>
    </row>
    <row r="449" spans="1:11" x14ac:dyDescent="0.3">
      <c r="A449" s="14">
        <f>C446</f>
        <v>23525884</v>
      </c>
      <c r="B449" s="15">
        <f>G446</f>
        <v>24938480</v>
      </c>
      <c r="C449" s="12">
        <f>E446</f>
        <v>9190070</v>
      </c>
      <c r="D449" s="12">
        <f>A449+B449-C449</f>
        <v>39274294</v>
      </c>
      <c r="E449" s="13">
        <f>I446-D449</f>
        <v>0</v>
      </c>
      <c r="F449" s="12"/>
      <c r="G449" s="12"/>
      <c r="H449" s="12"/>
      <c r="I449" s="12"/>
    </row>
    <row r="450" spans="1:11" x14ac:dyDescent="0.3">
      <c r="A450" s="14"/>
      <c r="B450" s="15"/>
      <c r="C450" s="12"/>
      <c r="D450" s="12"/>
      <c r="E450" s="13"/>
      <c r="F450" s="12"/>
      <c r="G450" s="12"/>
      <c r="H450" s="12"/>
      <c r="I450" s="12"/>
    </row>
    <row r="451" spans="1:11" x14ac:dyDescent="0.3">
      <c r="A451" s="16" t="s">
        <v>52</v>
      </c>
      <c r="B451" s="16"/>
      <c r="C451" s="16"/>
      <c r="D451" s="17"/>
      <c r="E451" s="17"/>
      <c r="F451" s="17"/>
      <c r="G451" s="17"/>
      <c r="H451" s="17"/>
      <c r="I451" s="17"/>
    </row>
    <row r="452" spans="1:11" x14ac:dyDescent="0.3">
      <c r="A452" s="18" t="s">
        <v>243</v>
      </c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1:11" x14ac:dyDescent="0.3">
      <c r="A453" s="19"/>
      <c r="B453" s="17"/>
      <c r="C453" s="20"/>
      <c r="D453" s="20"/>
      <c r="E453" s="20"/>
      <c r="F453" s="20"/>
      <c r="G453" s="20"/>
      <c r="H453" s="17"/>
      <c r="I453" s="17"/>
    </row>
    <row r="454" spans="1:11" x14ac:dyDescent="0.3">
      <c r="A454" s="170" t="s">
        <v>53</v>
      </c>
      <c r="B454" s="172" t="s">
        <v>54</v>
      </c>
      <c r="C454" s="174" t="s">
        <v>244</v>
      </c>
      <c r="D454" s="175" t="s">
        <v>55</v>
      </c>
      <c r="E454" s="176"/>
      <c r="F454" s="176"/>
      <c r="G454" s="177"/>
      <c r="H454" s="178" t="s">
        <v>56</v>
      </c>
      <c r="I454" s="166" t="s">
        <v>57</v>
      </c>
      <c r="J454" s="17"/>
    </row>
    <row r="455" spans="1:11" ht="28.5" customHeight="1" x14ac:dyDescent="0.3">
      <c r="A455" s="171"/>
      <c r="B455" s="173"/>
      <c r="C455" s="22"/>
      <c r="D455" s="21" t="s">
        <v>24</v>
      </c>
      <c r="E455" s="21" t="s">
        <v>25</v>
      </c>
      <c r="F455" s="22" t="s">
        <v>123</v>
      </c>
      <c r="G455" s="21" t="s">
        <v>58</v>
      </c>
      <c r="H455" s="179"/>
      <c r="I455" s="167"/>
      <c r="J455" s="168" t="s">
        <v>245</v>
      </c>
      <c r="K455" s="143"/>
    </row>
    <row r="456" spans="1:11" x14ac:dyDescent="0.3">
      <c r="A456" s="23"/>
      <c r="B456" s="24" t="s">
        <v>59</v>
      </c>
      <c r="C456" s="25"/>
      <c r="D456" s="25"/>
      <c r="E456" s="25"/>
      <c r="F456" s="25"/>
      <c r="G456" s="25"/>
      <c r="H456" s="25"/>
      <c r="I456" s="26"/>
      <c r="J456" s="169"/>
      <c r="K456" s="143"/>
    </row>
    <row r="457" spans="1:11" x14ac:dyDescent="0.3">
      <c r="A457" s="122" t="s">
        <v>146</v>
      </c>
      <c r="B457" s="127" t="s">
        <v>47</v>
      </c>
      <c r="C457" s="32">
        <f t="shared" ref="C457:C466" si="267">+C436</f>
        <v>-5640</v>
      </c>
      <c r="D457" s="31"/>
      <c r="E457" s="32">
        <f t="shared" ref="E457:E466" si="268">+D436</f>
        <v>600250</v>
      </c>
      <c r="F457" s="32"/>
      <c r="G457" s="32"/>
      <c r="H457" s="55">
        <f t="shared" ref="H457:H466" si="269">+F436</f>
        <v>107000</v>
      </c>
      <c r="I457" s="32">
        <f t="shared" ref="I457:I466" si="270">+E436</f>
        <v>421700</v>
      </c>
      <c r="J457" s="30">
        <f t="shared" ref="J457:J458" si="271">+SUM(C457:G457)-(H457+I457)</f>
        <v>65910</v>
      </c>
      <c r="K457" s="144" t="b">
        <f t="shared" ref="K457:K466" si="272">J457=I436</f>
        <v>1</v>
      </c>
    </row>
    <row r="458" spans="1:11" x14ac:dyDescent="0.3">
      <c r="A458" s="122" t="str">
        <f>+A457</f>
        <v>AOUT</v>
      </c>
      <c r="B458" s="127" t="s">
        <v>31</v>
      </c>
      <c r="C458" s="32">
        <f t="shared" si="267"/>
        <v>4795</v>
      </c>
      <c r="D458" s="31"/>
      <c r="E458" s="32">
        <f t="shared" si="268"/>
        <v>0</v>
      </c>
      <c r="F458" s="32"/>
      <c r="G458" s="32"/>
      <c r="H458" s="55">
        <f t="shared" si="269"/>
        <v>0</v>
      </c>
      <c r="I458" s="32">
        <f t="shared" si="270"/>
        <v>0</v>
      </c>
      <c r="J458" s="101">
        <f t="shared" si="271"/>
        <v>4795</v>
      </c>
      <c r="K458" s="144" t="b">
        <f t="shared" si="272"/>
        <v>1</v>
      </c>
    </row>
    <row r="459" spans="1:11" x14ac:dyDescent="0.3">
      <c r="A459" s="122" t="str">
        <f t="shared" ref="A459:A463" si="273">+A458</f>
        <v>AOUT</v>
      </c>
      <c r="B459" s="129" t="s">
        <v>84</v>
      </c>
      <c r="C459" s="120">
        <f t="shared" si="267"/>
        <v>233614</v>
      </c>
      <c r="D459" s="123"/>
      <c r="E459" s="120">
        <f t="shared" si="268"/>
        <v>0</v>
      </c>
      <c r="F459" s="137"/>
      <c r="G459" s="137"/>
      <c r="H459" s="155">
        <f t="shared" si="269"/>
        <v>0</v>
      </c>
      <c r="I459" s="120">
        <f t="shared" si="270"/>
        <v>0</v>
      </c>
      <c r="J459" s="121">
        <f>+SUM(C459:G459)-(H459+I459)</f>
        <v>233614</v>
      </c>
      <c r="K459" s="144" t="b">
        <f t="shared" si="272"/>
        <v>1</v>
      </c>
    </row>
    <row r="460" spans="1:11" x14ac:dyDescent="0.3">
      <c r="A460" s="122" t="str">
        <f t="shared" si="273"/>
        <v>AOUT</v>
      </c>
      <c r="B460" s="129" t="s">
        <v>83</v>
      </c>
      <c r="C460" s="120">
        <f t="shared" si="267"/>
        <v>249769</v>
      </c>
      <c r="D460" s="123"/>
      <c r="E460" s="120">
        <f t="shared" si="268"/>
        <v>0</v>
      </c>
      <c r="F460" s="137"/>
      <c r="G460" s="137"/>
      <c r="H460" s="155">
        <f t="shared" si="269"/>
        <v>0</v>
      </c>
      <c r="I460" s="120">
        <f t="shared" si="270"/>
        <v>0</v>
      </c>
      <c r="J460" s="121">
        <f t="shared" ref="J460:J466" si="274">+SUM(C460:G460)-(H460+I460)</f>
        <v>249769</v>
      </c>
      <c r="K460" s="144" t="b">
        <f t="shared" si="272"/>
        <v>1</v>
      </c>
    </row>
    <row r="461" spans="1:11" x14ac:dyDescent="0.3">
      <c r="A461" s="122" t="str">
        <f t="shared" si="273"/>
        <v>AOUT</v>
      </c>
      <c r="B461" s="127" t="s">
        <v>150</v>
      </c>
      <c r="C461" s="32">
        <f t="shared" si="267"/>
        <v>18815</v>
      </c>
      <c r="D461" s="31"/>
      <c r="E461" s="32">
        <f t="shared" si="268"/>
        <v>105000</v>
      </c>
      <c r="F461" s="32"/>
      <c r="G461" s="104"/>
      <c r="H461" s="55">
        <f t="shared" si="269"/>
        <v>0</v>
      </c>
      <c r="I461" s="32">
        <f t="shared" si="270"/>
        <v>7000</v>
      </c>
      <c r="J461" s="30">
        <f t="shared" si="274"/>
        <v>116815</v>
      </c>
      <c r="K461" s="144" t="b">
        <f t="shared" si="272"/>
        <v>1</v>
      </c>
    </row>
    <row r="462" spans="1:11" x14ac:dyDescent="0.3">
      <c r="A462" s="122" t="str">
        <f t="shared" si="273"/>
        <v>AOUT</v>
      </c>
      <c r="B462" s="127" t="s">
        <v>204</v>
      </c>
      <c r="C462" s="32">
        <f t="shared" si="267"/>
        <v>36500</v>
      </c>
      <c r="D462" s="31"/>
      <c r="E462" s="32">
        <f t="shared" si="268"/>
        <v>266000</v>
      </c>
      <c r="F462" s="32"/>
      <c r="G462" s="104"/>
      <c r="H462" s="55">
        <f t="shared" si="269"/>
        <v>88000</v>
      </c>
      <c r="I462" s="32">
        <f t="shared" si="270"/>
        <v>213800</v>
      </c>
      <c r="J462" s="30">
        <f t="shared" si="274"/>
        <v>700</v>
      </c>
      <c r="K462" s="144" t="b">
        <f t="shared" si="272"/>
        <v>1</v>
      </c>
    </row>
    <row r="463" spans="1:11" x14ac:dyDescent="0.3">
      <c r="A463" s="122" t="str">
        <f t="shared" si="273"/>
        <v>AOUT</v>
      </c>
      <c r="B463" s="127" t="s">
        <v>30</v>
      </c>
      <c r="C463" s="32">
        <f t="shared" si="267"/>
        <v>79550</v>
      </c>
      <c r="D463" s="31"/>
      <c r="E463" s="32">
        <f t="shared" si="268"/>
        <v>506000</v>
      </c>
      <c r="F463" s="32"/>
      <c r="G463" s="104"/>
      <c r="H463" s="55">
        <f t="shared" si="269"/>
        <v>101550</v>
      </c>
      <c r="I463" s="32">
        <f t="shared" si="270"/>
        <v>484000</v>
      </c>
      <c r="J463" s="30">
        <f t="shared" si="274"/>
        <v>0</v>
      </c>
      <c r="K463" s="144" t="b">
        <f t="shared" si="272"/>
        <v>1</v>
      </c>
    </row>
    <row r="464" spans="1:11" x14ac:dyDescent="0.3">
      <c r="A464" s="122" t="str">
        <f>+A462</f>
        <v>AOUT</v>
      </c>
      <c r="B464" s="127" t="s">
        <v>93</v>
      </c>
      <c r="C464" s="32">
        <f t="shared" si="267"/>
        <v>5900</v>
      </c>
      <c r="D464" s="31"/>
      <c r="E464" s="32">
        <f t="shared" si="268"/>
        <v>20000</v>
      </c>
      <c r="F464" s="32"/>
      <c r="G464" s="104"/>
      <c r="H464" s="55">
        <f t="shared" si="269"/>
        <v>0</v>
      </c>
      <c r="I464" s="32">
        <f t="shared" si="270"/>
        <v>19000</v>
      </c>
      <c r="J464" s="30">
        <f t="shared" si="274"/>
        <v>6900</v>
      </c>
      <c r="K464" s="144" t="b">
        <f t="shared" si="272"/>
        <v>1</v>
      </c>
    </row>
    <row r="465" spans="1:16" x14ac:dyDescent="0.3">
      <c r="A465" s="122" t="str">
        <f>+A463</f>
        <v>AOUT</v>
      </c>
      <c r="B465" s="127" t="s">
        <v>29</v>
      </c>
      <c r="C465" s="32">
        <f t="shared" si="267"/>
        <v>29850</v>
      </c>
      <c r="D465" s="31"/>
      <c r="E465" s="32">
        <f t="shared" si="268"/>
        <v>578000</v>
      </c>
      <c r="F465" s="32"/>
      <c r="G465" s="104"/>
      <c r="H465" s="55">
        <f t="shared" si="269"/>
        <v>50000</v>
      </c>
      <c r="I465" s="32">
        <f t="shared" si="270"/>
        <v>533800</v>
      </c>
      <c r="J465" s="30">
        <f t="shared" si="274"/>
        <v>24050</v>
      </c>
      <c r="K465" s="144" t="b">
        <f t="shared" si="272"/>
        <v>1</v>
      </c>
    </row>
    <row r="466" spans="1:16" x14ac:dyDescent="0.3">
      <c r="A466" s="122" t="str">
        <f>+A464</f>
        <v>AOUT</v>
      </c>
      <c r="B466" s="128" t="s">
        <v>113</v>
      </c>
      <c r="C466" s="32">
        <f t="shared" si="267"/>
        <v>1123541</v>
      </c>
      <c r="D466" s="119"/>
      <c r="E466" s="32">
        <f t="shared" si="268"/>
        <v>0</v>
      </c>
      <c r="F466" s="51"/>
      <c r="G466" s="138"/>
      <c r="H466" s="55">
        <f t="shared" si="269"/>
        <v>0</v>
      </c>
      <c r="I466" s="32">
        <f t="shared" si="270"/>
        <v>1777243</v>
      </c>
      <c r="J466" s="30">
        <f t="shared" si="274"/>
        <v>-653702</v>
      </c>
      <c r="K466" s="144" t="b">
        <f t="shared" si="272"/>
        <v>1</v>
      </c>
    </row>
    <row r="467" spans="1:16" x14ac:dyDescent="0.3">
      <c r="A467" s="34" t="s">
        <v>60</v>
      </c>
      <c r="B467" s="35"/>
      <c r="C467" s="35"/>
      <c r="D467" s="35"/>
      <c r="E467" s="35"/>
      <c r="F467" s="35"/>
      <c r="G467" s="35"/>
      <c r="H467" s="35"/>
      <c r="I467" s="35"/>
      <c r="J467" s="36"/>
      <c r="K467" s="143"/>
    </row>
    <row r="468" spans="1:16" x14ac:dyDescent="0.3">
      <c r="A468" s="122" t="str">
        <f>A466</f>
        <v>AOUT</v>
      </c>
      <c r="B468" s="37" t="s">
        <v>61</v>
      </c>
      <c r="C468" s="38">
        <f>+C435</f>
        <v>103032</v>
      </c>
      <c r="D468" s="49"/>
      <c r="E468" s="49">
        <f>D435</f>
        <v>3946550</v>
      </c>
      <c r="F468" s="49"/>
      <c r="G468" s="125"/>
      <c r="H468" s="51">
        <f>+F435</f>
        <v>2075250</v>
      </c>
      <c r="I468" s="126">
        <f>+E435</f>
        <v>994290</v>
      </c>
      <c r="J468" s="30">
        <f>+SUM(C468:G468)-(H468+I468)</f>
        <v>980042</v>
      </c>
      <c r="K468" s="144" t="b">
        <f>J468=I435</f>
        <v>1</v>
      </c>
    </row>
    <row r="469" spans="1:16" x14ac:dyDescent="0.3">
      <c r="A469" s="43" t="s">
        <v>62</v>
      </c>
      <c r="B469" s="24"/>
      <c r="C469" s="35"/>
      <c r="D469" s="24"/>
      <c r="E469" s="24"/>
      <c r="F469" s="24"/>
      <c r="G469" s="24"/>
      <c r="H469" s="24"/>
      <c r="I469" s="24"/>
      <c r="J469" s="36"/>
      <c r="K469" s="143"/>
    </row>
    <row r="470" spans="1:16" x14ac:dyDescent="0.3">
      <c r="A470" s="122" t="str">
        <f>+A468</f>
        <v>AOUT</v>
      </c>
      <c r="B470" s="37" t="s">
        <v>163</v>
      </c>
      <c r="C470" s="125">
        <f>+C433</f>
        <v>168348</v>
      </c>
      <c r="D470" s="132">
        <f>+G433</f>
        <v>24938480</v>
      </c>
      <c r="E470" s="49"/>
      <c r="F470" s="49"/>
      <c r="G470" s="49"/>
      <c r="H470" s="51">
        <f>+F433</f>
        <v>1000000</v>
      </c>
      <c r="I470" s="53">
        <f>+E433</f>
        <v>286008</v>
      </c>
      <c r="J470" s="30">
        <f>+SUM(C470:G470)-(H470+I470)</f>
        <v>23820820</v>
      </c>
      <c r="K470" s="144" t="b">
        <f>+J470=I433</f>
        <v>1</v>
      </c>
    </row>
    <row r="471" spans="1:16" x14ac:dyDescent="0.3">
      <c r="A471" s="122" t="str">
        <f t="shared" ref="A471" si="275">+A470</f>
        <v>AOUT</v>
      </c>
      <c r="B471" s="37" t="s">
        <v>64</v>
      </c>
      <c r="C471" s="125">
        <f>+C434</f>
        <v>21477810</v>
      </c>
      <c r="D471" s="49">
        <f>+G434</f>
        <v>0</v>
      </c>
      <c r="E471" s="48"/>
      <c r="F471" s="48"/>
      <c r="G471" s="48"/>
      <c r="H471" s="32">
        <f>+F434</f>
        <v>2600000</v>
      </c>
      <c r="I471" s="50">
        <f>+E434</f>
        <v>4453229</v>
      </c>
      <c r="J471" s="30">
        <f>SUM(C471:G471)-(H471+I471)</f>
        <v>14424581</v>
      </c>
      <c r="K471" s="144" t="b">
        <f>+J471=I434</f>
        <v>1</v>
      </c>
    </row>
    <row r="472" spans="1:16" ht="15.6" x14ac:dyDescent="0.3">
      <c r="C472" s="141">
        <f>SUM(C457:C471)</f>
        <v>23525884</v>
      </c>
      <c r="I472" s="140">
        <f>SUM(I457:I471)</f>
        <v>9190070</v>
      </c>
      <c r="J472" s="105">
        <f>+SUM(J457:J471)</f>
        <v>39274294</v>
      </c>
      <c r="K472" s="5" t="b">
        <f>J472=I446</f>
        <v>1</v>
      </c>
    </row>
    <row r="473" spans="1:16" ht="15.6" x14ac:dyDescent="0.3">
      <c r="A473" s="161"/>
      <c r="B473" s="161"/>
      <c r="C473" s="162"/>
      <c r="D473" s="161"/>
      <c r="E473" s="161"/>
      <c r="F473" s="161"/>
      <c r="G473" s="161"/>
      <c r="H473" s="161"/>
      <c r="I473" s="163"/>
      <c r="J473" s="164"/>
      <c r="K473" s="161"/>
      <c r="L473" s="165"/>
      <c r="M473" s="165"/>
      <c r="N473" s="165"/>
      <c r="O473" s="165"/>
      <c r="P473" s="161"/>
    </row>
    <row r="475" spans="1:16" ht="15.6" x14ac:dyDescent="0.3">
      <c r="A475" s="6" t="s">
        <v>36</v>
      </c>
      <c r="B475" s="6" t="s">
        <v>1</v>
      </c>
      <c r="C475" s="6">
        <v>44743</v>
      </c>
      <c r="D475" s="7" t="s">
        <v>37</v>
      </c>
      <c r="E475" s="7" t="s">
        <v>38</v>
      </c>
      <c r="F475" s="7" t="s">
        <v>39</v>
      </c>
      <c r="G475" s="7" t="s">
        <v>40</v>
      </c>
      <c r="H475" s="6">
        <v>44773</v>
      </c>
      <c r="I475" s="7" t="s">
        <v>41</v>
      </c>
      <c r="K475" s="45"/>
      <c r="L475" s="45" t="s">
        <v>42</v>
      </c>
      <c r="M475" s="45" t="s">
        <v>43</v>
      </c>
      <c r="N475" s="45" t="s">
        <v>44</v>
      </c>
      <c r="O475" s="45" t="s">
        <v>45</v>
      </c>
    </row>
    <row r="476" spans="1:16" x14ac:dyDescent="0.3">
      <c r="A476" s="58" t="str">
        <f>K476</f>
        <v>BCI</v>
      </c>
      <c r="B476" s="59" t="s">
        <v>46</v>
      </c>
      <c r="C476" s="61">
        <v>4291693</v>
      </c>
      <c r="D476" s="61">
        <f>+L476</f>
        <v>0</v>
      </c>
      <c r="E476" s="61">
        <f>+N476</f>
        <v>23345</v>
      </c>
      <c r="F476" s="61">
        <f>+M476</f>
        <v>4100000</v>
      </c>
      <c r="G476" s="61">
        <f t="shared" ref="G476:G486" si="276">+O476</f>
        <v>0</v>
      </c>
      <c r="H476" s="61">
        <v>168348</v>
      </c>
      <c r="I476" s="61">
        <f>+C476+D476-E476-F476+G476</f>
        <v>168348</v>
      </c>
      <c r="J476" s="9">
        <f>I476-H476</f>
        <v>0</v>
      </c>
      <c r="K476" s="45" t="s">
        <v>24</v>
      </c>
      <c r="L476" s="47">
        <v>0</v>
      </c>
      <c r="M476" s="47">
        <v>4100000</v>
      </c>
      <c r="N476" s="47">
        <v>23345</v>
      </c>
      <c r="O476" s="47">
        <v>0</v>
      </c>
    </row>
    <row r="477" spans="1:16" x14ac:dyDescent="0.3">
      <c r="A477" s="58" t="str">
        <f t="shared" ref="A477:A489" si="277">K477</f>
        <v>BCI-Sous Compte</v>
      </c>
      <c r="B477" s="59" t="s">
        <v>46</v>
      </c>
      <c r="C477" s="61">
        <v>4852627</v>
      </c>
      <c r="D477" s="61">
        <f t="shared" ref="D477:D480" si="278">+L477</f>
        <v>0</v>
      </c>
      <c r="E477" s="61">
        <f t="shared" ref="E477:E489" si="279">+N477</f>
        <v>3777704</v>
      </c>
      <c r="F477" s="61">
        <f t="shared" ref="F477:F489" si="280">+M477</f>
        <v>0</v>
      </c>
      <c r="G477" s="61">
        <f t="shared" si="276"/>
        <v>20402887</v>
      </c>
      <c r="H477" s="61">
        <v>21477810</v>
      </c>
      <c r="I477" s="61">
        <f>+C477+D477-E477-F477+G477</f>
        <v>21477810</v>
      </c>
      <c r="J477" s="9">
        <f t="shared" ref="J477:J483" si="281">I477-H477</f>
        <v>0</v>
      </c>
      <c r="K477" s="45" t="s">
        <v>155</v>
      </c>
      <c r="L477" s="46">
        <v>0</v>
      </c>
      <c r="M477" s="47">
        <v>0</v>
      </c>
      <c r="N477" s="47">
        <v>3777704</v>
      </c>
      <c r="O477" s="47">
        <v>20402887</v>
      </c>
    </row>
    <row r="478" spans="1:16" x14ac:dyDescent="0.3">
      <c r="A478" s="58" t="str">
        <f t="shared" si="277"/>
        <v>Caisse</v>
      </c>
      <c r="B478" s="59" t="s">
        <v>25</v>
      </c>
      <c r="C478" s="61">
        <v>1696326</v>
      </c>
      <c r="D478" s="61">
        <f t="shared" si="278"/>
        <v>4430000</v>
      </c>
      <c r="E478" s="61">
        <f t="shared" si="279"/>
        <v>1453294</v>
      </c>
      <c r="F478" s="61">
        <f t="shared" si="280"/>
        <v>4570000</v>
      </c>
      <c r="G478" s="61">
        <f t="shared" si="276"/>
        <v>0</v>
      </c>
      <c r="H478" s="61">
        <v>103032</v>
      </c>
      <c r="I478" s="61">
        <f>+C478+D478-E478-F478+G478</f>
        <v>103032</v>
      </c>
      <c r="J478" s="102">
        <f t="shared" si="281"/>
        <v>0</v>
      </c>
      <c r="K478" s="45" t="s">
        <v>25</v>
      </c>
      <c r="L478" s="47">
        <v>4430000</v>
      </c>
      <c r="M478" s="47">
        <v>4570000</v>
      </c>
      <c r="N478" s="47">
        <v>1453294</v>
      </c>
      <c r="O478" s="47">
        <v>0</v>
      </c>
    </row>
    <row r="479" spans="1:16" x14ac:dyDescent="0.3">
      <c r="A479" s="58" t="str">
        <f t="shared" si="277"/>
        <v>Crépin</v>
      </c>
      <c r="B479" s="59" t="s">
        <v>161</v>
      </c>
      <c r="C479" s="61">
        <v>9800</v>
      </c>
      <c r="D479" s="61">
        <f t="shared" si="278"/>
        <v>1043000</v>
      </c>
      <c r="E479" s="61">
        <f t="shared" si="279"/>
        <v>975940</v>
      </c>
      <c r="F479" s="61">
        <f t="shared" si="280"/>
        <v>82500</v>
      </c>
      <c r="G479" s="61">
        <f t="shared" si="276"/>
        <v>0</v>
      </c>
      <c r="H479" s="61">
        <v>-5640</v>
      </c>
      <c r="I479" s="61">
        <f>+C479+D479-E479-F479+G479</f>
        <v>-5640</v>
      </c>
      <c r="J479" s="9">
        <f t="shared" si="281"/>
        <v>0</v>
      </c>
      <c r="K479" s="45" t="s">
        <v>47</v>
      </c>
      <c r="L479" s="47">
        <v>1043000</v>
      </c>
      <c r="M479" s="47">
        <v>82500</v>
      </c>
      <c r="N479" s="47">
        <v>975940</v>
      </c>
      <c r="O479" s="47">
        <v>0</v>
      </c>
    </row>
    <row r="480" spans="1:16" x14ac:dyDescent="0.3">
      <c r="A480" s="58" t="str">
        <f t="shared" si="277"/>
        <v>Evariste</v>
      </c>
      <c r="B480" s="59" t="s">
        <v>162</v>
      </c>
      <c r="C480" s="61">
        <v>2295</v>
      </c>
      <c r="D480" s="61">
        <f t="shared" si="278"/>
        <v>242500</v>
      </c>
      <c r="E480" s="61">
        <f t="shared" si="279"/>
        <v>240000</v>
      </c>
      <c r="F480" s="61">
        <f t="shared" si="280"/>
        <v>0</v>
      </c>
      <c r="G480" s="61">
        <f t="shared" si="276"/>
        <v>0</v>
      </c>
      <c r="H480" s="61">
        <v>4795</v>
      </c>
      <c r="I480" s="61">
        <f t="shared" ref="I480" si="282">+C480+D480-E480-F480+G480</f>
        <v>4795</v>
      </c>
      <c r="J480" s="9">
        <f t="shared" si="281"/>
        <v>0</v>
      </c>
      <c r="K480" s="45" t="s">
        <v>31</v>
      </c>
      <c r="L480" s="47">
        <v>242500</v>
      </c>
      <c r="M480" s="47">
        <v>0</v>
      </c>
      <c r="N480" s="47">
        <v>240000</v>
      </c>
      <c r="O480" s="47">
        <v>0</v>
      </c>
    </row>
    <row r="481" spans="1:15" x14ac:dyDescent="0.3">
      <c r="A481" s="58" t="str">
        <f t="shared" si="277"/>
        <v>I55S</v>
      </c>
      <c r="B481" s="116" t="s">
        <v>4</v>
      </c>
      <c r="C481" s="118">
        <v>233614</v>
      </c>
      <c r="D481" s="118">
        <f t="shared" ref="D481:D489" si="283">+L481</f>
        <v>0</v>
      </c>
      <c r="E481" s="118">
        <f t="shared" si="279"/>
        <v>0</v>
      </c>
      <c r="F481" s="118">
        <f t="shared" si="280"/>
        <v>0</v>
      </c>
      <c r="G481" s="118">
        <f t="shared" si="276"/>
        <v>0</v>
      </c>
      <c r="H481" s="118">
        <v>233614</v>
      </c>
      <c r="I481" s="118">
        <f>+C481+D481-E481-F481+G481</f>
        <v>233614</v>
      </c>
      <c r="J481" s="9">
        <f t="shared" si="281"/>
        <v>0</v>
      </c>
      <c r="K481" s="45" t="s">
        <v>84</v>
      </c>
      <c r="L481" s="47">
        <v>0</v>
      </c>
      <c r="M481" s="47">
        <v>0</v>
      </c>
      <c r="N481" s="47">
        <v>0</v>
      </c>
      <c r="O481" s="47">
        <v>0</v>
      </c>
    </row>
    <row r="482" spans="1:15" x14ac:dyDescent="0.3">
      <c r="A482" s="58" t="str">
        <f t="shared" si="277"/>
        <v>I73X</v>
      </c>
      <c r="B482" s="116" t="s">
        <v>4</v>
      </c>
      <c r="C482" s="118">
        <v>249769</v>
      </c>
      <c r="D482" s="118">
        <f t="shared" si="283"/>
        <v>0</v>
      </c>
      <c r="E482" s="118">
        <f t="shared" si="279"/>
        <v>0</v>
      </c>
      <c r="F482" s="118">
        <f t="shared" si="280"/>
        <v>0</v>
      </c>
      <c r="G482" s="118">
        <f t="shared" si="276"/>
        <v>0</v>
      </c>
      <c r="H482" s="118">
        <v>249769</v>
      </c>
      <c r="I482" s="118">
        <f t="shared" ref="I482:I485" si="284">+C482+D482-E482-F482+G482</f>
        <v>249769</v>
      </c>
      <c r="J482" s="9">
        <f t="shared" si="281"/>
        <v>0</v>
      </c>
      <c r="K482" s="45" t="s">
        <v>83</v>
      </c>
      <c r="L482" s="47">
        <v>0</v>
      </c>
      <c r="M482" s="47">
        <v>0</v>
      </c>
      <c r="N482" s="47">
        <v>0</v>
      </c>
      <c r="O482" s="47">
        <v>0</v>
      </c>
    </row>
    <row r="483" spans="1:15" x14ac:dyDescent="0.3">
      <c r="A483" s="58" t="str">
        <f t="shared" si="277"/>
        <v>Grace</v>
      </c>
      <c r="B483" s="98" t="s">
        <v>2</v>
      </c>
      <c r="C483" s="61">
        <v>28600</v>
      </c>
      <c r="D483" s="61">
        <f t="shared" si="283"/>
        <v>389000</v>
      </c>
      <c r="E483" s="61">
        <f t="shared" si="279"/>
        <v>87785</v>
      </c>
      <c r="F483" s="61">
        <f t="shared" si="280"/>
        <v>311000</v>
      </c>
      <c r="G483" s="61">
        <f t="shared" si="276"/>
        <v>0</v>
      </c>
      <c r="H483" s="61">
        <v>18815</v>
      </c>
      <c r="I483" s="61">
        <f t="shared" si="284"/>
        <v>18815</v>
      </c>
      <c r="J483" s="9">
        <f t="shared" si="281"/>
        <v>0</v>
      </c>
      <c r="K483" s="45" t="s">
        <v>150</v>
      </c>
      <c r="L483" s="47">
        <v>389000</v>
      </c>
      <c r="M483" s="47">
        <v>311000</v>
      </c>
      <c r="N483" s="47">
        <v>87785</v>
      </c>
      <c r="O483" s="47">
        <v>0</v>
      </c>
    </row>
    <row r="484" spans="1:15" x14ac:dyDescent="0.3">
      <c r="A484" s="58" t="str">
        <f t="shared" si="277"/>
        <v>Hurielle</v>
      </c>
      <c r="B484" s="59" t="s">
        <v>161</v>
      </c>
      <c r="C484" s="61">
        <v>18000</v>
      </c>
      <c r="D484" s="61">
        <f t="shared" si="283"/>
        <v>354000</v>
      </c>
      <c r="E484" s="61">
        <f t="shared" si="279"/>
        <v>335500</v>
      </c>
      <c r="F484" s="61">
        <f t="shared" si="280"/>
        <v>0</v>
      </c>
      <c r="G484" s="61">
        <f t="shared" si="276"/>
        <v>0</v>
      </c>
      <c r="H484" s="61">
        <v>36500</v>
      </c>
      <c r="I484" s="61">
        <f t="shared" si="284"/>
        <v>36500</v>
      </c>
      <c r="J484" s="9">
        <f>I484-H484</f>
        <v>0</v>
      </c>
      <c r="K484" s="45" t="s">
        <v>204</v>
      </c>
      <c r="L484" s="47">
        <v>354000</v>
      </c>
      <c r="M484" s="47">
        <v>0</v>
      </c>
      <c r="N484" s="47">
        <v>335500</v>
      </c>
      <c r="O484" s="47">
        <v>0</v>
      </c>
    </row>
    <row r="485" spans="1:15" x14ac:dyDescent="0.3">
      <c r="A485" s="58" t="str">
        <f t="shared" si="277"/>
        <v>I23C</v>
      </c>
      <c r="B485" s="98" t="s">
        <v>4</v>
      </c>
      <c r="C485" s="61">
        <v>262050</v>
      </c>
      <c r="D485" s="61">
        <f t="shared" si="283"/>
        <v>602000</v>
      </c>
      <c r="E485" s="61">
        <f t="shared" si="279"/>
        <v>784500</v>
      </c>
      <c r="F485" s="61">
        <f t="shared" si="280"/>
        <v>0</v>
      </c>
      <c r="G485" s="61">
        <f t="shared" si="276"/>
        <v>0</v>
      </c>
      <c r="H485" s="61">
        <v>79550</v>
      </c>
      <c r="I485" s="61">
        <f t="shared" si="284"/>
        <v>79550</v>
      </c>
      <c r="J485" s="9">
        <f t="shared" ref="J485:J486" si="285">I485-H485</f>
        <v>0</v>
      </c>
      <c r="K485" s="45" t="s">
        <v>30</v>
      </c>
      <c r="L485" s="47">
        <v>602000</v>
      </c>
      <c r="M485" s="47">
        <v>0</v>
      </c>
      <c r="N485" s="47">
        <v>784500</v>
      </c>
      <c r="O485" s="47">
        <v>0</v>
      </c>
    </row>
    <row r="486" spans="1:15" x14ac:dyDescent="0.3">
      <c r="A486" s="58" t="str">
        <f t="shared" si="277"/>
        <v>Merveille</v>
      </c>
      <c r="B486" s="59" t="s">
        <v>2</v>
      </c>
      <c r="C486" s="61">
        <v>11900</v>
      </c>
      <c r="D486" s="61">
        <f t="shared" si="283"/>
        <v>96000</v>
      </c>
      <c r="E486" s="61">
        <f t="shared" si="279"/>
        <v>72000</v>
      </c>
      <c r="F486" s="61">
        <f t="shared" si="280"/>
        <v>30000</v>
      </c>
      <c r="G486" s="61">
        <f t="shared" si="276"/>
        <v>0</v>
      </c>
      <c r="H486" s="61">
        <v>5900</v>
      </c>
      <c r="I486" s="61">
        <f>+C486+D486-E486-F486+G486</f>
        <v>5900</v>
      </c>
      <c r="J486" s="9">
        <f t="shared" si="285"/>
        <v>0</v>
      </c>
      <c r="K486" s="45" t="s">
        <v>93</v>
      </c>
      <c r="L486" s="47">
        <v>96000</v>
      </c>
      <c r="M486" s="47">
        <v>30000</v>
      </c>
      <c r="N486" s="47">
        <v>72000</v>
      </c>
      <c r="O486" s="47">
        <v>0</v>
      </c>
    </row>
    <row r="487" spans="1:15" x14ac:dyDescent="0.3">
      <c r="A487" s="58" t="str">
        <f t="shared" si="277"/>
        <v>P29</v>
      </c>
      <c r="B487" s="59" t="s">
        <v>4</v>
      </c>
      <c r="C487" s="61">
        <v>221050</v>
      </c>
      <c r="D487" s="61">
        <f t="shared" si="283"/>
        <v>608500</v>
      </c>
      <c r="E487" s="61">
        <f t="shared" si="279"/>
        <v>799700</v>
      </c>
      <c r="F487" s="61">
        <f t="shared" si="280"/>
        <v>0</v>
      </c>
      <c r="G487" s="61">
        <f>+O487</f>
        <v>0</v>
      </c>
      <c r="H487" s="61">
        <v>29850</v>
      </c>
      <c r="I487" s="61">
        <f>+C487+D487-E487-F487+G487</f>
        <v>29850</v>
      </c>
      <c r="J487" s="9">
        <f>I487-H487</f>
        <v>0</v>
      </c>
      <c r="K487" s="45" t="s">
        <v>29</v>
      </c>
      <c r="L487" s="47">
        <v>608500</v>
      </c>
      <c r="M487" s="47">
        <v>0</v>
      </c>
      <c r="N487" s="47">
        <v>799700</v>
      </c>
      <c r="O487" s="47">
        <v>0</v>
      </c>
    </row>
    <row r="488" spans="1:15" x14ac:dyDescent="0.3">
      <c r="A488" s="58" t="str">
        <f t="shared" si="277"/>
        <v>Tiffany</v>
      </c>
      <c r="B488" s="59" t="s">
        <v>2</v>
      </c>
      <c r="C488" s="61">
        <v>-3959</v>
      </c>
      <c r="D488" s="61">
        <f t="shared" si="283"/>
        <v>1340000</v>
      </c>
      <c r="E488" s="61">
        <f t="shared" si="279"/>
        <v>12500</v>
      </c>
      <c r="F488" s="61">
        <f t="shared" si="280"/>
        <v>200000</v>
      </c>
      <c r="G488" s="61">
        <f t="shared" ref="G488:G489" si="286">+O488</f>
        <v>0</v>
      </c>
      <c r="H488" s="61">
        <v>1123541</v>
      </c>
      <c r="I488" s="61">
        <f t="shared" ref="I488" si="287">+C488+D488-E488-F488+G488</f>
        <v>1123541</v>
      </c>
      <c r="J488" s="9">
        <f t="shared" ref="J488" si="288">I488-H488</f>
        <v>0</v>
      </c>
      <c r="K488" s="45" t="s">
        <v>113</v>
      </c>
      <c r="L488" s="47">
        <v>1340000</v>
      </c>
      <c r="M488" s="47">
        <v>200000</v>
      </c>
      <c r="N488" s="47">
        <v>12500</v>
      </c>
      <c r="O488" s="47">
        <v>0</v>
      </c>
    </row>
    <row r="489" spans="1:15" x14ac:dyDescent="0.3">
      <c r="A489" s="58" t="str">
        <f t="shared" si="277"/>
        <v>Yan</v>
      </c>
      <c r="B489" s="59" t="s">
        <v>161</v>
      </c>
      <c r="C489" s="61">
        <v>95000</v>
      </c>
      <c r="D489" s="61">
        <f t="shared" si="283"/>
        <v>248500</v>
      </c>
      <c r="E489" s="61">
        <f t="shared" si="279"/>
        <v>283500</v>
      </c>
      <c r="F489" s="61">
        <f t="shared" si="280"/>
        <v>60000</v>
      </c>
      <c r="G489" s="61">
        <f t="shared" si="286"/>
        <v>0</v>
      </c>
      <c r="H489" s="61">
        <v>0</v>
      </c>
      <c r="I489" s="61">
        <f>+C489+D489-E489-F489+G489</f>
        <v>0</v>
      </c>
      <c r="J489" s="9">
        <f>I489-H489</f>
        <v>0</v>
      </c>
      <c r="K489" s="45" t="s">
        <v>219</v>
      </c>
      <c r="L489" s="47">
        <v>248500</v>
      </c>
      <c r="M489" s="47">
        <v>60000</v>
      </c>
      <c r="N489" s="47">
        <v>283500</v>
      </c>
      <c r="O489" s="47">
        <v>0</v>
      </c>
    </row>
    <row r="490" spans="1:15" x14ac:dyDescent="0.3">
      <c r="A490" s="10" t="s">
        <v>50</v>
      </c>
      <c r="B490" s="11"/>
      <c r="C490" s="12">
        <f t="shared" ref="C490:I490" si="289">SUM(C476:C489)</f>
        <v>11968765</v>
      </c>
      <c r="D490" s="57">
        <f t="shared" si="289"/>
        <v>9353500</v>
      </c>
      <c r="E490" s="57">
        <f t="shared" si="289"/>
        <v>8845768</v>
      </c>
      <c r="F490" s="57">
        <f t="shared" si="289"/>
        <v>9353500</v>
      </c>
      <c r="G490" s="57">
        <f t="shared" si="289"/>
        <v>20402887</v>
      </c>
      <c r="H490" s="57">
        <f t="shared" si="289"/>
        <v>23525884</v>
      </c>
      <c r="I490" s="57">
        <f t="shared" si="289"/>
        <v>23525884</v>
      </c>
      <c r="J490" s="9">
        <f>I490-H490</f>
        <v>0</v>
      </c>
      <c r="K490" s="3"/>
      <c r="L490" s="47">
        <f>+SUM(L476:L489)</f>
        <v>9353500</v>
      </c>
      <c r="M490" s="47">
        <f>+SUM(M476:M489)</f>
        <v>9353500</v>
      </c>
      <c r="N490" s="47">
        <f>+SUM(N476:N489)</f>
        <v>8845768</v>
      </c>
      <c r="O490" s="47">
        <f>+SUM(O476:O488)</f>
        <v>20402887</v>
      </c>
    </row>
    <row r="491" spans="1:15" x14ac:dyDescent="0.3">
      <c r="A491" s="10"/>
      <c r="B491" s="11"/>
      <c r="C491" s="12"/>
      <c r="D491" s="13"/>
      <c r="E491" s="12"/>
      <c r="F491" s="13"/>
      <c r="G491" s="12"/>
      <c r="H491" s="12"/>
      <c r="I491" s="134" t="b">
        <f>I490=D493</f>
        <v>1</v>
      </c>
      <c r="L491" s="5"/>
      <c r="M491" s="5"/>
      <c r="N491" s="5"/>
      <c r="O491" s="5"/>
    </row>
    <row r="492" spans="1:15" x14ac:dyDescent="0.3">
      <c r="A492" s="10" t="s">
        <v>234</v>
      </c>
      <c r="B492" s="11" t="s">
        <v>242</v>
      </c>
      <c r="C492" s="12" t="s">
        <v>235</v>
      </c>
      <c r="D492" s="12" t="s">
        <v>236</v>
      </c>
      <c r="E492" s="12" t="s">
        <v>51</v>
      </c>
      <c r="F492" s="12"/>
      <c r="G492" s="12">
        <f>+D490-F490</f>
        <v>0</v>
      </c>
      <c r="H492" s="12"/>
      <c r="I492" s="12"/>
    </row>
    <row r="493" spans="1:15" x14ac:dyDescent="0.3">
      <c r="A493" s="14">
        <f>C490</f>
        <v>11968765</v>
      </c>
      <c r="B493" s="15">
        <f>G490</f>
        <v>20402887</v>
      </c>
      <c r="C493" s="12">
        <f>E490</f>
        <v>8845768</v>
      </c>
      <c r="D493" s="12">
        <f>A493+B493-C493</f>
        <v>23525884</v>
      </c>
      <c r="E493" s="13">
        <f>I490-D493</f>
        <v>0</v>
      </c>
      <c r="F493" s="12"/>
      <c r="G493" s="12"/>
      <c r="H493" s="12"/>
      <c r="I493" s="12"/>
    </row>
    <row r="494" spans="1:15" x14ac:dyDescent="0.3">
      <c r="A494" s="14"/>
      <c r="B494" s="15"/>
      <c r="C494" s="12"/>
      <c r="D494" s="12"/>
      <c r="E494" s="13"/>
      <c r="F494" s="12"/>
      <c r="G494" s="12"/>
      <c r="H494" s="12"/>
      <c r="I494" s="12"/>
    </row>
    <row r="495" spans="1:15" x14ac:dyDescent="0.3">
      <c r="A495" s="16" t="s">
        <v>52</v>
      </c>
      <c r="B495" s="16"/>
      <c r="C495" s="16"/>
      <c r="D495" s="17"/>
      <c r="E495" s="17"/>
      <c r="F495" s="17"/>
      <c r="G495" s="17"/>
      <c r="H495" s="17"/>
      <c r="I495" s="17"/>
    </row>
    <row r="496" spans="1:15" x14ac:dyDescent="0.3">
      <c r="A496" s="18" t="s">
        <v>233</v>
      </c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1:11" x14ac:dyDescent="0.3">
      <c r="A497" s="19"/>
      <c r="B497" s="17"/>
      <c r="C497" s="20"/>
      <c r="D497" s="20"/>
      <c r="E497" s="20"/>
      <c r="F497" s="20"/>
      <c r="G497" s="20"/>
      <c r="H497" s="17"/>
      <c r="I497" s="17"/>
    </row>
    <row r="498" spans="1:11" x14ac:dyDescent="0.3">
      <c r="A498" s="170" t="s">
        <v>53</v>
      </c>
      <c r="B498" s="172" t="s">
        <v>54</v>
      </c>
      <c r="C498" s="174" t="s">
        <v>231</v>
      </c>
      <c r="D498" s="175" t="s">
        <v>55</v>
      </c>
      <c r="E498" s="176"/>
      <c r="F498" s="176"/>
      <c r="G498" s="177"/>
      <c r="H498" s="178" t="s">
        <v>56</v>
      </c>
      <c r="I498" s="166" t="s">
        <v>57</v>
      </c>
      <c r="J498" s="17"/>
    </row>
    <row r="499" spans="1:11" ht="28.5" customHeight="1" x14ac:dyDescent="0.3">
      <c r="A499" s="171"/>
      <c r="B499" s="173"/>
      <c r="C499" s="22"/>
      <c r="D499" s="21" t="s">
        <v>24</v>
      </c>
      <c r="E499" s="21" t="s">
        <v>25</v>
      </c>
      <c r="F499" s="22" t="s">
        <v>123</v>
      </c>
      <c r="G499" s="21" t="s">
        <v>58</v>
      </c>
      <c r="H499" s="179"/>
      <c r="I499" s="167"/>
      <c r="J499" s="168" t="s">
        <v>232</v>
      </c>
      <c r="K499" s="143"/>
    </row>
    <row r="500" spans="1:11" x14ac:dyDescent="0.3">
      <c r="A500" s="23"/>
      <c r="B500" s="24" t="s">
        <v>59</v>
      </c>
      <c r="C500" s="25"/>
      <c r="D500" s="25"/>
      <c r="E500" s="25"/>
      <c r="F500" s="25"/>
      <c r="G500" s="25"/>
      <c r="H500" s="25"/>
      <c r="I500" s="26"/>
      <c r="J500" s="169"/>
      <c r="K500" s="143"/>
    </row>
    <row r="501" spans="1:11" x14ac:dyDescent="0.3">
      <c r="A501" s="122" t="s">
        <v>72</v>
      </c>
      <c r="B501" s="127" t="s">
        <v>47</v>
      </c>
      <c r="C501" s="32">
        <f>+C479</f>
        <v>9800</v>
      </c>
      <c r="D501" s="31"/>
      <c r="E501" s="32">
        <f t="shared" ref="E501:E511" si="290">+D479</f>
        <v>1043000</v>
      </c>
      <c r="F501" s="32"/>
      <c r="G501" s="32"/>
      <c r="H501" s="55">
        <f t="shared" ref="H501:H511" si="291">+F479</f>
        <v>82500</v>
      </c>
      <c r="I501" s="32">
        <f t="shared" ref="I501:I511" si="292">+E479</f>
        <v>975940</v>
      </c>
      <c r="J501" s="30">
        <f t="shared" ref="J501:J502" si="293">+SUM(C501:G501)-(H501+I501)</f>
        <v>-5640</v>
      </c>
      <c r="K501" s="144" t="b">
        <f t="shared" ref="K501:K511" si="294">J501=I479</f>
        <v>1</v>
      </c>
    </row>
    <row r="502" spans="1:11" x14ac:dyDescent="0.3">
      <c r="A502" s="122" t="str">
        <f>+A501</f>
        <v>JUILLET</v>
      </c>
      <c r="B502" s="127" t="s">
        <v>31</v>
      </c>
      <c r="C502" s="32">
        <f>+C480</f>
        <v>2295</v>
      </c>
      <c r="D502" s="31"/>
      <c r="E502" s="32">
        <f t="shared" si="290"/>
        <v>242500</v>
      </c>
      <c r="F502" s="32"/>
      <c r="G502" s="32"/>
      <c r="H502" s="55">
        <f t="shared" si="291"/>
        <v>0</v>
      </c>
      <c r="I502" s="32">
        <f t="shared" si="292"/>
        <v>240000</v>
      </c>
      <c r="J502" s="101">
        <f t="shared" si="293"/>
        <v>4795</v>
      </c>
      <c r="K502" s="144" t="b">
        <f t="shared" si="294"/>
        <v>1</v>
      </c>
    </row>
    <row r="503" spans="1:11" x14ac:dyDescent="0.3">
      <c r="A503" s="122" t="str">
        <f t="shared" ref="A503:A507" si="295">+A502</f>
        <v>JUILLET</v>
      </c>
      <c r="B503" s="129" t="s">
        <v>84</v>
      </c>
      <c r="C503" s="120">
        <f>+C481</f>
        <v>233614</v>
      </c>
      <c r="D503" s="123"/>
      <c r="E503" s="120">
        <f t="shared" si="290"/>
        <v>0</v>
      </c>
      <c r="F503" s="137"/>
      <c r="G503" s="137"/>
      <c r="H503" s="155">
        <f t="shared" si="291"/>
        <v>0</v>
      </c>
      <c r="I503" s="120">
        <f t="shared" si="292"/>
        <v>0</v>
      </c>
      <c r="J503" s="121">
        <f>+SUM(C503:G503)-(H503+I503)</f>
        <v>233614</v>
      </c>
      <c r="K503" s="144" t="b">
        <f t="shared" si="294"/>
        <v>1</v>
      </c>
    </row>
    <row r="504" spans="1:11" x14ac:dyDescent="0.3">
      <c r="A504" s="122" t="str">
        <f t="shared" si="295"/>
        <v>JUILLET</v>
      </c>
      <c r="B504" s="129" t="s">
        <v>83</v>
      </c>
      <c r="C504" s="120">
        <f>+C482</f>
        <v>249769</v>
      </c>
      <c r="D504" s="123"/>
      <c r="E504" s="120">
        <f t="shared" si="290"/>
        <v>0</v>
      </c>
      <c r="F504" s="137"/>
      <c r="G504" s="137"/>
      <c r="H504" s="155">
        <f t="shared" si="291"/>
        <v>0</v>
      </c>
      <c r="I504" s="120">
        <f t="shared" si="292"/>
        <v>0</v>
      </c>
      <c r="J504" s="121">
        <f t="shared" ref="J504:J511" si="296">+SUM(C504:G504)-(H504+I504)</f>
        <v>249769</v>
      </c>
      <c r="K504" s="144" t="b">
        <f t="shared" si="294"/>
        <v>1</v>
      </c>
    </row>
    <row r="505" spans="1:11" x14ac:dyDescent="0.3">
      <c r="A505" s="122" t="str">
        <f t="shared" si="295"/>
        <v>JUILLET</v>
      </c>
      <c r="B505" s="127" t="s">
        <v>150</v>
      </c>
      <c r="C505" s="32">
        <f>+C483</f>
        <v>28600</v>
      </c>
      <c r="D505" s="31"/>
      <c r="E505" s="32">
        <f t="shared" si="290"/>
        <v>389000</v>
      </c>
      <c r="F505" s="32"/>
      <c r="G505" s="104"/>
      <c r="H505" s="55">
        <f t="shared" si="291"/>
        <v>311000</v>
      </c>
      <c r="I505" s="32">
        <f t="shared" si="292"/>
        <v>87785</v>
      </c>
      <c r="J505" s="30">
        <f t="shared" si="296"/>
        <v>18815</v>
      </c>
      <c r="K505" s="144" t="b">
        <f t="shared" si="294"/>
        <v>1</v>
      </c>
    </row>
    <row r="506" spans="1:11" x14ac:dyDescent="0.3">
      <c r="A506" s="122" t="str">
        <f t="shared" si="295"/>
        <v>JUILLET</v>
      </c>
      <c r="B506" s="127" t="s">
        <v>204</v>
      </c>
      <c r="C506" s="32">
        <f t="shared" ref="C506:C511" si="297">+C484</f>
        <v>18000</v>
      </c>
      <c r="D506" s="31"/>
      <c r="E506" s="32">
        <f t="shared" si="290"/>
        <v>354000</v>
      </c>
      <c r="F506" s="32"/>
      <c r="G506" s="104"/>
      <c r="H506" s="55">
        <f t="shared" si="291"/>
        <v>0</v>
      </c>
      <c r="I506" s="32">
        <f t="shared" si="292"/>
        <v>335500</v>
      </c>
      <c r="J506" s="30">
        <f t="shared" si="296"/>
        <v>36500</v>
      </c>
      <c r="K506" s="144" t="b">
        <f t="shared" si="294"/>
        <v>1</v>
      </c>
    </row>
    <row r="507" spans="1:11" x14ac:dyDescent="0.3">
      <c r="A507" s="122" t="str">
        <f t="shared" si="295"/>
        <v>JUILLET</v>
      </c>
      <c r="B507" s="127" t="s">
        <v>30</v>
      </c>
      <c r="C507" s="32">
        <f t="shared" si="297"/>
        <v>262050</v>
      </c>
      <c r="D507" s="31"/>
      <c r="E507" s="32">
        <f t="shared" si="290"/>
        <v>602000</v>
      </c>
      <c r="F507" s="32"/>
      <c r="G507" s="104"/>
      <c r="H507" s="55">
        <f t="shared" si="291"/>
        <v>0</v>
      </c>
      <c r="I507" s="32">
        <f t="shared" si="292"/>
        <v>784500</v>
      </c>
      <c r="J507" s="30">
        <f t="shared" si="296"/>
        <v>79550</v>
      </c>
      <c r="K507" s="144" t="b">
        <f t="shared" si="294"/>
        <v>1</v>
      </c>
    </row>
    <row r="508" spans="1:11" x14ac:dyDescent="0.3">
      <c r="A508" s="122" t="str">
        <f>+A506</f>
        <v>JUILLET</v>
      </c>
      <c r="B508" s="127" t="s">
        <v>93</v>
      </c>
      <c r="C508" s="32">
        <f t="shared" si="297"/>
        <v>11900</v>
      </c>
      <c r="D508" s="31"/>
      <c r="E508" s="32">
        <f t="shared" si="290"/>
        <v>96000</v>
      </c>
      <c r="F508" s="32"/>
      <c r="G508" s="104"/>
      <c r="H508" s="55">
        <f t="shared" si="291"/>
        <v>30000</v>
      </c>
      <c r="I508" s="32">
        <f t="shared" si="292"/>
        <v>72000</v>
      </c>
      <c r="J508" s="30">
        <f t="shared" si="296"/>
        <v>5900</v>
      </c>
      <c r="K508" s="144" t="b">
        <f t="shared" si="294"/>
        <v>1</v>
      </c>
    </row>
    <row r="509" spans="1:11" x14ac:dyDescent="0.3">
      <c r="A509" s="122" t="str">
        <f>+A507</f>
        <v>JUILLET</v>
      </c>
      <c r="B509" s="127" t="s">
        <v>29</v>
      </c>
      <c r="C509" s="32">
        <f t="shared" si="297"/>
        <v>221050</v>
      </c>
      <c r="D509" s="31"/>
      <c r="E509" s="32">
        <f t="shared" si="290"/>
        <v>608500</v>
      </c>
      <c r="F509" s="32"/>
      <c r="G509" s="104"/>
      <c r="H509" s="55">
        <f t="shared" si="291"/>
        <v>0</v>
      </c>
      <c r="I509" s="32">
        <f t="shared" si="292"/>
        <v>799700</v>
      </c>
      <c r="J509" s="30">
        <f t="shared" si="296"/>
        <v>29850</v>
      </c>
      <c r="K509" s="144" t="b">
        <f t="shared" si="294"/>
        <v>1</v>
      </c>
    </row>
    <row r="510" spans="1:11" x14ac:dyDescent="0.3">
      <c r="A510" s="122" t="str">
        <f>+A508</f>
        <v>JUILLET</v>
      </c>
      <c r="B510" s="128" t="s">
        <v>113</v>
      </c>
      <c r="C510" s="32">
        <f t="shared" si="297"/>
        <v>-3959</v>
      </c>
      <c r="D510" s="119"/>
      <c r="E510" s="32">
        <f t="shared" si="290"/>
        <v>1340000</v>
      </c>
      <c r="F510" s="51"/>
      <c r="G510" s="138"/>
      <c r="H510" s="55">
        <f t="shared" si="291"/>
        <v>200000</v>
      </c>
      <c r="I510" s="32">
        <f t="shared" si="292"/>
        <v>12500</v>
      </c>
      <c r="J510" s="30">
        <f t="shared" si="296"/>
        <v>1123541</v>
      </c>
      <c r="K510" s="144" t="b">
        <f t="shared" si="294"/>
        <v>1</v>
      </c>
    </row>
    <row r="511" spans="1:11" x14ac:dyDescent="0.3">
      <c r="A511" s="122" t="str">
        <f>+A509</f>
        <v>JUILLET</v>
      </c>
      <c r="B511" s="128" t="s">
        <v>219</v>
      </c>
      <c r="C511" s="32">
        <f t="shared" si="297"/>
        <v>95000</v>
      </c>
      <c r="D511" s="119"/>
      <c r="E511" s="32">
        <f t="shared" si="290"/>
        <v>248500</v>
      </c>
      <c r="F511" s="51"/>
      <c r="G511" s="138"/>
      <c r="H511" s="55">
        <f t="shared" si="291"/>
        <v>60000</v>
      </c>
      <c r="I511" s="32">
        <f t="shared" si="292"/>
        <v>283500</v>
      </c>
      <c r="J511" s="30">
        <f t="shared" si="296"/>
        <v>0</v>
      </c>
      <c r="K511" s="144" t="b">
        <f t="shared" si="294"/>
        <v>1</v>
      </c>
    </row>
    <row r="512" spans="1:11" x14ac:dyDescent="0.3">
      <c r="A512" s="34" t="s">
        <v>60</v>
      </c>
      <c r="B512" s="35"/>
      <c r="C512" s="35"/>
      <c r="D512" s="35"/>
      <c r="E512" s="35"/>
      <c r="F512" s="35"/>
      <c r="G512" s="35"/>
      <c r="H512" s="35"/>
      <c r="I512" s="35"/>
      <c r="J512" s="36"/>
      <c r="K512" s="143"/>
    </row>
    <row r="513" spans="1:16" x14ac:dyDescent="0.3">
      <c r="A513" s="122" t="str">
        <f>+A511</f>
        <v>JUILLET</v>
      </c>
      <c r="B513" s="37" t="s">
        <v>61</v>
      </c>
      <c r="C513" s="38">
        <f>+C478</f>
        <v>1696326</v>
      </c>
      <c r="D513" s="49"/>
      <c r="E513" s="49">
        <f>D478</f>
        <v>4430000</v>
      </c>
      <c r="F513" s="49"/>
      <c r="G513" s="125"/>
      <c r="H513" s="51">
        <f>+F478</f>
        <v>4570000</v>
      </c>
      <c r="I513" s="126">
        <f>+E478</f>
        <v>1453294</v>
      </c>
      <c r="J513" s="30">
        <f>+SUM(C513:G513)-(H513+I513)</f>
        <v>103032</v>
      </c>
      <c r="K513" s="144" t="b">
        <f>J513=I478</f>
        <v>1</v>
      </c>
    </row>
    <row r="514" spans="1:16" x14ac:dyDescent="0.3">
      <c r="A514" s="43" t="s">
        <v>62</v>
      </c>
      <c r="B514" s="24"/>
      <c r="C514" s="35"/>
      <c r="D514" s="24"/>
      <c r="E514" s="24"/>
      <c r="F514" s="24"/>
      <c r="G514" s="24"/>
      <c r="H514" s="24"/>
      <c r="I514" s="24"/>
      <c r="J514" s="36"/>
      <c r="K514" s="143"/>
    </row>
    <row r="515" spans="1:16" x14ac:dyDescent="0.3">
      <c r="A515" s="122" t="str">
        <f>+A513</f>
        <v>JUILLET</v>
      </c>
      <c r="B515" s="37" t="s">
        <v>163</v>
      </c>
      <c r="C515" s="125">
        <f>+C476</f>
        <v>4291693</v>
      </c>
      <c r="D515" s="132">
        <f>+G476</f>
        <v>0</v>
      </c>
      <c r="E515" s="49"/>
      <c r="F515" s="49"/>
      <c r="G515" s="49"/>
      <c r="H515" s="51">
        <f>+F476</f>
        <v>4100000</v>
      </c>
      <c r="I515" s="53">
        <f>+E476</f>
        <v>23345</v>
      </c>
      <c r="J515" s="30">
        <f>+SUM(C515:G515)-(H515+I515)</f>
        <v>168348</v>
      </c>
      <c r="K515" s="144" t="b">
        <f>+J515=I476</f>
        <v>1</v>
      </c>
    </row>
    <row r="516" spans="1:16" x14ac:dyDescent="0.3">
      <c r="A516" s="122" t="str">
        <f t="shared" ref="A516" si="298">+A515</f>
        <v>JUILLET</v>
      </c>
      <c r="B516" s="37" t="s">
        <v>64</v>
      </c>
      <c r="C516" s="125">
        <f>+C477</f>
        <v>4852627</v>
      </c>
      <c r="D516" s="49">
        <f>+G477</f>
        <v>20402887</v>
      </c>
      <c r="E516" s="48"/>
      <c r="F516" s="48"/>
      <c r="G516" s="48"/>
      <c r="H516" s="32">
        <f>+F477</f>
        <v>0</v>
      </c>
      <c r="I516" s="50">
        <f>+E477</f>
        <v>3777704</v>
      </c>
      <c r="J516" s="30">
        <f>SUM(C516:G516)-(H516+I516)</f>
        <v>21477810</v>
      </c>
      <c r="K516" s="144" t="b">
        <f>+J516=I477</f>
        <v>1</v>
      </c>
    </row>
    <row r="517" spans="1:16" ht="15.6" x14ac:dyDescent="0.3">
      <c r="C517" s="141">
        <f>SUM(C501:C516)</f>
        <v>11968765</v>
      </c>
      <c r="I517" s="140">
        <f>SUM(I501:I516)</f>
        <v>8845768</v>
      </c>
      <c r="J517" s="105">
        <f>+SUM(J501:J516)</f>
        <v>23525884</v>
      </c>
      <c r="K517" s="5" t="b">
        <f>J517=I490</f>
        <v>1</v>
      </c>
    </row>
    <row r="518" spans="1:16" ht="15.6" x14ac:dyDescent="0.3">
      <c r="A518" s="161"/>
      <c r="B518" s="161"/>
      <c r="C518" s="162"/>
      <c r="D518" s="161"/>
      <c r="E518" s="161"/>
      <c r="F518" s="161"/>
      <c r="G518" s="161"/>
      <c r="H518" s="161"/>
      <c r="I518" s="163"/>
      <c r="J518" s="164"/>
      <c r="K518" s="161"/>
      <c r="L518" s="165"/>
      <c r="M518" s="165"/>
      <c r="N518" s="165"/>
      <c r="O518" s="165"/>
      <c r="P518" s="161"/>
    </row>
    <row r="521" spans="1:16" ht="15.6" x14ac:dyDescent="0.3">
      <c r="A521" s="6" t="s">
        <v>36</v>
      </c>
      <c r="B521" s="6" t="s">
        <v>1</v>
      </c>
      <c r="C521" s="6">
        <v>44713</v>
      </c>
      <c r="D521" s="7" t="s">
        <v>37</v>
      </c>
      <c r="E521" s="7" t="s">
        <v>38</v>
      </c>
      <c r="F521" s="7" t="s">
        <v>39</v>
      </c>
      <c r="G521" s="7" t="s">
        <v>40</v>
      </c>
      <c r="H521" s="6">
        <v>44742</v>
      </c>
      <c r="I521" s="7" t="s">
        <v>41</v>
      </c>
      <c r="K521" s="45"/>
      <c r="L521" s="45" t="s">
        <v>42</v>
      </c>
      <c r="M521" s="45" t="s">
        <v>43</v>
      </c>
      <c r="N521" s="45" t="s">
        <v>44</v>
      </c>
      <c r="O521" s="45" t="s">
        <v>45</v>
      </c>
    </row>
    <row r="522" spans="1:16" x14ac:dyDescent="0.3">
      <c r="A522" s="58" t="str">
        <f>K522</f>
        <v>BCI</v>
      </c>
      <c r="B522" s="59" t="s">
        <v>46</v>
      </c>
      <c r="C522" s="61">
        <v>8575038</v>
      </c>
      <c r="D522" s="61">
        <f>+L522</f>
        <v>0</v>
      </c>
      <c r="E522" s="61">
        <f>+N522</f>
        <v>283345</v>
      </c>
      <c r="F522" s="61">
        <f>+M522</f>
        <v>4000000</v>
      </c>
      <c r="G522" s="61">
        <f t="shared" ref="G522:G532" si="299">+O522</f>
        <v>0</v>
      </c>
      <c r="H522" s="61">
        <v>4291693</v>
      </c>
      <c r="I522" s="61">
        <f>+C522+D522-E522-F522+G522</f>
        <v>4291693</v>
      </c>
      <c r="J522" s="9">
        <f>I522-H522</f>
        <v>0</v>
      </c>
      <c r="K522" s="45" t="s">
        <v>24</v>
      </c>
      <c r="L522" s="47">
        <v>0</v>
      </c>
      <c r="M522" s="47">
        <v>4000000</v>
      </c>
      <c r="N522" s="47">
        <v>283345</v>
      </c>
      <c r="O522" s="47">
        <v>0</v>
      </c>
    </row>
    <row r="523" spans="1:16" x14ac:dyDescent="0.3">
      <c r="A523" s="58" t="str">
        <f t="shared" ref="A523:A535" si="300">K523</f>
        <v>BCI-Sous Compte</v>
      </c>
      <c r="B523" s="59" t="s">
        <v>46</v>
      </c>
      <c r="C523" s="61">
        <v>12231533</v>
      </c>
      <c r="D523" s="61">
        <f t="shared" ref="D523:D535" si="301">+L523</f>
        <v>0</v>
      </c>
      <c r="E523" s="61">
        <f t="shared" ref="E523:E535" si="302">+N523</f>
        <v>5378906</v>
      </c>
      <c r="F523" s="61">
        <f t="shared" ref="F523:F535" si="303">+M523</f>
        <v>2000000</v>
      </c>
      <c r="G523" s="61">
        <f t="shared" si="299"/>
        <v>0</v>
      </c>
      <c r="H523" s="61">
        <v>4852627</v>
      </c>
      <c r="I523" s="61">
        <f>+C523+D523-E523-F523+G523</f>
        <v>4852627</v>
      </c>
      <c r="J523" s="9">
        <f t="shared" ref="J523:J529" si="304">I523-H523</f>
        <v>0</v>
      </c>
      <c r="K523" s="45" t="s">
        <v>155</v>
      </c>
      <c r="L523" s="47">
        <v>0</v>
      </c>
      <c r="M523" s="47">
        <v>2000000</v>
      </c>
      <c r="N523" s="47">
        <v>5378906</v>
      </c>
      <c r="O523" s="47">
        <v>0</v>
      </c>
    </row>
    <row r="524" spans="1:16" x14ac:dyDescent="0.3">
      <c r="A524" s="58" t="str">
        <f t="shared" si="300"/>
        <v>Caisse</v>
      </c>
      <c r="B524" s="59" t="s">
        <v>25</v>
      </c>
      <c r="C524" s="61">
        <v>1700406</v>
      </c>
      <c r="D524" s="61">
        <f t="shared" si="301"/>
        <v>6172450</v>
      </c>
      <c r="E524" s="61">
        <f t="shared" si="302"/>
        <v>2587130</v>
      </c>
      <c r="F524" s="61">
        <f t="shared" si="303"/>
        <v>3589400</v>
      </c>
      <c r="G524" s="61">
        <f t="shared" si="299"/>
        <v>0</v>
      </c>
      <c r="H524" s="61">
        <v>1696326</v>
      </c>
      <c r="I524" s="61">
        <f>+C524+D524-E524-F524+G524</f>
        <v>1696326</v>
      </c>
      <c r="J524" s="102">
        <f t="shared" si="304"/>
        <v>0</v>
      </c>
      <c r="K524" s="45" t="s">
        <v>25</v>
      </c>
      <c r="L524" s="47">
        <v>6172450</v>
      </c>
      <c r="M524" s="47">
        <v>3589400</v>
      </c>
      <c r="N524" s="47">
        <v>2587130</v>
      </c>
      <c r="O524" s="47">
        <v>0</v>
      </c>
    </row>
    <row r="525" spans="1:16" x14ac:dyDescent="0.3">
      <c r="A525" s="58" t="str">
        <f t="shared" si="300"/>
        <v>Crépin</v>
      </c>
      <c r="B525" s="59" t="s">
        <v>161</v>
      </c>
      <c r="C525" s="61">
        <v>15750</v>
      </c>
      <c r="D525" s="61">
        <f t="shared" si="301"/>
        <v>1223400</v>
      </c>
      <c r="E525" s="61">
        <f t="shared" si="302"/>
        <v>1184350</v>
      </c>
      <c r="F525" s="61">
        <f t="shared" si="303"/>
        <v>45000</v>
      </c>
      <c r="G525" s="61">
        <f t="shared" si="299"/>
        <v>0</v>
      </c>
      <c r="H525" s="61">
        <v>9800</v>
      </c>
      <c r="I525" s="61">
        <f>+C525+D525-E525-F525+G525</f>
        <v>9800</v>
      </c>
      <c r="J525" s="9">
        <f t="shared" si="304"/>
        <v>0</v>
      </c>
      <c r="K525" s="45" t="s">
        <v>47</v>
      </c>
      <c r="L525" s="47">
        <v>1223400</v>
      </c>
      <c r="M525" s="47">
        <v>45000</v>
      </c>
      <c r="N525" s="47">
        <v>1184350</v>
      </c>
      <c r="O525" s="47">
        <v>0</v>
      </c>
    </row>
    <row r="526" spans="1:16" x14ac:dyDescent="0.3">
      <c r="A526" s="58" t="str">
        <f t="shared" si="300"/>
        <v>Evariste</v>
      </c>
      <c r="B526" s="59" t="s">
        <v>162</v>
      </c>
      <c r="C526" s="61">
        <v>8795</v>
      </c>
      <c r="D526" s="61">
        <f t="shared" si="301"/>
        <v>248000</v>
      </c>
      <c r="E526" s="61">
        <f t="shared" si="302"/>
        <v>254500</v>
      </c>
      <c r="F526" s="61">
        <f t="shared" si="303"/>
        <v>0</v>
      </c>
      <c r="G526" s="61">
        <f t="shared" si="299"/>
        <v>0</v>
      </c>
      <c r="H526" s="61">
        <v>2295</v>
      </c>
      <c r="I526" s="61">
        <f t="shared" ref="I526" si="305">+C526+D526-E526-F526+G526</f>
        <v>2295</v>
      </c>
      <c r="J526" s="9">
        <f t="shared" si="304"/>
        <v>0</v>
      </c>
      <c r="K526" s="45" t="s">
        <v>31</v>
      </c>
      <c r="L526" s="47">
        <v>248000</v>
      </c>
      <c r="M526" s="47">
        <v>0</v>
      </c>
      <c r="N526" s="47">
        <v>254500</v>
      </c>
      <c r="O526" s="47">
        <v>0</v>
      </c>
    </row>
    <row r="527" spans="1:16" x14ac:dyDescent="0.3">
      <c r="A527" s="58" t="str">
        <f t="shared" si="300"/>
        <v>I55S</v>
      </c>
      <c r="B527" s="116" t="s">
        <v>4</v>
      </c>
      <c r="C527" s="118">
        <v>233614</v>
      </c>
      <c r="D527" s="118">
        <f t="shared" si="301"/>
        <v>0</v>
      </c>
      <c r="E527" s="118">
        <f t="shared" si="302"/>
        <v>0</v>
      </c>
      <c r="F527" s="118">
        <f t="shared" si="303"/>
        <v>0</v>
      </c>
      <c r="G527" s="118">
        <f t="shared" si="299"/>
        <v>0</v>
      </c>
      <c r="H527" s="118">
        <v>233614</v>
      </c>
      <c r="I527" s="118">
        <f>+C527+D527-E527-F527+G527</f>
        <v>233614</v>
      </c>
      <c r="J527" s="9">
        <f t="shared" si="304"/>
        <v>0</v>
      </c>
      <c r="K527" s="45" t="s">
        <v>84</v>
      </c>
      <c r="L527" s="47">
        <v>0</v>
      </c>
      <c r="M527" s="47">
        <v>0</v>
      </c>
      <c r="N527" s="47">
        <v>0</v>
      </c>
      <c r="O527" s="47">
        <v>0</v>
      </c>
    </row>
    <row r="528" spans="1:16" x14ac:dyDescent="0.3">
      <c r="A528" s="58" t="str">
        <f t="shared" si="300"/>
        <v>I73X</v>
      </c>
      <c r="B528" s="116" t="s">
        <v>4</v>
      </c>
      <c r="C528" s="118">
        <v>249769</v>
      </c>
      <c r="D528" s="118">
        <f t="shared" si="301"/>
        <v>0</v>
      </c>
      <c r="E528" s="118">
        <f t="shared" si="302"/>
        <v>0</v>
      </c>
      <c r="F528" s="118">
        <f t="shared" si="303"/>
        <v>0</v>
      </c>
      <c r="G528" s="118">
        <f t="shared" si="299"/>
        <v>0</v>
      </c>
      <c r="H528" s="118">
        <v>249769</v>
      </c>
      <c r="I528" s="118">
        <f t="shared" ref="I528:I531" si="306">+C528+D528-E528-F528+G528</f>
        <v>249769</v>
      </c>
      <c r="J528" s="9">
        <f t="shared" si="304"/>
        <v>0</v>
      </c>
      <c r="K528" s="45" t="s">
        <v>83</v>
      </c>
      <c r="L528" s="47">
        <v>0</v>
      </c>
      <c r="M528" s="47">
        <v>0</v>
      </c>
      <c r="N528" s="47">
        <v>0</v>
      </c>
      <c r="O528" s="47">
        <v>0</v>
      </c>
    </row>
    <row r="529" spans="1:15" x14ac:dyDescent="0.3">
      <c r="A529" s="58" t="str">
        <f t="shared" si="300"/>
        <v>Grace</v>
      </c>
      <c r="B529" s="98" t="s">
        <v>2</v>
      </c>
      <c r="C529" s="61">
        <v>14700</v>
      </c>
      <c r="D529" s="61">
        <f t="shared" si="301"/>
        <v>994000</v>
      </c>
      <c r="E529" s="61">
        <f t="shared" si="302"/>
        <v>220100</v>
      </c>
      <c r="F529" s="61">
        <f t="shared" si="303"/>
        <v>760000</v>
      </c>
      <c r="G529" s="61">
        <f t="shared" si="299"/>
        <v>0</v>
      </c>
      <c r="H529" s="61">
        <v>28600</v>
      </c>
      <c r="I529" s="61">
        <f t="shared" si="306"/>
        <v>28600</v>
      </c>
      <c r="J529" s="9">
        <f t="shared" si="304"/>
        <v>0</v>
      </c>
      <c r="K529" s="45" t="s">
        <v>150</v>
      </c>
      <c r="L529" s="47">
        <v>994000</v>
      </c>
      <c r="M529" s="47">
        <v>760000</v>
      </c>
      <c r="N529" s="47">
        <v>220100</v>
      </c>
      <c r="O529" s="47">
        <v>0</v>
      </c>
    </row>
    <row r="530" spans="1:15" x14ac:dyDescent="0.3">
      <c r="A530" s="58" t="str">
        <f t="shared" si="300"/>
        <v>Hurielle</v>
      </c>
      <c r="B530" s="59" t="s">
        <v>161</v>
      </c>
      <c r="C530" s="61">
        <v>46950</v>
      </c>
      <c r="D530" s="61">
        <f t="shared" si="301"/>
        <v>254000</v>
      </c>
      <c r="E530" s="61">
        <f t="shared" si="302"/>
        <v>245500</v>
      </c>
      <c r="F530" s="61">
        <f t="shared" si="303"/>
        <v>37450</v>
      </c>
      <c r="G530" s="61">
        <f t="shared" si="299"/>
        <v>0</v>
      </c>
      <c r="H530" s="61">
        <v>18000</v>
      </c>
      <c r="I530" s="61">
        <f t="shared" si="306"/>
        <v>18000</v>
      </c>
      <c r="J530" s="9">
        <f>I530-H530</f>
        <v>0</v>
      </c>
      <c r="K530" s="45" t="s">
        <v>204</v>
      </c>
      <c r="L530" s="47">
        <v>254000</v>
      </c>
      <c r="M530" s="47">
        <v>37450</v>
      </c>
      <c r="N530" s="47">
        <v>245500</v>
      </c>
      <c r="O530" s="47">
        <v>0</v>
      </c>
    </row>
    <row r="531" spans="1:15" x14ac:dyDescent="0.3">
      <c r="A531" s="58" t="str">
        <f t="shared" si="300"/>
        <v>I23C</v>
      </c>
      <c r="B531" s="98" t="s">
        <v>4</v>
      </c>
      <c r="C531" s="61">
        <v>112050</v>
      </c>
      <c r="D531" s="61">
        <f t="shared" si="301"/>
        <v>584000</v>
      </c>
      <c r="E531" s="61">
        <f t="shared" si="302"/>
        <v>434000</v>
      </c>
      <c r="F531" s="61">
        <f t="shared" si="303"/>
        <v>0</v>
      </c>
      <c r="G531" s="61">
        <f t="shared" si="299"/>
        <v>0</v>
      </c>
      <c r="H531" s="61">
        <v>262050</v>
      </c>
      <c r="I531" s="61">
        <f t="shared" si="306"/>
        <v>262050</v>
      </c>
      <c r="J531" s="9">
        <f t="shared" ref="J531:J532" si="307">I531-H531</f>
        <v>0</v>
      </c>
      <c r="K531" s="45" t="s">
        <v>30</v>
      </c>
      <c r="L531" s="47">
        <v>584000</v>
      </c>
      <c r="M531" s="47">
        <v>0</v>
      </c>
      <c r="N531" s="47">
        <v>434000</v>
      </c>
      <c r="O531" s="47">
        <v>0</v>
      </c>
    </row>
    <row r="532" spans="1:15" x14ac:dyDescent="0.3">
      <c r="A532" s="58" t="str">
        <f t="shared" si="300"/>
        <v>Merveille</v>
      </c>
      <c r="B532" s="59" t="s">
        <v>2</v>
      </c>
      <c r="C532" s="61">
        <v>2900</v>
      </c>
      <c r="D532" s="61">
        <f t="shared" si="301"/>
        <v>40000</v>
      </c>
      <c r="E532" s="61">
        <f t="shared" si="302"/>
        <v>31000</v>
      </c>
      <c r="F532" s="61">
        <f t="shared" si="303"/>
        <v>0</v>
      </c>
      <c r="G532" s="61">
        <f t="shared" si="299"/>
        <v>0</v>
      </c>
      <c r="H532" s="61">
        <v>11900</v>
      </c>
      <c r="I532" s="61">
        <f>+C532+D532-E532-F532+G532</f>
        <v>11900</v>
      </c>
      <c r="J532" s="9">
        <f t="shared" si="307"/>
        <v>0</v>
      </c>
      <c r="K532" s="45" t="s">
        <v>93</v>
      </c>
      <c r="L532" s="47">
        <v>40000</v>
      </c>
      <c r="M532" s="47">
        <v>0</v>
      </c>
      <c r="N532" s="47">
        <v>31000</v>
      </c>
      <c r="O532" s="47">
        <v>0</v>
      </c>
    </row>
    <row r="533" spans="1:15" x14ac:dyDescent="0.3">
      <c r="A533" s="58" t="str">
        <f t="shared" si="300"/>
        <v>P29</v>
      </c>
      <c r="B533" s="59" t="s">
        <v>4</v>
      </c>
      <c r="C533" s="61">
        <v>140700</v>
      </c>
      <c r="D533" s="61">
        <f t="shared" si="301"/>
        <v>638000</v>
      </c>
      <c r="E533" s="61">
        <f t="shared" si="302"/>
        <v>507650</v>
      </c>
      <c r="F533" s="61">
        <f t="shared" si="303"/>
        <v>50000</v>
      </c>
      <c r="G533" s="61">
        <f>+O533</f>
        <v>0</v>
      </c>
      <c r="H533" s="61">
        <v>221050</v>
      </c>
      <c r="I533" s="61">
        <f>+C533+D533-E533-F533+G533</f>
        <v>221050</v>
      </c>
      <c r="J533" s="9">
        <f>I533-H533</f>
        <v>0</v>
      </c>
      <c r="K533" s="45" t="s">
        <v>29</v>
      </c>
      <c r="L533" s="47">
        <v>638000</v>
      </c>
      <c r="M533" s="47">
        <v>50000</v>
      </c>
      <c r="N533" s="47">
        <v>507650</v>
      </c>
      <c r="O533" s="47">
        <v>0</v>
      </c>
    </row>
    <row r="534" spans="1:15" x14ac:dyDescent="0.3">
      <c r="A534" s="58" t="str">
        <f t="shared" si="300"/>
        <v>Tiffany</v>
      </c>
      <c r="B534" s="59" t="s">
        <v>2</v>
      </c>
      <c r="C534" s="61">
        <v>2241</v>
      </c>
      <c r="D534" s="61">
        <f t="shared" si="301"/>
        <v>0</v>
      </c>
      <c r="E534" s="61">
        <f t="shared" si="302"/>
        <v>6200</v>
      </c>
      <c r="F534" s="61">
        <f t="shared" si="303"/>
        <v>0</v>
      </c>
      <c r="G534" s="61">
        <f t="shared" ref="G534:G535" si="308">+O534</f>
        <v>0</v>
      </c>
      <c r="H534" s="61">
        <v>-3959</v>
      </c>
      <c r="I534" s="61">
        <f t="shared" ref="I534" si="309">+C534+D534-E534-F534+G534</f>
        <v>-3959</v>
      </c>
      <c r="J534" s="9">
        <f t="shared" ref="J534" si="310">I534-H534</f>
        <v>0</v>
      </c>
      <c r="K534" s="45" t="s">
        <v>113</v>
      </c>
      <c r="L534" s="47">
        <v>0</v>
      </c>
      <c r="M534" s="47">
        <v>0</v>
      </c>
      <c r="N534" s="47">
        <v>6200</v>
      </c>
      <c r="O534" s="47">
        <v>0</v>
      </c>
    </row>
    <row r="535" spans="1:15" x14ac:dyDescent="0.3">
      <c r="A535" s="58" t="str">
        <f t="shared" si="300"/>
        <v>Yan</v>
      </c>
      <c r="B535" s="59" t="s">
        <v>161</v>
      </c>
      <c r="C535" s="61">
        <v>10500</v>
      </c>
      <c r="D535" s="61">
        <f t="shared" si="301"/>
        <v>368000</v>
      </c>
      <c r="E535" s="61">
        <f t="shared" si="302"/>
        <v>243500</v>
      </c>
      <c r="F535" s="61">
        <f t="shared" si="303"/>
        <v>40000</v>
      </c>
      <c r="G535" s="61">
        <f t="shared" si="308"/>
        <v>0</v>
      </c>
      <c r="H535" s="61">
        <v>95000</v>
      </c>
      <c r="I535" s="61">
        <f>+C535+D535-E535-F535+G535</f>
        <v>95000</v>
      </c>
      <c r="J535" s="9">
        <f>I535-H535</f>
        <v>0</v>
      </c>
      <c r="K535" s="45" t="s">
        <v>219</v>
      </c>
      <c r="L535" s="47">
        <v>368000</v>
      </c>
      <c r="M535" s="47">
        <v>40000</v>
      </c>
      <c r="N535" s="47">
        <v>243500</v>
      </c>
      <c r="O535" s="47">
        <v>0</v>
      </c>
    </row>
    <row r="536" spans="1:15" x14ac:dyDescent="0.3">
      <c r="A536" s="10" t="s">
        <v>50</v>
      </c>
      <c r="B536" s="11"/>
      <c r="C536" s="12">
        <f t="shared" ref="C536:I536" si="311">SUM(C522:C535)</f>
        <v>23344946</v>
      </c>
      <c r="D536" s="57">
        <f t="shared" si="311"/>
        <v>10521850</v>
      </c>
      <c r="E536" s="57">
        <f t="shared" si="311"/>
        <v>11376181</v>
      </c>
      <c r="F536" s="57">
        <f t="shared" si="311"/>
        <v>10521850</v>
      </c>
      <c r="G536" s="57">
        <f t="shared" si="311"/>
        <v>0</v>
      </c>
      <c r="H536" s="57">
        <f t="shared" si="311"/>
        <v>11968765</v>
      </c>
      <c r="I536" s="57">
        <f t="shared" si="311"/>
        <v>11968765</v>
      </c>
      <c r="J536" s="9">
        <f>I536-H536</f>
        <v>0</v>
      </c>
      <c r="K536" s="3"/>
      <c r="L536" s="47">
        <f>+SUM(L522:L535)</f>
        <v>10521850</v>
      </c>
      <c r="M536" s="47">
        <f>+SUM(M522:M535)</f>
        <v>10521850</v>
      </c>
      <c r="N536" s="47">
        <f>+SUM(N522:N535)</f>
        <v>11376181</v>
      </c>
      <c r="O536" s="47">
        <f>+SUM(O522:O534)</f>
        <v>0</v>
      </c>
    </row>
    <row r="537" spans="1:15" x14ac:dyDescent="0.3">
      <c r="A537" s="10"/>
      <c r="B537" s="11"/>
      <c r="C537" s="12"/>
      <c r="D537" s="13"/>
      <c r="E537" s="12"/>
      <c r="F537" s="13"/>
      <c r="G537" s="12"/>
      <c r="H537" s="12"/>
      <c r="I537" s="134" t="b">
        <f>I536=D539</f>
        <v>1</v>
      </c>
      <c r="L537" s="5"/>
      <c r="M537" s="5"/>
      <c r="N537" s="5"/>
      <c r="O537" s="5"/>
    </row>
    <row r="538" spans="1:15" x14ac:dyDescent="0.3">
      <c r="A538" s="10" t="s">
        <v>224</v>
      </c>
      <c r="B538" s="11" t="s">
        <v>225</v>
      </c>
      <c r="C538" s="12" t="s">
        <v>226</v>
      </c>
      <c r="D538" s="12" t="s">
        <v>228</v>
      </c>
      <c r="E538" s="12" t="s">
        <v>51</v>
      </c>
      <c r="F538" s="12"/>
      <c r="G538" s="12">
        <f>+D536-F536</f>
        <v>0</v>
      </c>
      <c r="H538" s="12"/>
      <c r="I538" s="12"/>
    </row>
    <row r="539" spans="1:15" x14ac:dyDescent="0.3">
      <c r="A539" s="14">
        <f>C536</f>
        <v>23344946</v>
      </c>
      <c r="B539" s="15">
        <f>G536</f>
        <v>0</v>
      </c>
      <c r="C539" s="12">
        <f>E536</f>
        <v>11376181</v>
      </c>
      <c r="D539" s="12">
        <f>A539+B539-C539</f>
        <v>11968765</v>
      </c>
      <c r="E539" s="13">
        <f>I536-D539</f>
        <v>0</v>
      </c>
      <c r="F539" s="12"/>
      <c r="G539" s="12"/>
      <c r="H539" s="12"/>
      <c r="I539" s="12"/>
    </row>
    <row r="540" spans="1:15" x14ac:dyDescent="0.3">
      <c r="A540" s="14"/>
      <c r="B540" s="15"/>
      <c r="C540" s="12"/>
      <c r="D540" s="12"/>
      <c r="E540" s="13"/>
      <c r="F540" s="12"/>
      <c r="G540" s="12"/>
      <c r="H540" s="12"/>
      <c r="I540" s="12"/>
    </row>
    <row r="541" spans="1:15" x14ac:dyDescent="0.3">
      <c r="A541" s="16" t="s">
        <v>52</v>
      </c>
      <c r="B541" s="16"/>
      <c r="C541" s="16"/>
      <c r="D541" s="17"/>
      <c r="E541" s="17"/>
      <c r="F541" s="17"/>
      <c r="G541" s="17"/>
      <c r="H541" s="17"/>
      <c r="I541" s="17"/>
    </row>
    <row r="542" spans="1:15" x14ac:dyDescent="0.3">
      <c r="A542" s="18" t="s">
        <v>227</v>
      </c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1:15" x14ac:dyDescent="0.3">
      <c r="A543" s="19"/>
      <c r="B543" s="17"/>
      <c r="C543" s="20"/>
      <c r="D543" s="20"/>
      <c r="E543" s="20"/>
      <c r="F543" s="20"/>
      <c r="G543" s="20"/>
      <c r="H543" s="17"/>
      <c r="I543" s="17"/>
    </row>
    <row r="544" spans="1:15" x14ac:dyDescent="0.3">
      <c r="A544" s="170" t="s">
        <v>53</v>
      </c>
      <c r="B544" s="172" t="s">
        <v>54</v>
      </c>
      <c r="C544" s="174" t="s">
        <v>229</v>
      </c>
      <c r="D544" s="175" t="s">
        <v>55</v>
      </c>
      <c r="E544" s="176"/>
      <c r="F544" s="176"/>
      <c r="G544" s="177"/>
      <c r="H544" s="178" t="s">
        <v>56</v>
      </c>
      <c r="I544" s="166" t="s">
        <v>57</v>
      </c>
      <c r="J544" s="17"/>
    </row>
    <row r="545" spans="1:11" ht="28.5" customHeight="1" x14ac:dyDescent="0.3">
      <c r="A545" s="171"/>
      <c r="B545" s="173"/>
      <c r="C545" s="22"/>
      <c r="D545" s="21" t="s">
        <v>24</v>
      </c>
      <c r="E545" s="21" t="s">
        <v>25</v>
      </c>
      <c r="F545" s="22" t="s">
        <v>123</v>
      </c>
      <c r="G545" s="21" t="s">
        <v>58</v>
      </c>
      <c r="H545" s="179"/>
      <c r="I545" s="167"/>
      <c r="J545" s="168" t="s">
        <v>230</v>
      </c>
      <c r="K545" s="143"/>
    </row>
    <row r="546" spans="1:11" x14ac:dyDescent="0.3">
      <c r="A546" s="23"/>
      <c r="B546" s="24" t="s">
        <v>59</v>
      </c>
      <c r="C546" s="25"/>
      <c r="D546" s="25"/>
      <c r="E546" s="25"/>
      <c r="F546" s="25"/>
      <c r="G546" s="25"/>
      <c r="H546" s="25"/>
      <c r="I546" s="26"/>
      <c r="J546" s="169"/>
      <c r="K546" s="143"/>
    </row>
    <row r="547" spans="1:11" x14ac:dyDescent="0.3">
      <c r="A547" s="122" t="s">
        <v>142</v>
      </c>
      <c r="B547" s="127" t="s">
        <v>47</v>
      </c>
      <c r="C547" s="32">
        <f>+C525</f>
        <v>15750</v>
      </c>
      <c r="D547" s="31"/>
      <c r="E547" s="32">
        <f t="shared" ref="E547:E555" si="312">+D525</f>
        <v>1223400</v>
      </c>
      <c r="F547" s="32"/>
      <c r="G547" s="32"/>
      <c r="H547" s="55">
        <f t="shared" ref="H547:H555" si="313">+F525</f>
        <v>45000</v>
      </c>
      <c r="I547" s="32">
        <f t="shared" ref="I547:I555" si="314">+E525</f>
        <v>1184350</v>
      </c>
      <c r="J547" s="30">
        <f t="shared" ref="J547:J548" si="315">+SUM(C547:G547)-(H547+I547)</f>
        <v>9800</v>
      </c>
      <c r="K547" s="144" t="b">
        <f t="shared" ref="K547:K557" si="316">J547=I525</f>
        <v>1</v>
      </c>
    </row>
    <row r="548" spans="1:11" x14ac:dyDescent="0.3">
      <c r="A548" s="122" t="str">
        <f>+A547</f>
        <v>JUIN</v>
      </c>
      <c r="B548" s="127" t="s">
        <v>31</v>
      </c>
      <c r="C548" s="32">
        <f>+C526</f>
        <v>8795</v>
      </c>
      <c r="D548" s="31"/>
      <c r="E548" s="32">
        <f t="shared" si="312"/>
        <v>248000</v>
      </c>
      <c r="F548" s="32"/>
      <c r="G548" s="32"/>
      <c r="H548" s="55">
        <f t="shared" si="313"/>
        <v>0</v>
      </c>
      <c r="I548" s="32">
        <f t="shared" si="314"/>
        <v>254500</v>
      </c>
      <c r="J548" s="101">
        <f t="shared" si="315"/>
        <v>2295</v>
      </c>
      <c r="K548" s="144" t="b">
        <f t="shared" si="316"/>
        <v>1</v>
      </c>
    </row>
    <row r="549" spans="1:11" x14ac:dyDescent="0.3">
      <c r="A549" s="122" t="str">
        <f t="shared" ref="A549:A550" si="317">+A548</f>
        <v>JUIN</v>
      </c>
      <c r="B549" s="129" t="s">
        <v>84</v>
      </c>
      <c r="C549" s="120">
        <f>+C527</f>
        <v>233614</v>
      </c>
      <c r="D549" s="123"/>
      <c r="E549" s="120">
        <f t="shared" si="312"/>
        <v>0</v>
      </c>
      <c r="F549" s="137"/>
      <c r="G549" s="137"/>
      <c r="H549" s="155">
        <f t="shared" si="313"/>
        <v>0</v>
      </c>
      <c r="I549" s="120">
        <f t="shared" si="314"/>
        <v>0</v>
      </c>
      <c r="J549" s="121">
        <f>+SUM(C549:G549)-(H549+I549)</f>
        <v>233614</v>
      </c>
      <c r="K549" s="144" t="b">
        <f t="shared" si="316"/>
        <v>1</v>
      </c>
    </row>
    <row r="550" spans="1:11" x14ac:dyDescent="0.3">
      <c r="A550" s="122" t="str">
        <f t="shared" si="317"/>
        <v>JUIN</v>
      </c>
      <c r="B550" s="129" t="s">
        <v>83</v>
      </c>
      <c r="C550" s="120">
        <f>+C528</f>
        <v>249769</v>
      </c>
      <c r="D550" s="123"/>
      <c r="E550" s="120">
        <f t="shared" si="312"/>
        <v>0</v>
      </c>
      <c r="F550" s="137"/>
      <c r="G550" s="137"/>
      <c r="H550" s="155">
        <f t="shared" si="313"/>
        <v>0</v>
      </c>
      <c r="I550" s="120">
        <f t="shared" si="314"/>
        <v>0</v>
      </c>
      <c r="J550" s="121">
        <f t="shared" ref="J550:J557" si="318">+SUM(C550:G550)-(H550+I550)</f>
        <v>249769</v>
      </c>
      <c r="K550" s="144" t="b">
        <f t="shared" si="316"/>
        <v>1</v>
      </c>
    </row>
    <row r="551" spans="1:11" x14ac:dyDescent="0.3">
      <c r="A551" s="122" t="str">
        <f t="shared" ref="A551:A553" si="319">+A550</f>
        <v>JUIN</v>
      </c>
      <c r="B551" s="127" t="s">
        <v>150</v>
      </c>
      <c r="C551" s="32">
        <f>+C529</f>
        <v>14700</v>
      </c>
      <c r="D551" s="31"/>
      <c r="E551" s="32">
        <f t="shared" si="312"/>
        <v>994000</v>
      </c>
      <c r="F551" s="32"/>
      <c r="G551" s="104"/>
      <c r="H551" s="55">
        <f t="shared" si="313"/>
        <v>760000</v>
      </c>
      <c r="I551" s="32">
        <f t="shared" si="314"/>
        <v>220100</v>
      </c>
      <c r="J551" s="30">
        <f t="shared" si="318"/>
        <v>28600</v>
      </c>
      <c r="K551" s="144" t="b">
        <f t="shared" si="316"/>
        <v>1</v>
      </c>
    </row>
    <row r="552" spans="1:11" x14ac:dyDescent="0.3">
      <c r="A552" s="122" t="str">
        <f t="shared" si="319"/>
        <v>JUIN</v>
      </c>
      <c r="B552" s="127" t="s">
        <v>204</v>
      </c>
      <c r="C552" s="32">
        <f t="shared" ref="C552:C555" si="320">+C530</f>
        <v>46950</v>
      </c>
      <c r="D552" s="31"/>
      <c r="E552" s="32">
        <f t="shared" si="312"/>
        <v>254000</v>
      </c>
      <c r="F552" s="32"/>
      <c r="G552" s="104"/>
      <c r="H552" s="55">
        <f t="shared" si="313"/>
        <v>37450</v>
      </c>
      <c r="I552" s="32">
        <f t="shared" si="314"/>
        <v>245500</v>
      </c>
      <c r="J552" s="30">
        <f t="shared" si="318"/>
        <v>18000</v>
      </c>
      <c r="K552" s="144" t="b">
        <f t="shared" si="316"/>
        <v>1</v>
      </c>
    </row>
    <row r="553" spans="1:11" x14ac:dyDescent="0.3">
      <c r="A553" s="122" t="str">
        <f t="shared" si="319"/>
        <v>JUIN</v>
      </c>
      <c r="B553" s="127" t="s">
        <v>30</v>
      </c>
      <c r="C553" s="32">
        <f t="shared" si="320"/>
        <v>112050</v>
      </c>
      <c r="D553" s="31"/>
      <c r="E553" s="32">
        <f t="shared" si="312"/>
        <v>584000</v>
      </c>
      <c r="F553" s="32"/>
      <c r="G553" s="104"/>
      <c r="H553" s="55">
        <f t="shared" si="313"/>
        <v>0</v>
      </c>
      <c r="I553" s="32">
        <f t="shared" si="314"/>
        <v>434000</v>
      </c>
      <c r="J553" s="30">
        <f t="shared" si="318"/>
        <v>262050</v>
      </c>
      <c r="K553" s="144" t="b">
        <f t="shared" si="316"/>
        <v>1</v>
      </c>
    </row>
    <row r="554" spans="1:11" x14ac:dyDescent="0.3">
      <c r="A554" s="122" t="str">
        <f>+A552</f>
        <v>JUIN</v>
      </c>
      <c r="B554" s="127" t="s">
        <v>93</v>
      </c>
      <c r="C554" s="32">
        <f t="shared" si="320"/>
        <v>2900</v>
      </c>
      <c r="D554" s="31"/>
      <c r="E554" s="32">
        <f t="shared" si="312"/>
        <v>40000</v>
      </c>
      <c r="F554" s="32"/>
      <c r="G554" s="104"/>
      <c r="H554" s="55">
        <f t="shared" si="313"/>
        <v>0</v>
      </c>
      <c r="I554" s="32">
        <f t="shared" si="314"/>
        <v>31000</v>
      </c>
      <c r="J554" s="30">
        <f t="shared" si="318"/>
        <v>11900</v>
      </c>
      <c r="K554" s="144" t="b">
        <f t="shared" si="316"/>
        <v>1</v>
      </c>
    </row>
    <row r="555" spans="1:11" x14ac:dyDescent="0.3">
      <c r="A555" s="122" t="str">
        <f>+A553</f>
        <v>JUIN</v>
      </c>
      <c r="B555" s="127" t="s">
        <v>29</v>
      </c>
      <c r="C555" s="32">
        <f t="shared" si="320"/>
        <v>140700</v>
      </c>
      <c r="D555" s="31"/>
      <c r="E555" s="32">
        <f t="shared" si="312"/>
        <v>638000</v>
      </c>
      <c r="F555" s="32"/>
      <c r="G555" s="104"/>
      <c r="H555" s="55">
        <f t="shared" si="313"/>
        <v>50000</v>
      </c>
      <c r="I555" s="32">
        <f t="shared" si="314"/>
        <v>507650</v>
      </c>
      <c r="J555" s="30">
        <f t="shared" si="318"/>
        <v>221050</v>
      </c>
      <c r="K555" s="144" t="b">
        <f t="shared" si="316"/>
        <v>1</v>
      </c>
    </row>
    <row r="556" spans="1:11" x14ac:dyDescent="0.3">
      <c r="A556" s="122" t="str">
        <f>+A554</f>
        <v>JUIN</v>
      </c>
      <c r="B556" s="128" t="s">
        <v>113</v>
      </c>
      <c r="C556" s="32">
        <f t="shared" ref="C556:C557" si="321">+C534</f>
        <v>2241</v>
      </c>
      <c r="D556" s="119"/>
      <c r="E556" s="32">
        <f t="shared" ref="E556:E557" si="322">+D534</f>
        <v>0</v>
      </c>
      <c r="F556" s="51"/>
      <c r="G556" s="138"/>
      <c r="H556" s="55">
        <f t="shared" ref="H556:H557" si="323">+F534</f>
        <v>0</v>
      </c>
      <c r="I556" s="32">
        <f t="shared" ref="I556:I557" si="324">+E534</f>
        <v>6200</v>
      </c>
      <c r="J556" s="30">
        <f t="shared" si="318"/>
        <v>-3959</v>
      </c>
      <c r="K556" s="144" t="b">
        <f t="shared" si="316"/>
        <v>1</v>
      </c>
    </row>
    <row r="557" spans="1:11" x14ac:dyDescent="0.3">
      <c r="A557" s="122" t="str">
        <f>+A555</f>
        <v>JUIN</v>
      </c>
      <c r="B557" s="128" t="s">
        <v>219</v>
      </c>
      <c r="C557" s="32">
        <f t="shared" si="321"/>
        <v>10500</v>
      </c>
      <c r="D557" s="119"/>
      <c r="E557" s="32">
        <f t="shared" si="322"/>
        <v>368000</v>
      </c>
      <c r="F557" s="51"/>
      <c r="G557" s="138"/>
      <c r="H557" s="55">
        <f t="shared" si="323"/>
        <v>40000</v>
      </c>
      <c r="I557" s="32">
        <f t="shared" si="324"/>
        <v>243500</v>
      </c>
      <c r="J557" s="30">
        <f t="shared" si="318"/>
        <v>95000</v>
      </c>
      <c r="K557" s="144" t="b">
        <f t="shared" si="316"/>
        <v>1</v>
      </c>
    </row>
    <row r="558" spans="1:11" x14ac:dyDescent="0.3">
      <c r="A558" s="34" t="s">
        <v>60</v>
      </c>
      <c r="B558" s="35"/>
      <c r="C558" s="35"/>
      <c r="D558" s="35"/>
      <c r="E558" s="35"/>
      <c r="F558" s="35"/>
      <c r="G558" s="35"/>
      <c r="H558" s="35"/>
      <c r="I558" s="35"/>
      <c r="J558" s="36"/>
      <c r="K558" s="143"/>
    </row>
    <row r="559" spans="1:11" x14ac:dyDescent="0.3">
      <c r="A559" s="122" t="str">
        <f>+A557</f>
        <v>JUIN</v>
      </c>
      <c r="B559" s="37" t="s">
        <v>61</v>
      </c>
      <c r="C559" s="38">
        <f>+C524</f>
        <v>1700406</v>
      </c>
      <c r="D559" s="49"/>
      <c r="E559" s="49">
        <f>D524</f>
        <v>6172450</v>
      </c>
      <c r="F559" s="49"/>
      <c r="G559" s="125"/>
      <c r="H559" s="51">
        <f>+F524</f>
        <v>3589400</v>
      </c>
      <c r="I559" s="126">
        <f>+E524</f>
        <v>2587130</v>
      </c>
      <c r="J559" s="30">
        <f>+SUM(C559:G559)-(H559+I559)</f>
        <v>1696326</v>
      </c>
      <c r="K559" s="144" t="b">
        <f>J559=I524</f>
        <v>1</v>
      </c>
    </row>
    <row r="560" spans="1:11" x14ac:dyDescent="0.3">
      <c r="A560" s="43" t="s">
        <v>62</v>
      </c>
      <c r="B560" s="24"/>
      <c r="C560" s="35"/>
      <c r="D560" s="24"/>
      <c r="E560" s="24"/>
      <c r="F560" s="24"/>
      <c r="G560" s="24"/>
      <c r="H560" s="24"/>
      <c r="I560" s="24"/>
      <c r="J560" s="36"/>
      <c r="K560" s="143"/>
    </row>
    <row r="561" spans="1:16" x14ac:dyDescent="0.3">
      <c r="A561" s="122" t="str">
        <f>+A559</f>
        <v>JUIN</v>
      </c>
      <c r="B561" s="37" t="s">
        <v>163</v>
      </c>
      <c r="C561" s="125">
        <f>+C522</f>
        <v>8575038</v>
      </c>
      <c r="D561" s="132">
        <f>+G522</f>
        <v>0</v>
      </c>
      <c r="E561" s="49"/>
      <c r="F561" s="49"/>
      <c r="G561" s="49"/>
      <c r="H561" s="51">
        <f>+F522</f>
        <v>4000000</v>
      </c>
      <c r="I561" s="53">
        <f>+E522</f>
        <v>283345</v>
      </c>
      <c r="J561" s="30">
        <f>+SUM(C561:G561)-(H561+I561)</f>
        <v>4291693</v>
      </c>
      <c r="K561" s="144" t="b">
        <f>+J561=I522</f>
        <v>1</v>
      </c>
    </row>
    <row r="562" spans="1:16" x14ac:dyDescent="0.3">
      <c r="A562" s="122" t="str">
        <f t="shared" ref="A562" si="325">+A561</f>
        <v>JUIN</v>
      </c>
      <c r="B562" s="37" t="s">
        <v>64</v>
      </c>
      <c r="C562" s="125">
        <f>+C523</f>
        <v>12231533</v>
      </c>
      <c r="D562" s="49">
        <f>+G523</f>
        <v>0</v>
      </c>
      <c r="E562" s="48"/>
      <c r="F562" s="48"/>
      <c r="G562" s="48"/>
      <c r="H562" s="32">
        <f>+F523</f>
        <v>2000000</v>
      </c>
      <c r="I562" s="50">
        <f>+E523</f>
        <v>5378906</v>
      </c>
      <c r="J562" s="30">
        <f>SUM(C562:G562)-(H562+I562)</f>
        <v>4852627</v>
      </c>
      <c r="K562" s="144" t="b">
        <f>+J562=I523</f>
        <v>1</v>
      </c>
    </row>
    <row r="563" spans="1:16" ht="15.6" x14ac:dyDescent="0.3">
      <c r="C563" s="141">
        <f>SUM(C547:C562)</f>
        <v>23344946</v>
      </c>
      <c r="I563" s="140">
        <f>SUM(I547:I562)</f>
        <v>11376181</v>
      </c>
      <c r="J563" s="105">
        <f>+SUM(J547:J562)</f>
        <v>11968765</v>
      </c>
      <c r="K563" s="5" t="b">
        <f>J563=I536</f>
        <v>1</v>
      </c>
    </row>
    <row r="564" spans="1:16" ht="15.6" x14ac:dyDescent="0.3">
      <c r="A564" s="161"/>
      <c r="B564" s="161"/>
      <c r="C564" s="162"/>
      <c r="D564" s="161"/>
      <c r="E564" s="161"/>
      <c r="F564" s="161"/>
      <c r="G564" s="161"/>
      <c r="H564" s="161"/>
      <c r="I564" s="163"/>
      <c r="J564" s="164"/>
      <c r="K564" s="161"/>
      <c r="L564" s="165"/>
      <c r="M564" s="165"/>
      <c r="N564" s="165"/>
      <c r="O564" s="165"/>
      <c r="P564" s="161"/>
    </row>
    <row r="566" spans="1:16" ht="15.6" x14ac:dyDescent="0.3">
      <c r="A566" s="6" t="s">
        <v>36</v>
      </c>
      <c r="B566" s="6" t="s">
        <v>1</v>
      </c>
      <c r="C566" s="6">
        <v>44682</v>
      </c>
      <c r="D566" s="7" t="s">
        <v>37</v>
      </c>
      <c r="E566" s="7" t="s">
        <v>38</v>
      </c>
      <c r="F566" s="7" t="s">
        <v>39</v>
      </c>
      <c r="G566" s="7" t="s">
        <v>40</v>
      </c>
      <c r="H566" s="6">
        <v>44712</v>
      </c>
      <c r="I566" s="7" t="s">
        <v>41</v>
      </c>
      <c r="K566" s="45"/>
      <c r="L566" s="45" t="s">
        <v>42</v>
      </c>
      <c r="M566" s="45" t="s">
        <v>43</v>
      </c>
      <c r="N566" s="45" t="s">
        <v>44</v>
      </c>
      <c r="O566" s="45" t="s">
        <v>45</v>
      </c>
    </row>
    <row r="567" spans="1:16" x14ac:dyDescent="0.3">
      <c r="A567" s="58" t="str">
        <f>K567</f>
        <v>BCI</v>
      </c>
      <c r="B567" s="59" t="s">
        <v>46</v>
      </c>
      <c r="C567" s="61">
        <v>4154435</v>
      </c>
      <c r="D567" s="61">
        <f>+L567</f>
        <v>0</v>
      </c>
      <c r="E567" s="61">
        <f>+N567</f>
        <v>543345</v>
      </c>
      <c r="F567" s="61">
        <f>+M567</f>
        <v>7000000</v>
      </c>
      <c r="G567" s="61">
        <f t="shared" ref="G567:G578" si="326">+O567</f>
        <v>11963948</v>
      </c>
      <c r="H567" s="61">
        <v>8575038</v>
      </c>
      <c r="I567" s="61">
        <f>+C567+D567-E567-F567+G567</f>
        <v>8575038</v>
      </c>
      <c r="J567" s="9">
        <f>I567-H567</f>
        <v>0</v>
      </c>
      <c r="K567" s="45" t="s">
        <v>24</v>
      </c>
      <c r="L567" s="47">
        <v>0</v>
      </c>
      <c r="M567" s="47">
        <v>7000000</v>
      </c>
      <c r="N567" s="47">
        <v>543345</v>
      </c>
      <c r="O567" s="47">
        <v>11963948</v>
      </c>
    </row>
    <row r="568" spans="1:16" x14ac:dyDescent="0.3">
      <c r="A568" s="58" t="str">
        <f t="shared" ref="A568:A581" si="327">K568</f>
        <v>BCI-Sous Compte</v>
      </c>
      <c r="B568" s="59" t="s">
        <v>46</v>
      </c>
      <c r="C568" s="61">
        <v>16450956</v>
      </c>
      <c r="D568" s="61">
        <f t="shared" ref="D568:D581" si="328">+L568</f>
        <v>0</v>
      </c>
      <c r="E568" s="61">
        <f t="shared" ref="E568:E581" si="329">+N568</f>
        <v>4219423</v>
      </c>
      <c r="F568" s="61">
        <f t="shared" ref="F568:F581" si="330">+M568</f>
        <v>0</v>
      </c>
      <c r="G568" s="61">
        <f t="shared" si="326"/>
        <v>0</v>
      </c>
      <c r="H568" s="61">
        <v>12231533</v>
      </c>
      <c r="I568" s="61">
        <f>+C568+D568-E568-F568+G568</f>
        <v>12231533</v>
      </c>
      <c r="J568" s="9">
        <f t="shared" ref="J568:J575" si="331">I568-H568</f>
        <v>0</v>
      </c>
      <c r="K568" s="45" t="s">
        <v>155</v>
      </c>
      <c r="L568" s="47">
        <v>0</v>
      </c>
      <c r="M568" s="47">
        <v>0</v>
      </c>
      <c r="N568" s="47">
        <v>4219423</v>
      </c>
      <c r="O568" s="47">
        <v>0</v>
      </c>
    </row>
    <row r="569" spans="1:16" x14ac:dyDescent="0.3">
      <c r="A569" s="58" t="str">
        <f t="shared" si="327"/>
        <v>Caisse</v>
      </c>
      <c r="B569" s="59" t="s">
        <v>25</v>
      </c>
      <c r="C569" s="61">
        <v>963113</v>
      </c>
      <c r="D569" s="61">
        <f t="shared" si="328"/>
        <v>7684335</v>
      </c>
      <c r="E569" s="61">
        <f t="shared" si="329"/>
        <v>2033042</v>
      </c>
      <c r="F569" s="61">
        <f t="shared" si="330"/>
        <v>4914000</v>
      </c>
      <c r="G569" s="61">
        <f t="shared" si="326"/>
        <v>0</v>
      </c>
      <c r="H569" s="61">
        <v>1700406</v>
      </c>
      <c r="I569" s="61">
        <f>+C569+D569-E569-F569+G569</f>
        <v>1700406</v>
      </c>
      <c r="J569" s="102">
        <f t="shared" si="331"/>
        <v>0</v>
      </c>
      <c r="K569" s="45" t="s">
        <v>25</v>
      </c>
      <c r="L569" s="47">
        <v>7684335</v>
      </c>
      <c r="M569" s="47">
        <v>4914000</v>
      </c>
      <c r="N569" s="47">
        <v>2033042</v>
      </c>
      <c r="O569" s="47">
        <v>0</v>
      </c>
    </row>
    <row r="570" spans="1:16" x14ac:dyDescent="0.3">
      <c r="A570" s="58" t="str">
        <f t="shared" si="327"/>
        <v>Crépin</v>
      </c>
      <c r="B570" s="59" t="s">
        <v>161</v>
      </c>
      <c r="C570" s="61">
        <v>21850</v>
      </c>
      <c r="D570" s="61">
        <f t="shared" si="328"/>
        <v>1282000</v>
      </c>
      <c r="E570" s="61">
        <f t="shared" si="329"/>
        <v>1288100</v>
      </c>
      <c r="F570" s="61">
        <f t="shared" si="330"/>
        <v>0</v>
      </c>
      <c r="G570" s="61">
        <f t="shared" si="326"/>
        <v>0</v>
      </c>
      <c r="H570" s="61">
        <v>15750</v>
      </c>
      <c r="I570" s="61">
        <f>+C570+D570-E570-F570+G570</f>
        <v>15750</v>
      </c>
      <c r="J570" s="9">
        <f t="shared" si="331"/>
        <v>0</v>
      </c>
      <c r="K570" s="45" t="s">
        <v>47</v>
      </c>
      <c r="L570" s="47">
        <v>1282000</v>
      </c>
      <c r="M570" s="47">
        <v>0</v>
      </c>
      <c r="N570" s="47">
        <v>1288100</v>
      </c>
      <c r="O570" s="47">
        <v>0</v>
      </c>
    </row>
    <row r="571" spans="1:16" x14ac:dyDescent="0.3">
      <c r="A571" s="58" t="str">
        <f t="shared" si="327"/>
        <v>Evariste</v>
      </c>
      <c r="B571" s="59" t="s">
        <v>162</v>
      </c>
      <c r="C571" s="61">
        <v>7995</v>
      </c>
      <c r="D571" s="61">
        <f t="shared" si="328"/>
        <v>262000</v>
      </c>
      <c r="E571" s="61">
        <f t="shared" si="329"/>
        <v>261200</v>
      </c>
      <c r="F571" s="61">
        <f t="shared" si="330"/>
        <v>0</v>
      </c>
      <c r="G571" s="61">
        <f t="shared" si="326"/>
        <v>0</v>
      </c>
      <c r="H571" s="61">
        <v>8795</v>
      </c>
      <c r="I571" s="61">
        <f t="shared" ref="I571" si="332">+C571+D571-E571-F571+G571</f>
        <v>8795</v>
      </c>
      <c r="J571" s="9">
        <f t="shared" si="331"/>
        <v>0</v>
      </c>
      <c r="K571" s="45" t="s">
        <v>31</v>
      </c>
      <c r="L571" s="47">
        <v>262000</v>
      </c>
      <c r="M571" s="47">
        <v>0</v>
      </c>
      <c r="N571" s="47">
        <v>261200</v>
      </c>
      <c r="O571" s="47">
        <v>0</v>
      </c>
    </row>
    <row r="572" spans="1:16" x14ac:dyDescent="0.3">
      <c r="A572" s="58" t="str">
        <f t="shared" si="327"/>
        <v>Godfré</v>
      </c>
      <c r="B572" s="59" t="s">
        <v>161</v>
      </c>
      <c r="C572" s="61">
        <v>156335</v>
      </c>
      <c r="D572" s="61">
        <f t="shared" si="328"/>
        <v>307000</v>
      </c>
      <c r="E572" s="61">
        <f t="shared" si="329"/>
        <v>308500</v>
      </c>
      <c r="F572" s="61">
        <f t="shared" si="330"/>
        <v>154835</v>
      </c>
      <c r="G572" s="61">
        <f t="shared" si="326"/>
        <v>0</v>
      </c>
      <c r="H572" s="61">
        <v>0</v>
      </c>
      <c r="I572" s="61">
        <f>+C572+D572-E572-F572+G572</f>
        <v>0</v>
      </c>
      <c r="J572" s="9">
        <f t="shared" si="331"/>
        <v>0</v>
      </c>
      <c r="K572" s="45" t="s">
        <v>151</v>
      </c>
      <c r="L572" s="47">
        <v>307000</v>
      </c>
      <c r="M572" s="47">
        <v>154835</v>
      </c>
      <c r="N572" s="47">
        <v>308500</v>
      </c>
      <c r="O572" s="47">
        <v>0</v>
      </c>
    </row>
    <row r="573" spans="1:16" x14ac:dyDescent="0.3">
      <c r="A573" s="58" t="str">
        <f t="shared" si="327"/>
        <v>I55S</v>
      </c>
      <c r="B573" s="116" t="s">
        <v>4</v>
      </c>
      <c r="C573" s="118">
        <v>233614</v>
      </c>
      <c r="D573" s="118">
        <f t="shared" si="328"/>
        <v>0</v>
      </c>
      <c r="E573" s="118">
        <f t="shared" si="329"/>
        <v>0</v>
      </c>
      <c r="F573" s="118">
        <f t="shared" si="330"/>
        <v>0</v>
      </c>
      <c r="G573" s="118">
        <f t="shared" si="326"/>
        <v>0</v>
      </c>
      <c r="H573" s="118">
        <v>233614</v>
      </c>
      <c r="I573" s="118">
        <f>+C573+D573-E573-F573+G573</f>
        <v>233614</v>
      </c>
      <c r="J573" s="9">
        <f t="shared" si="331"/>
        <v>0</v>
      </c>
      <c r="K573" s="45" t="s">
        <v>84</v>
      </c>
      <c r="L573" s="47">
        <v>0</v>
      </c>
      <c r="M573" s="47">
        <v>0</v>
      </c>
      <c r="N573" s="47">
        <v>0</v>
      </c>
      <c r="O573" s="47">
        <v>0</v>
      </c>
    </row>
    <row r="574" spans="1:16" x14ac:dyDescent="0.3">
      <c r="A574" s="58" t="str">
        <f t="shared" si="327"/>
        <v>I73X</v>
      </c>
      <c r="B574" s="116" t="s">
        <v>4</v>
      </c>
      <c r="C574" s="118">
        <v>249769</v>
      </c>
      <c r="D574" s="118">
        <f t="shared" si="328"/>
        <v>0</v>
      </c>
      <c r="E574" s="118">
        <f t="shared" si="329"/>
        <v>0</v>
      </c>
      <c r="F574" s="118">
        <f t="shared" si="330"/>
        <v>0</v>
      </c>
      <c r="G574" s="118">
        <f t="shared" si="326"/>
        <v>0</v>
      </c>
      <c r="H574" s="118">
        <v>249769</v>
      </c>
      <c r="I574" s="118">
        <f t="shared" ref="I574:I577" si="333">+C574+D574-E574-F574+G574</f>
        <v>249769</v>
      </c>
      <c r="J574" s="9">
        <f t="shared" si="331"/>
        <v>0</v>
      </c>
      <c r="K574" s="45" t="s">
        <v>83</v>
      </c>
      <c r="L574" s="47">
        <v>0</v>
      </c>
      <c r="M574" s="47">
        <v>0</v>
      </c>
      <c r="N574" s="47">
        <v>0</v>
      </c>
      <c r="O574" s="47">
        <v>0</v>
      </c>
    </row>
    <row r="575" spans="1:16" x14ac:dyDescent="0.3">
      <c r="A575" s="58" t="str">
        <f t="shared" si="327"/>
        <v>Grace</v>
      </c>
      <c r="B575" s="98" t="s">
        <v>2</v>
      </c>
      <c r="C575" s="61">
        <v>10200</v>
      </c>
      <c r="D575" s="61">
        <f t="shared" si="328"/>
        <v>25000</v>
      </c>
      <c r="E575" s="61">
        <f t="shared" si="329"/>
        <v>20500</v>
      </c>
      <c r="F575" s="61">
        <f t="shared" si="330"/>
        <v>0</v>
      </c>
      <c r="G575" s="61">
        <f t="shared" si="326"/>
        <v>0</v>
      </c>
      <c r="H575" s="61">
        <v>14700</v>
      </c>
      <c r="I575" s="61">
        <f t="shared" si="333"/>
        <v>14700</v>
      </c>
      <c r="J575" s="9">
        <f t="shared" si="331"/>
        <v>0</v>
      </c>
      <c r="K575" s="45" t="s">
        <v>150</v>
      </c>
      <c r="L575" s="47">
        <v>25000</v>
      </c>
      <c r="M575" s="47">
        <v>0</v>
      </c>
      <c r="N575" s="47">
        <v>20500</v>
      </c>
      <c r="O575" s="47">
        <v>0</v>
      </c>
    </row>
    <row r="576" spans="1:16" x14ac:dyDescent="0.3">
      <c r="A576" s="58" t="str">
        <f t="shared" si="327"/>
        <v>Hurielle</v>
      </c>
      <c r="B576" s="59" t="s">
        <v>161</v>
      </c>
      <c r="C576" s="61">
        <v>43500</v>
      </c>
      <c r="D576" s="61">
        <f t="shared" si="328"/>
        <v>701000</v>
      </c>
      <c r="E576" s="61">
        <f t="shared" si="329"/>
        <v>697550</v>
      </c>
      <c r="F576" s="61">
        <f t="shared" si="330"/>
        <v>0</v>
      </c>
      <c r="G576" s="61">
        <f t="shared" si="326"/>
        <v>0</v>
      </c>
      <c r="H576" s="61">
        <v>46950</v>
      </c>
      <c r="I576" s="61">
        <f t="shared" si="333"/>
        <v>46950</v>
      </c>
      <c r="J576" s="9">
        <f>I576-H576</f>
        <v>0</v>
      </c>
      <c r="K576" s="45" t="s">
        <v>204</v>
      </c>
      <c r="L576" s="47">
        <v>701000</v>
      </c>
      <c r="M576" s="47">
        <v>0</v>
      </c>
      <c r="N576" s="47">
        <v>697550</v>
      </c>
      <c r="O576" s="47">
        <v>0</v>
      </c>
    </row>
    <row r="577" spans="1:15" x14ac:dyDescent="0.3">
      <c r="A577" s="58" t="str">
        <f t="shared" si="327"/>
        <v>I23C</v>
      </c>
      <c r="B577" s="98" t="s">
        <v>4</v>
      </c>
      <c r="C577" s="61">
        <v>177550</v>
      </c>
      <c r="D577" s="61">
        <f t="shared" si="328"/>
        <v>969000</v>
      </c>
      <c r="E577" s="61">
        <f t="shared" si="329"/>
        <v>814500</v>
      </c>
      <c r="F577" s="61">
        <f t="shared" si="330"/>
        <v>220000</v>
      </c>
      <c r="G577" s="61">
        <f t="shared" si="326"/>
        <v>0</v>
      </c>
      <c r="H577" s="61">
        <v>112050</v>
      </c>
      <c r="I577" s="61">
        <f t="shared" si="333"/>
        <v>112050</v>
      </c>
      <c r="J577" s="9">
        <f t="shared" ref="J577:J578" si="334">I577-H577</f>
        <v>0</v>
      </c>
      <c r="K577" s="45" t="s">
        <v>30</v>
      </c>
      <c r="L577" s="47">
        <v>969000</v>
      </c>
      <c r="M577" s="47">
        <v>220000</v>
      </c>
      <c r="N577" s="47">
        <v>814500</v>
      </c>
      <c r="O577" s="47">
        <v>0</v>
      </c>
    </row>
    <row r="578" spans="1:15" x14ac:dyDescent="0.3">
      <c r="A578" s="58" t="str">
        <f t="shared" si="327"/>
        <v>Merveille</v>
      </c>
      <c r="B578" s="59" t="s">
        <v>2</v>
      </c>
      <c r="C578" s="61">
        <v>4400</v>
      </c>
      <c r="D578" s="61">
        <f t="shared" si="328"/>
        <v>170000</v>
      </c>
      <c r="E578" s="61">
        <f t="shared" si="329"/>
        <v>161500</v>
      </c>
      <c r="F578" s="61">
        <f t="shared" si="330"/>
        <v>10000</v>
      </c>
      <c r="G578" s="61">
        <f t="shared" si="326"/>
        <v>0</v>
      </c>
      <c r="H578" s="61">
        <v>2900</v>
      </c>
      <c r="I578" s="61">
        <f>+C578+D578-E578-F578+G578</f>
        <v>2900</v>
      </c>
      <c r="J578" s="9">
        <f t="shared" si="334"/>
        <v>0</v>
      </c>
      <c r="K578" s="45" t="s">
        <v>93</v>
      </c>
      <c r="L578" s="47">
        <v>170000</v>
      </c>
      <c r="M578" s="47">
        <v>10000</v>
      </c>
      <c r="N578" s="47">
        <v>161500</v>
      </c>
      <c r="O578" s="47">
        <v>0</v>
      </c>
    </row>
    <row r="579" spans="1:15" x14ac:dyDescent="0.3">
      <c r="A579" s="58" t="str">
        <f t="shared" si="327"/>
        <v>P29</v>
      </c>
      <c r="B579" s="59" t="s">
        <v>4</v>
      </c>
      <c r="C579" s="61">
        <v>294700</v>
      </c>
      <c r="D579" s="61">
        <f t="shared" si="328"/>
        <v>671000</v>
      </c>
      <c r="E579" s="61">
        <f t="shared" si="329"/>
        <v>525000</v>
      </c>
      <c r="F579" s="61">
        <f t="shared" si="330"/>
        <v>300000</v>
      </c>
      <c r="G579" s="61">
        <f>+O579</f>
        <v>0</v>
      </c>
      <c r="H579" s="61">
        <v>140700</v>
      </c>
      <c r="I579" s="61">
        <f>+C579+D579-E579-F579+G579</f>
        <v>140700</v>
      </c>
      <c r="J579" s="9">
        <f>I579-H579</f>
        <v>0</v>
      </c>
      <c r="K579" s="45" t="s">
        <v>29</v>
      </c>
      <c r="L579" s="47">
        <v>671000</v>
      </c>
      <c r="M579" s="47">
        <v>300000</v>
      </c>
      <c r="N579" s="47">
        <v>525000</v>
      </c>
      <c r="O579" s="47">
        <v>0</v>
      </c>
    </row>
    <row r="580" spans="1:15" x14ac:dyDescent="0.3">
      <c r="A580" s="58" t="str">
        <f t="shared" si="327"/>
        <v>Paule</v>
      </c>
      <c r="B580" s="59" t="s">
        <v>161</v>
      </c>
      <c r="C580" s="61">
        <v>13500</v>
      </c>
      <c r="D580" s="61">
        <f t="shared" si="328"/>
        <v>85000</v>
      </c>
      <c r="E580" s="61">
        <f t="shared" si="329"/>
        <v>89000</v>
      </c>
      <c r="F580" s="61">
        <f t="shared" si="330"/>
        <v>9500</v>
      </c>
      <c r="G580" s="61">
        <f>+O580</f>
        <v>0</v>
      </c>
      <c r="H580" s="61">
        <v>0</v>
      </c>
      <c r="I580" s="61">
        <f>+C580+D580-E580-F580+G580</f>
        <v>0</v>
      </c>
      <c r="J580" s="9">
        <f>I580-H580</f>
        <v>0</v>
      </c>
      <c r="K580" s="45" t="s">
        <v>203</v>
      </c>
      <c r="L580" s="47">
        <v>85000</v>
      </c>
      <c r="M580" s="47">
        <v>9500</v>
      </c>
      <c r="N580" s="47">
        <v>89000</v>
      </c>
      <c r="O580" s="47">
        <v>0</v>
      </c>
    </row>
    <row r="581" spans="1:15" x14ac:dyDescent="0.3">
      <c r="A581" s="58" t="str">
        <f t="shared" si="327"/>
        <v>Tiffany</v>
      </c>
      <c r="B581" s="59" t="s">
        <v>2</v>
      </c>
      <c r="C581" s="61">
        <v>-7259</v>
      </c>
      <c r="D581" s="61">
        <f t="shared" si="328"/>
        <v>329000</v>
      </c>
      <c r="E581" s="61">
        <f t="shared" si="329"/>
        <v>93500</v>
      </c>
      <c r="F581" s="61">
        <f t="shared" si="330"/>
        <v>226000</v>
      </c>
      <c r="G581" s="61">
        <f t="shared" ref="G581" si="335">+O581</f>
        <v>0</v>
      </c>
      <c r="H581" s="61">
        <v>2241</v>
      </c>
      <c r="I581" s="61">
        <f t="shared" ref="I581" si="336">+C581+D581-E581-F581+G581</f>
        <v>2241</v>
      </c>
      <c r="J581" s="9">
        <f t="shared" ref="J581" si="337">I581-H581</f>
        <v>0</v>
      </c>
      <c r="K581" s="45" t="s">
        <v>113</v>
      </c>
      <c r="L581" s="47">
        <v>329000</v>
      </c>
      <c r="M581" s="47">
        <v>226000</v>
      </c>
      <c r="N581" s="47">
        <v>93500</v>
      </c>
      <c r="O581" s="47">
        <v>0</v>
      </c>
    </row>
    <row r="582" spans="1:15" x14ac:dyDescent="0.3">
      <c r="A582" s="58" t="str">
        <f t="shared" ref="A582" si="338">K582</f>
        <v>Yan</v>
      </c>
      <c r="B582" s="59" t="s">
        <v>161</v>
      </c>
      <c r="C582" s="61">
        <v>0</v>
      </c>
      <c r="D582" s="61">
        <f t="shared" ref="D582" si="339">+L582</f>
        <v>349000</v>
      </c>
      <c r="E582" s="61">
        <f t="shared" ref="E582" si="340">+N582</f>
        <v>338500</v>
      </c>
      <c r="F582" s="61">
        <f t="shared" ref="F582" si="341">+M582</f>
        <v>0</v>
      </c>
      <c r="G582" s="61">
        <f t="shared" ref="G582" si="342">+O582</f>
        <v>0</v>
      </c>
      <c r="H582" s="61">
        <v>10500</v>
      </c>
      <c r="I582" s="61">
        <f>+C582+D582-E582-F582+G582</f>
        <v>10500</v>
      </c>
      <c r="J582" s="9">
        <f>I582-H582</f>
        <v>0</v>
      </c>
      <c r="K582" s="45" t="s">
        <v>219</v>
      </c>
      <c r="L582" s="47">
        <v>349000</v>
      </c>
      <c r="M582" s="47">
        <v>0</v>
      </c>
      <c r="N582" s="47">
        <v>338500</v>
      </c>
      <c r="O582" s="47">
        <v>0</v>
      </c>
    </row>
    <row r="583" spans="1:15" x14ac:dyDescent="0.3">
      <c r="A583" s="10" t="s">
        <v>50</v>
      </c>
      <c r="B583" s="11"/>
      <c r="C583" s="12">
        <f t="shared" ref="C583:I583" si="343">SUM(C567:C582)</f>
        <v>22774658</v>
      </c>
      <c r="D583" s="57">
        <f t="shared" si="343"/>
        <v>12834335</v>
      </c>
      <c r="E583" s="57">
        <f t="shared" si="343"/>
        <v>11393660</v>
      </c>
      <c r="F583" s="57">
        <f t="shared" si="343"/>
        <v>12834335</v>
      </c>
      <c r="G583" s="57">
        <f t="shared" si="343"/>
        <v>11963948</v>
      </c>
      <c r="H583" s="57">
        <f t="shared" si="343"/>
        <v>23344946</v>
      </c>
      <c r="I583" s="57">
        <f t="shared" si="343"/>
        <v>23344946</v>
      </c>
      <c r="J583" s="9">
        <f>I583-H583</f>
        <v>0</v>
      </c>
      <c r="K583" s="3"/>
      <c r="L583" s="47">
        <f>+SUM(L567:L582)</f>
        <v>12834335</v>
      </c>
      <c r="M583" s="47">
        <f>+SUM(M567:M582)</f>
        <v>12834335</v>
      </c>
      <c r="N583" s="47">
        <f>+SUM(N567:N582)</f>
        <v>11393660</v>
      </c>
      <c r="O583" s="47">
        <f>+SUM(O567:O581)</f>
        <v>11963948</v>
      </c>
    </row>
    <row r="584" spans="1:15" x14ac:dyDescent="0.3">
      <c r="A584" s="10"/>
      <c r="B584" s="11"/>
      <c r="C584" s="12"/>
      <c r="D584" s="13"/>
      <c r="E584" s="12"/>
      <c r="F584" s="13"/>
      <c r="G584" s="12"/>
      <c r="H584" s="12"/>
      <c r="I584" s="134" t="b">
        <f>I583=D586</f>
        <v>1</v>
      </c>
      <c r="L584" s="5"/>
      <c r="M584" s="5"/>
      <c r="N584" s="5"/>
      <c r="O584" s="5"/>
    </row>
    <row r="585" spans="1:15" x14ac:dyDescent="0.3">
      <c r="A585" s="10" t="s">
        <v>217</v>
      </c>
      <c r="B585" s="11" t="s">
        <v>216</v>
      </c>
      <c r="C585" s="12" t="s">
        <v>215</v>
      </c>
      <c r="D585" s="12" t="s">
        <v>222</v>
      </c>
      <c r="E585" s="12" t="s">
        <v>51</v>
      </c>
      <c r="F585" s="12"/>
      <c r="G585" s="12">
        <f>+D583-F583</f>
        <v>0</v>
      </c>
      <c r="H585" s="12"/>
      <c r="I585" s="12"/>
    </row>
    <row r="586" spans="1:15" x14ac:dyDescent="0.3">
      <c r="A586" s="14">
        <f>C583</f>
        <v>22774658</v>
      </c>
      <c r="B586" s="15">
        <f>G583</f>
        <v>11963948</v>
      </c>
      <c r="C586" s="12">
        <f>E583</f>
        <v>11393660</v>
      </c>
      <c r="D586" s="12">
        <f>A586+B586-C586</f>
        <v>23344946</v>
      </c>
      <c r="E586" s="13">
        <f>I583-D586</f>
        <v>0</v>
      </c>
      <c r="F586" s="12"/>
      <c r="G586" s="12"/>
      <c r="H586" s="12"/>
      <c r="I586" s="12"/>
    </row>
    <row r="587" spans="1:15" x14ac:dyDescent="0.3">
      <c r="A587" s="14"/>
      <c r="B587" s="15"/>
      <c r="C587" s="12"/>
      <c r="D587" s="12"/>
      <c r="E587" s="13"/>
      <c r="F587" s="12"/>
      <c r="G587" s="12"/>
      <c r="H587" s="12"/>
      <c r="I587" s="12"/>
    </row>
    <row r="588" spans="1:15" x14ac:dyDescent="0.3">
      <c r="A588" s="16" t="s">
        <v>52</v>
      </c>
      <c r="B588" s="16"/>
      <c r="C588" s="16"/>
      <c r="D588" s="17"/>
      <c r="E588" s="17"/>
      <c r="F588" s="17"/>
      <c r="G588" s="17"/>
      <c r="H588" s="17"/>
      <c r="I588" s="17"/>
    </row>
    <row r="589" spans="1:15" x14ac:dyDescent="0.3">
      <c r="A589" s="18" t="s">
        <v>223</v>
      </c>
      <c r="B589" s="18"/>
      <c r="C589" s="18"/>
      <c r="D589" s="18"/>
      <c r="E589" s="18"/>
      <c r="F589" s="18"/>
      <c r="G589" s="18"/>
      <c r="H589" s="18"/>
      <c r="I589" s="18"/>
      <c r="J589" s="18"/>
    </row>
    <row r="590" spans="1:15" x14ac:dyDescent="0.3">
      <c r="A590" s="19"/>
      <c r="B590" s="17"/>
      <c r="C590" s="20"/>
      <c r="D590" s="20"/>
      <c r="E590" s="20"/>
      <c r="F590" s="20"/>
      <c r="G590" s="20"/>
      <c r="H590" s="17"/>
      <c r="I590" s="17"/>
    </row>
    <row r="591" spans="1:15" x14ac:dyDescent="0.3">
      <c r="A591" s="170" t="s">
        <v>53</v>
      </c>
      <c r="B591" s="172" t="s">
        <v>54</v>
      </c>
      <c r="C591" s="174" t="s">
        <v>218</v>
      </c>
      <c r="D591" s="175" t="s">
        <v>55</v>
      </c>
      <c r="E591" s="176"/>
      <c r="F591" s="176"/>
      <c r="G591" s="177"/>
      <c r="H591" s="178" t="s">
        <v>56</v>
      </c>
      <c r="I591" s="166" t="s">
        <v>57</v>
      </c>
      <c r="J591" s="17"/>
    </row>
    <row r="592" spans="1:15" ht="28.5" customHeight="1" x14ac:dyDescent="0.3">
      <c r="A592" s="171"/>
      <c r="B592" s="173"/>
      <c r="C592" s="22"/>
      <c r="D592" s="21" t="s">
        <v>24</v>
      </c>
      <c r="E592" s="21" t="s">
        <v>25</v>
      </c>
      <c r="F592" s="22" t="s">
        <v>123</v>
      </c>
      <c r="G592" s="21" t="s">
        <v>58</v>
      </c>
      <c r="H592" s="179"/>
      <c r="I592" s="167"/>
      <c r="J592" s="168" t="s">
        <v>221</v>
      </c>
      <c r="K592" s="143"/>
    </row>
    <row r="593" spans="1:11" x14ac:dyDescent="0.3">
      <c r="A593" s="23"/>
      <c r="B593" s="24" t="s">
        <v>59</v>
      </c>
      <c r="C593" s="25"/>
      <c r="D593" s="25"/>
      <c r="E593" s="25"/>
      <c r="F593" s="25"/>
      <c r="G593" s="25"/>
      <c r="H593" s="25"/>
      <c r="I593" s="26"/>
      <c r="J593" s="169"/>
      <c r="K593" s="143"/>
    </row>
    <row r="594" spans="1:11" x14ac:dyDescent="0.3">
      <c r="A594" s="122" t="s">
        <v>134</v>
      </c>
      <c r="B594" s="127" t="s">
        <v>47</v>
      </c>
      <c r="C594" s="32">
        <f>+C570</f>
        <v>21850</v>
      </c>
      <c r="D594" s="31"/>
      <c r="E594" s="32">
        <f>+D570</f>
        <v>1282000</v>
      </c>
      <c r="F594" s="32"/>
      <c r="G594" s="32"/>
      <c r="H594" s="55">
        <f t="shared" ref="H594:H606" si="344">+F570</f>
        <v>0</v>
      </c>
      <c r="I594" s="32">
        <f t="shared" ref="I594:I606" si="345">+E570</f>
        <v>1288100</v>
      </c>
      <c r="J594" s="30">
        <f t="shared" ref="J594:J595" si="346">+SUM(C594:G594)-(H594+I594)</f>
        <v>15750</v>
      </c>
      <c r="K594" s="144" t="b">
        <f t="shared" ref="K594:K606" si="347">J594=I570</f>
        <v>1</v>
      </c>
    </row>
    <row r="595" spans="1:11" x14ac:dyDescent="0.3">
      <c r="A595" s="122" t="str">
        <f>+A594</f>
        <v>MAI</v>
      </c>
      <c r="B595" s="127" t="s">
        <v>31</v>
      </c>
      <c r="C595" s="32">
        <f t="shared" ref="C595:C596" si="348">+C571</f>
        <v>7995</v>
      </c>
      <c r="D595" s="31"/>
      <c r="E595" s="32">
        <f t="shared" ref="E595:E596" si="349">+D571</f>
        <v>262000</v>
      </c>
      <c r="F595" s="32"/>
      <c r="G595" s="32"/>
      <c r="H595" s="55">
        <f t="shared" si="344"/>
        <v>0</v>
      </c>
      <c r="I595" s="32">
        <f t="shared" si="345"/>
        <v>261200</v>
      </c>
      <c r="J595" s="101">
        <f t="shared" si="346"/>
        <v>8795</v>
      </c>
      <c r="K595" s="144" t="b">
        <f t="shared" si="347"/>
        <v>1</v>
      </c>
    </row>
    <row r="596" spans="1:11" x14ac:dyDescent="0.3">
      <c r="A596" s="122" t="str">
        <f t="shared" ref="A596:A601" si="350">+A595</f>
        <v>MAI</v>
      </c>
      <c r="B596" s="128" t="s">
        <v>151</v>
      </c>
      <c r="C596" s="32">
        <f t="shared" si="348"/>
        <v>156335</v>
      </c>
      <c r="D596" s="119"/>
      <c r="E596" s="32">
        <f t="shared" si="349"/>
        <v>307000</v>
      </c>
      <c r="F596" s="51"/>
      <c r="G596" s="51"/>
      <c r="H596" s="55">
        <f t="shared" si="344"/>
        <v>154835</v>
      </c>
      <c r="I596" s="32">
        <f t="shared" si="345"/>
        <v>308500</v>
      </c>
      <c r="J596" s="124">
        <f>+SUM(C596:G596)-(H596+I596)</f>
        <v>0</v>
      </c>
      <c r="K596" s="144" t="b">
        <f t="shared" si="347"/>
        <v>1</v>
      </c>
    </row>
    <row r="597" spans="1:11" x14ac:dyDescent="0.3">
      <c r="A597" s="122" t="str">
        <f t="shared" si="350"/>
        <v>MAI</v>
      </c>
      <c r="B597" s="129" t="s">
        <v>84</v>
      </c>
      <c r="C597" s="120">
        <f>+C573</f>
        <v>233614</v>
      </c>
      <c r="D597" s="123"/>
      <c r="E597" s="120">
        <f>+D573</f>
        <v>0</v>
      </c>
      <c r="F597" s="137"/>
      <c r="G597" s="137"/>
      <c r="H597" s="155">
        <f t="shared" si="344"/>
        <v>0</v>
      </c>
      <c r="I597" s="120">
        <f t="shared" si="345"/>
        <v>0</v>
      </c>
      <c r="J597" s="121">
        <f>+SUM(C597:G597)-(H597+I597)</f>
        <v>233614</v>
      </c>
      <c r="K597" s="144" t="b">
        <f t="shared" si="347"/>
        <v>1</v>
      </c>
    </row>
    <row r="598" spans="1:11" x14ac:dyDescent="0.3">
      <c r="A598" s="122" t="str">
        <f t="shared" si="350"/>
        <v>MAI</v>
      </c>
      <c r="B598" s="129" t="s">
        <v>83</v>
      </c>
      <c r="C598" s="120">
        <f>+C574</f>
        <v>249769</v>
      </c>
      <c r="D598" s="123"/>
      <c r="E598" s="120">
        <f>+D574</f>
        <v>0</v>
      </c>
      <c r="F598" s="137"/>
      <c r="G598" s="137"/>
      <c r="H598" s="155">
        <f t="shared" si="344"/>
        <v>0</v>
      </c>
      <c r="I598" s="120">
        <f t="shared" si="345"/>
        <v>0</v>
      </c>
      <c r="J598" s="121">
        <f t="shared" ref="J598:J606" si="351">+SUM(C598:G598)-(H598+I598)</f>
        <v>249769</v>
      </c>
      <c r="K598" s="144" t="b">
        <f t="shared" si="347"/>
        <v>1</v>
      </c>
    </row>
    <row r="599" spans="1:11" x14ac:dyDescent="0.3">
      <c r="A599" s="122" t="str">
        <f t="shared" si="350"/>
        <v>MAI</v>
      </c>
      <c r="B599" s="127" t="s">
        <v>150</v>
      </c>
      <c r="C599" s="32">
        <f>+C575</f>
        <v>10200</v>
      </c>
      <c r="D599" s="31"/>
      <c r="E599" s="32">
        <f>+D575</f>
        <v>25000</v>
      </c>
      <c r="F599" s="32"/>
      <c r="G599" s="104"/>
      <c r="H599" s="55">
        <f t="shared" si="344"/>
        <v>0</v>
      </c>
      <c r="I599" s="32">
        <f t="shared" si="345"/>
        <v>20500</v>
      </c>
      <c r="J599" s="30">
        <f t="shared" si="351"/>
        <v>14700</v>
      </c>
      <c r="K599" s="144" t="b">
        <f t="shared" si="347"/>
        <v>1</v>
      </c>
    </row>
    <row r="600" spans="1:11" x14ac:dyDescent="0.3">
      <c r="A600" s="122" t="str">
        <f t="shared" si="350"/>
        <v>MAI</v>
      </c>
      <c r="B600" s="127" t="s">
        <v>204</v>
      </c>
      <c r="C600" s="32">
        <f t="shared" ref="C600:C603" si="352">+C576</f>
        <v>43500</v>
      </c>
      <c r="D600" s="31"/>
      <c r="E600" s="32">
        <f t="shared" ref="E600:E606" si="353">+D576</f>
        <v>701000</v>
      </c>
      <c r="F600" s="32"/>
      <c r="G600" s="104"/>
      <c r="H600" s="55">
        <f t="shared" si="344"/>
        <v>0</v>
      </c>
      <c r="I600" s="32">
        <f t="shared" si="345"/>
        <v>697550</v>
      </c>
      <c r="J600" s="30">
        <f t="shared" si="351"/>
        <v>46950</v>
      </c>
      <c r="K600" s="144" t="b">
        <f t="shared" si="347"/>
        <v>1</v>
      </c>
    </row>
    <row r="601" spans="1:11" x14ac:dyDescent="0.3">
      <c r="A601" s="122" t="str">
        <f t="shared" si="350"/>
        <v>MAI</v>
      </c>
      <c r="B601" s="127" t="s">
        <v>30</v>
      </c>
      <c r="C601" s="32">
        <f t="shared" si="352"/>
        <v>177550</v>
      </c>
      <c r="D601" s="31"/>
      <c r="E601" s="32">
        <f t="shared" si="353"/>
        <v>969000</v>
      </c>
      <c r="F601" s="32"/>
      <c r="G601" s="104"/>
      <c r="H601" s="55">
        <f t="shared" si="344"/>
        <v>220000</v>
      </c>
      <c r="I601" s="32">
        <f t="shared" si="345"/>
        <v>814500</v>
      </c>
      <c r="J601" s="30">
        <f t="shared" si="351"/>
        <v>112050</v>
      </c>
      <c r="K601" s="144" t="b">
        <f t="shared" si="347"/>
        <v>1</v>
      </c>
    </row>
    <row r="602" spans="1:11" x14ac:dyDescent="0.3">
      <c r="A602" s="122" t="str">
        <f>+A600</f>
        <v>MAI</v>
      </c>
      <c r="B602" s="127" t="s">
        <v>93</v>
      </c>
      <c r="C602" s="32">
        <f t="shared" si="352"/>
        <v>4400</v>
      </c>
      <c r="D602" s="31"/>
      <c r="E602" s="32">
        <f t="shared" si="353"/>
        <v>170000</v>
      </c>
      <c r="F602" s="32"/>
      <c r="G602" s="104"/>
      <c r="H602" s="55">
        <f t="shared" si="344"/>
        <v>10000</v>
      </c>
      <c r="I602" s="32">
        <f t="shared" si="345"/>
        <v>161500</v>
      </c>
      <c r="J602" s="30">
        <f t="shared" si="351"/>
        <v>2900</v>
      </c>
      <c r="K602" s="144" t="b">
        <f t="shared" si="347"/>
        <v>1</v>
      </c>
    </row>
    <row r="603" spans="1:11" x14ac:dyDescent="0.3">
      <c r="A603" s="122" t="str">
        <f>+A601</f>
        <v>MAI</v>
      </c>
      <c r="B603" s="127" t="s">
        <v>29</v>
      </c>
      <c r="C603" s="32">
        <f t="shared" si="352"/>
        <v>294700</v>
      </c>
      <c r="D603" s="31"/>
      <c r="E603" s="32">
        <f t="shared" si="353"/>
        <v>671000</v>
      </c>
      <c r="F603" s="32"/>
      <c r="G603" s="104"/>
      <c r="H603" s="55">
        <f t="shared" si="344"/>
        <v>300000</v>
      </c>
      <c r="I603" s="32">
        <f t="shared" si="345"/>
        <v>525000</v>
      </c>
      <c r="J603" s="30">
        <f t="shared" si="351"/>
        <v>140700</v>
      </c>
      <c r="K603" s="144" t="b">
        <f t="shared" si="347"/>
        <v>1</v>
      </c>
    </row>
    <row r="604" spans="1:11" x14ac:dyDescent="0.3">
      <c r="A604" s="122" t="str">
        <f>+A602</f>
        <v>MAI</v>
      </c>
      <c r="B604" s="127" t="s">
        <v>203</v>
      </c>
      <c r="C604" s="32">
        <f>+C580</f>
        <v>13500</v>
      </c>
      <c r="D604" s="31"/>
      <c r="E604" s="32">
        <f t="shared" si="353"/>
        <v>85000</v>
      </c>
      <c r="F604" s="32"/>
      <c r="G604" s="104"/>
      <c r="H604" s="55">
        <f t="shared" si="344"/>
        <v>9500</v>
      </c>
      <c r="I604" s="32">
        <f t="shared" si="345"/>
        <v>89000</v>
      </c>
      <c r="J604" s="30">
        <f t="shared" si="351"/>
        <v>0</v>
      </c>
      <c r="K604" s="144" t="b">
        <f t="shared" si="347"/>
        <v>1</v>
      </c>
    </row>
    <row r="605" spans="1:11" x14ac:dyDescent="0.3">
      <c r="A605" s="122" t="str">
        <f>+A602</f>
        <v>MAI</v>
      </c>
      <c r="B605" s="128" t="s">
        <v>113</v>
      </c>
      <c r="C605" s="32">
        <f t="shared" ref="C605:C606" si="354">+C581</f>
        <v>-7259</v>
      </c>
      <c r="D605" s="119"/>
      <c r="E605" s="32">
        <f t="shared" si="353"/>
        <v>329000</v>
      </c>
      <c r="F605" s="51"/>
      <c r="G605" s="138"/>
      <c r="H605" s="55">
        <f t="shared" si="344"/>
        <v>226000</v>
      </c>
      <c r="I605" s="32">
        <f t="shared" si="345"/>
        <v>93500</v>
      </c>
      <c r="J605" s="30">
        <f t="shared" si="351"/>
        <v>2241</v>
      </c>
      <c r="K605" s="144" t="b">
        <f t="shared" si="347"/>
        <v>1</v>
      </c>
    </row>
    <row r="606" spans="1:11" x14ac:dyDescent="0.3">
      <c r="A606" s="122" t="str">
        <f>+A603</f>
        <v>MAI</v>
      </c>
      <c r="B606" s="128" t="s">
        <v>219</v>
      </c>
      <c r="C606" s="32">
        <f t="shared" si="354"/>
        <v>0</v>
      </c>
      <c r="D606" s="119"/>
      <c r="E606" s="32">
        <f t="shared" si="353"/>
        <v>349000</v>
      </c>
      <c r="F606" s="51"/>
      <c r="G606" s="138"/>
      <c r="H606" s="55">
        <f t="shared" si="344"/>
        <v>0</v>
      </c>
      <c r="I606" s="32">
        <f t="shared" si="345"/>
        <v>338500</v>
      </c>
      <c r="J606" s="30">
        <f t="shared" si="351"/>
        <v>10500</v>
      </c>
      <c r="K606" s="144" t="b">
        <f t="shared" si="347"/>
        <v>1</v>
      </c>
    </row>
    <row r="607" spans="1:11" x14ac:dyDescent="0.3">
      <c r="A607" s="34" t="s">
        <v>60</v>
      </c>
      <c r="B607" s="35"/>
      <c r="C607" s="35"/>
      <c r="D607" s="35"/>
      <c r="E607" s="35"/>
      <c r="F607" s="35"/>
      <c r="G607" s="35"/>
      <c r="H607" s="35"/>
      <c r="I607" s="35"/>
      <c r="J607" s="36"/>
      <c r="K607" s="143"/>
    </row>
    <row r="608" spans="1:11" x14ac:dyDescent="0.3">
      <c r="A608" s="122" t="str">
        <f>+A606</f>
        <v>MAI</v>
      </c>
      <c r="B608" s="37" t="s">
        <v>61</v>
      </c>
      <c r="C608" s="38">
        <f>+C569</f>
        <v>963113</v>
      </c>
      <c r="D608" s="49"/>
      <c r="E608" s="49">
        <f>D569</f>
        <v>7684335</v>
      </c>
      <c r="F608" s="49"/>
      <c r="G608" s="125"/>
      <c r="H608" s="51">
        <f>+F569</f>
        <v>4914000</v>
      </c>
      <c r="I608" s="126">
        <f>+E569</f>
        <v>2033042</v>
      </c>
      <c r="J608" s="30">
        <f>+SUM(C608:G608)-(H608+I608)</f>
        <v>1700406</v>
      </c>
      <c r="K608" s="144" t="b">
        <f>J608=I569</f>
        <v>1</v>
      </c>
    </row>
    <row r="609" spans="1:16" x14ac:dyDescent="0.3">
      <c r="A609" s="43" t="s">
        <v>62</v>
      </c>
      <c r="B609" s="24"/>
      <c r="C609" s="35"/>
      <c r="D609" s="24"/>
      <c r="E609" s="24"/>
      <c r="F609" s="24"/>
      <c r="G609" s="24"/>
      <c r="H609" s="24"/>
      <c r="I609" s="24"/>
      <c r="J609" s="36"/>
      <c r="K609" s="143"/>
    </row>
    <row r="610" spans="1:16" x14ac:dyDescent="0.3">
      <c r="A610" s="122" t="str">
        <f>+A608</f>
        <v>MAI</v>
      </c>
      <c r="B610" s="37" t="s">
        <v>163</v>
      </c>
      <c r="C610" s="125">
        <f>+C567</f>
        <v>4154435</v>
      </c>
      <c r="D610" s="132">
        <f>+G567</f>
        <v>11963948</v>
      </c>
      <c r="E610" s="49"/>
      <c r="F610" s="49"/>
      <c r="G610" s="49"/>
      <c r="H610" s="51">
        <f>+F567</f>
        <v>7000000</v>
      </c>
      <c r="I610" s="53">
        <f>+E567</f>
        <v>543345</v>
      </c>
      <c r="J610" s="30">
        <f>+SUM(C610:G610)-(H610+I610)</f>
        <v>8575038</v>
      </c>
      <c r="K610" s="144" t="b">
        <f>+J610=I567</f>
        <v>1</v>
      </c>
    </row>
    <row r="611" spans="1:16" x14ac:dyDescent="0.3">
      <c r="A611" s="122" t="str">
        <f t="shared" ref="A611" si="355">+A610</f>
        <v>MAI</v>
      </c>
      <c r="B611" s="37" t="s">
        <v>64</v>
      </c>
      <c r="C611" s="125">
        <f>+C568</f>
        <v>16450956</v>
      </c>
      <c r="D611" s="49">
        <f>+G568</f>
        <v>0</v>
      </c>
      <c r="E611" s="48"/>
      <c r="F611" s="48"/>
      <c r="G611" s="48"/>
      <c r="H611" s="32">
        <f>+F568</f>
        <v>0</v>
      </c>
      <c r="I611" s="50">
        <f>+E568</f>
        <v>4219423</v>
      </c>
      <c r="J611" s="30">
        <f>SUM(C611:G611)-(H611+I611)</f>
        <v>12231533</v>
      </c>
      <c r="K611" s="144" t="b">
        <f>+J611=I568</f>
        <v>1</v>
      </c>
    </row>
    <row r="612" spans="1:16" ht="15.6" x14ac:dyDescent="0.3">
      <c r="C612" s="141">
        <f>SUM(C594:C611)</f>
        <v>22774658</v>
      </c>
      <c r="I612" s="140">
        <f>SUM(I594:I611)</f>
        <v>11393660</v>
      </c>
      <c r="J612" s="105">
        <f>+SUM(J594:J611)</f>
        <v>23344946</v>
      </c>
      <c r="K612" s="5" t="b">
        <f>J612=I583</f>
        <v>1</v>
      </c>
    </row>
    <row r="613" spans="1:16" ht="15.6" x14ac:dyDescent="0.3">
      <c r="A613" s="161"/>
      <c r="B613" s="161"/>
      <c r="C613" s="162"/>
      <c r="D613" s="161"/>
      <c r="E613" s="161"/>
      <c r="F613" s="161"/>
      <c r="G613" s="161"/>
      <c r="H613" s="161"/>
      <c r="I613" s="163"/>
      <c r="J613" s="164"/>
      <c r="K613" s="161"/>
      <c r="L613" s="165"/>
      <c r="M613" s="165"/>
      <c r="N613" s="165"/>
      <c r="O613" s="165"/>
      <c r="P613" s="161"/>
    </row>
    <row r="615" spans="1:16" ht="15.6" x14ac:dyDescent="0.3">
      <c r="A615" s="6" t="s">
        <v>36</v>
      </c>
      <c r="B615" s="6" t="s">
        <v>1</v>
      </c>
      <c r="C615" s="6">
        <v>44652</v>
      </c>
      <c r="D615" s="7" t="s">
        <v>37</v>
      </c>
      <c r="E615" s="7" t="s">
        <v>38</v>
      </c>
      <c r="F615" s="7" t="s">
        <v>39</v>
      </c>
      <c r="G615" s="7" t="s">
        <v>40</v>
      </c>
      <c r="H615" s="6">
        <v>44681</v>
      </c>
      <c r="I615" s="7" t="s">
        <v>41</v>
      </c>
      <c r="K615" s="45"/>
      <c r="L615" s="45" t="s">
        <v>42</v>
      </c>
      <c r="M615" s="45" t="s">
        <v>43</v>
      </c>
      <c r="N615" s="45" t="s">
        <v>44</v>
      </c>
      <c r="O615" s="45" t="s">
        <v>45</v>
      </c>
    </row>
    <row r="616" spans="1:16" x14ac:dyDescent="0.3">
      <c r="A616" s="58" t="str">
        <f>K616</f>
        <v>BCI</v>
      </c>
      <c r="B616" s="59" t="s">
        <v>46</v>
      </c>
      <c r="C616" s="61">
        <v>9177780</v>
      </c>
      <c r="D616" s="61">
        <f>+L616</f>
        <v>0</v>
      </c>
      <c r="E616" s="61">
        <f>+N616</f>
        <v>23345</v>
      </c>
      <c r="F616" s="61">
        <f>+M616</f>
        <v>5000000</v>
      </c>
      <c r="G616" s="61">
        <f t="shared" ref="G616:G627" si="356">+O616</f>
        <v>0</v>
      </c>
      <c r="H616" s="61">
        <v>4154435</v>
      </c>
      <c r="I616" s="61">
        <f>+C616+D616-E616-F616+G616</f>
        <v>4154435</v>
      </c>
      <c r="J616" s="9">
        <f>I616-H616</f>
        <v>0</v>
      </c>
      <c r="K616" s="45" t="s">
        <v>24</v>
      </c>
      <c r="L616" s="47">
        <v>0</v>
      </c>
      <c r="M616" s="47">
        <v>5000000</v>
      </c>
      <c r="N616" s="47">
        <v>23345</v>
      </c>
      <c r="O616" s="47">
        <v>0</v>
      </c>
    </row>
    <row r="617" spans="1:16" x14ac:dyDescent="0.3">
      <c r="A617" s="58" t="str">
        <f t="shared" ref="A617:A630" si="357">K617</f>
        <v>BCI-Sous Compte</v>
      </c>
      <c r="B617" s="59" t="s">
        <v>46</v>
      </c>
      <c r="C617" s="61">
        <v>21521261</v>
      </c>
      <c r="D617" s="61">
        <f t="shared" ref="D617:D630" si="358">+L617</f>
        <v>0</v>
      </c>
      <c r="E617" s="61">
        <f t="shared" ref="E617:E630" si="359">+N617</f>
        <v>5070305</v>
      </c>
      <c r="F617" s="61">
        <f t="shared" ref="F617:F630" si="360">+M617</f>
        <v>0</v>
      </c>
      <c r="G617" s="61">
        <f t="shared" si="356"/>
        <v>0</v>
      </c>
      <c r="H617" s="61">
        <v>16450956</v>
      </c>
      <c r="I617" s="61">
        <f>+C617+D617-E617-F617+G617</f>
        <v>16450956</v>
      </c>
      <c r="J617" s="9">
        <f t="shared" ref="J617:J624" si="361">I617-H617</f>
        <v>0</v>
      </c>
      <c r="K617" s="45" t="s">
        <v>155</v>
      </c>
      <c r="L617" s="47">
        <v>0</v>
      </c>
      <c r="M617" s="47">
        <v>0</v>
      </c>
      <c r="N617" s="47">
        <v>5070305</v>
      </c>
      <c r="O617" s="47">
        <v>0</v>
      </c>
    </row>
    <row r="618" spans="1:16" x14ac:dyDescent="0.3">
      <c r="A618" s="58" t="str">
        <f t="shared" si="357"/>
        <v>Caisse</v>
      </c>
      <c r="B618" s="59" t="s">
        <v>25</v>
      </c>
      <c r="C618" s="61">
        <v>1160022</v>
      </c>
      <c r="D618" s="61">
        <f t="shared" si="358"/>
        <v>5100000</v>
      </c>
      <c r="E618" s="61">
        <f t="shared" si="359"/>
        <v>1822909</v>
      </c>
      <c r="F618" s="61">
        <f t="shared" si="360"/>
        <v>3474000</v>
      </c>
      <c r="G618" s="61">
        <f t="shared" si="356"/>
        <v>0</v>
      </c>
      <c r="H618" s="61">
        <v>963113</v>
      </c>
      <c r="I618" s="61">
        <f>+C618+D618-E618-F618+G618</f>
        <v>963113</v>
      </c>
      <c r="J618" s="102">
        <f t="shared" si="361"/>
        <v>0</v>
      </c>
      <c r="K618" s="45" t="s">
        <v>25</v>
      </c>
      <c r="L618" s="47">
        <v>5100000</v>
      </c>
      <c r="M618" s="47">
        <v>3474000</v>
      </c>
      <c r="N618" s="47">
        <v>1822909</v>
      </c>
      <c r="O618" s="47">
        <v>0</v>
      </c>
    </row>
    <row r="619" spans="1:16" x14ac:dyDescent="0.3">
      <c r="A619" s="58" t="str">
        <f t="shared" si="357"/>
        <v>Crépin</v>
      </c>
      <c r="B619" s="59" t="s">
        <v>161</v>
      </c>
      <c r="C619" s="61">
        <v>22050</v>
      </c>
      <c r="D619" s="61">
        <f t="shared" si="358"/>
        <v>462000</v>
      </c>
      <c r="E619" s="61">
        <f t="shared" si="359"/>
        <v>462200</v>
      </c>
      <c r="F619" s="61">
        <f t="shared" si="360"/>
        <v>0</v>
      </c>
      <c r="G619" s="61">
        <f t="shared" si="356"/>
        <v>0</v>
      </c>
      <c r="H619" s="61">
        <v>21850</v>
      </c>
      <c r="I619" s="61">
        <f>+C619+D619-E619-F619+G619</f>
        <v>21850</v>
      </c>
      <c r="J619" s="9">
        <f t="shared" si="361"/>
        <v>0</v>
      </c>
      <c r="K619" s="45" t="s">
        <v>47</v>
      </c>
      <c r="L619" s="47">
        <v>462000</v>
      </c>
      <c r="M619" s="47">
        <v>0</v>
      </c>
      <c r="N619" s="47">
        <v>462200</v>
      </c>
      <c r="O619" s="47">
        <v>0</v>
      </c>
    </row>
    <row r="620" spans="1:16" x14ac:dyDescent="0.3">
      <c r="A620" s="58" t="str">
        <f t="shared" si="357"/>
        <v>Evariste</v>
      </c>
      <c r="B620" s="59" t="s">
        <v>162</v>
      </c>
      <c r="C620" s="61">
        <v>13995</v>
      </c>
      <c r="D620" s="61">
        <f t="shared" si="358"/>
        <v>30000</v>
      </c>
      <c r="E620" s="61">
        <f t="shared" si="359"/>
        <v>36000</v>
      </c>
      <c r="F620" s="61">
        <f t="shared" si="360"/>
        <v>0</v>
      </c>
      <c r="G620" s="61">
        <f t="shared" si="356"/>
        <v>0</v>
      </c>
      <c r="H620" s="61">
        <v>7995</v>
      </c>
      <c r="I620" s="61">
        <f t="shared" ref="I620" si="362">+C620+D620-E620-F620+G620</f>
        <v>7995</v>
      </c>
      <c r="J620" s="9">
        <f t="shared" si="361"/>
        <v>0</v>
      </c>
      <c r="K620" s="45" t="s">
        <v>31</v>
      </c>
      <c r="L620" s="47">
        <v>30000</v>
      </c>
      <c r="M620" s="47">
        <v>0</v>
      </c>
      <c r="N620" s="47">
        <v>36000</v>
      </c>
      <c r="O620" s="47">
        <v>0</v>
      </c>
    </row>
    <row r="621" spans="1:16" x14ac:dyDescent="0.3">
      <c r="A621" s="58" t="str">
        <f t="shared" si="357"/>
        <v>Godfré</v>
      </c>
      <c r="B621" s="59" t="s">
        <v>161</v>
      </c>
      <c r="C621" s="61">
        <v>36485</v>
      </c>
      <c r="D621" s="61">
        <f t="shared" si="358"/>
        <v>486000</v>
      </c>
      <c r="E621" s="61">
        <f t="shared" si="359"/>
        <v>366150</v>
      </c>
      <c r="F621" s="61">
        <f t="shared" si="360"/>
        <v>0</v>
      </c>
      <c r="G621" s="61">
        <f t="shared" si="356"/>
        <v>0</v>
      </c>
      <c r="H621" s="61">
        <v>156335</v>
      </c>
      <c r="I621" s="61">
        <f>+C621+D621-E621-F621+G621</f>
        <v>156335</v>
      </c>
      <c r="J621" s="9">
        <f t="shared" si="361"/>
        <v>0</v>
      </c>
      <c r="K621" s="45" t="s">
        <v>151</v>
      </c>
      <c r="L621" s="47">
        <v>486000</v>
      </c>
      <c r="M621" s="47">
        <v>0</v>
      </c>
      <c r="N621" s="47">
        <v>366150</v>
      </c>
      <c r="O621" s="47">
        <v>0</v>
      </c>
    </row>
    <row r="622" spans="1:16" x14ac:dyDescent="0.3">
      <c r="A622" s="58" t="str">
        <f t="shared" si="357"/>
        <v>I55S</v>
      </c>
      <c r="B622" s="116" t="s">
        <v>4</v>
      </c>
      <c r="C622" s="118">
        <v>233614</v>
      </c>
      <c r="D622" s="118">
        <f t="shared" si="358"/>
        <v>0</v>
      </c>
      <c r="E622" s="118">
        <f t="shared" si="359"/>
        <v>0</v>
      </c>
      <c r="F622" s="118">
        <f t="shared" si="360"/>
        <v>0</v>
      </c>
      <c r="G622" s="118">
        <f t="shared" si="356"/>
        <v>0</v>
      </c>
      <c r="H622" s="118">
        <v>233614</v>
      </c>
      <c r="I622" s="118">
        <f>+C622+D622-E622-F622+G622</f>
        <v>233614</v>
      </c>
      <c r="J622" s="9">
        <f t="shared" si="361"/>
        <v>0</v>
      </c>
      <c r="K622" s="45" t="s">
        <v>84</v>
      </c>
      <c r="L622" s="47">
        <v>0</v>
      </c>
      <c r="M622" s="47">
        <v>0</v>
      </c>
      <c r="N622" s="47">
        <v>0</v>
      </c>
      <c r="O622" s="47">
        <v>0</v>
      </c>
    </row>
    <row r="623" spans="1:16" x14ac:dyDescent="0.3">
      <c r="A623" s="58" t="str">
        <f t="shared" si="357"/>
        <v>I73X</v>
      </c>
      <c r="B623" s="116" t="s">
        <v>4</v>
      </c>
      <c r="C623" s="118">
        <v>249769</v>
      </c>
      <c r="D623" s="118">
        <f t="shared" si="358"/>
        <v>0</v>
      </c>
      <c r="E623" s="118">
        <f t="shared" si="359"/>
        <v>0</v>
      </c>
      <c r="F623" s="118">
        <f t="shared" si="360"/>
        <v>0</v>
      </c>
      <c r="G623" s="118">
        <f t="shared" si="356"/>
        <v>0</v>
      </c>
      <c r="H623" s="118">
        <v>249769</v>
      </c>
      <c r="I623" s="118">
        <f t="shared" ref="I623:I626" si="363">+C623+D623-E623-F623+G623</f>
        <v>249769</v>
      </c>
      <c r="J623" s="9">
        <f t="shared" si="361"/>
        <v>0</v>
      </c>
      <c r="K623" s="45" t="s">
        <v>83</v>
      </c>
      <c r="L623" s="47">
        <v>0</v>
      </c>
      <c r="M623" s="47">
        <v>0</v>
      </c>
      <c r="N623" s="47">
        <v>0</v>
      </c>
      <c r="O623" s="47">
        <v>0</v>
      </c>
    </row>
    <row r="624" spans="1:16" x14ac:dyDescent="0.3">
      <c r="A624" s="58" t="str">
        <f t="shared" si="357"/>
        <v>Grace</v>
      </c>
      <c r="B624" s="98" t="s">
        <v>2</v>
      </c>
      <c r="C624" s="61">
        <v>10700</v>
      </c>
      <c r="D624" s="61">
        <f t="shared" si="358"/>
        <v>10000</v>
      </c>
      <c r="E624" s="61">
        <f t="shared" si="359"/>
        <v>10500</v>
      </c>
      <c r="F624" s="61">
        <f t="shared" si="360"/>
        <v>0</v>
      </c>
      <c r="G624" s="61">
        <f t="shared" si="356"/>
        <v>0</v>
      </c>
      <c r="H624" s="61">
        <v>10200</v>
      </c>
      <c r="I624" s="61">
        <f t="shared" si="363"/>
        <v>10200</v>
      </c>
      <c r="J624" s="9">
        <f t="shared" si="361"/>
        <v>0</v>
      </c>
      <c r="K624" s="45" t="s">
        <v>150</v>
      </c>
      <c r="L624" s="47">
        <v>10000</v>
      </c>
      <c r="M624" s="47">
        <v>0</v>
      </c>
      <c r="N624" s="47">
        <v>10500</v>
      </c>
      <c r="O624" s="47">
        <v>0</v>
      </c>
    </row>
    <row r="625" spans="1:15" x14ac:dyDescent="0.3">
      <c r="A625" s="58" t="str">
        <f t="shared" si="357"/>
        <v>Hurielle</v>
      </c>
      <c r="B625" s="59" t="s">
        <v>161</v>
      </c>
      <c r="C625" s="61">
        <v>52000</v>
      </c>
      <c r="D625" s="61">
        <f t="shared" si="358"/>
        <v>113000</v>
      </c>
      <c r="E625" s="61">
        <f t="shared" si="359"/>
        <v>121500</v>
      </c>
      <c r="F625" s="61">
        <f t="shared" si="360"/>
        <v>0</v>
      </c>
      <c r="G625" s="61">
        <f t="shared" si="356"/>
        <v>0</v>
      </c>
      <c r="H625" s="61">
        <v>43500</v>
      </c>
      <c r="I625" s="61">
        <f t="shared" si="363"/>
        <v>43500</v>
      </c>
      <c r="J625" s="9">
        <f>I625-H625</f>
        <v>0</v>
      </c>
      <c r="K625" s="45" t="s">
        <v>204</v>
      </c>
      <c r="L625" s="47">
        <v>113000</v>
      </c>
      <c r="M625" s="47">
        <v>0</v>
      </c>
      <c r="N625" s="47">
        <v>121500</v>
      </c>
      <c r="O625" s="47">
        <v>0</v>
      </c>
    </row>
    <row r="626" spans="1:15" x14ac:dyDescent="0.3">
      <c r="A626" s="58" t="str">
        <f t="shared" si="357"/>
        <v>I23C</v>
      </c>
      <c r="B626" s="98" t="s">
        <v>4</v>
      </c>
      <c r="C626" s="61">
        <v>116050</v>
      </c>
      <c r="D626" s="61">
        <f t="shared" si="358"/>
        <v>599000</v>
      </c>
      <c r="E626" s="61">
        <f t="shared" si="359"/>
        <v>537500</v>
      </c>
      <c r="F626" s="61">
        <f t="shared" si="360"/>
        <v>0</v>
      </c>
      <c r="G626" s="61">
        <f t="shared" si="356"/>
        <v>0</v>
      </c>
      <c r="H626" s="61">
        <v>177550</v>
      </c>
      <c r="I626" s="61">
        <f t="shared" si="363"/>
        <v>177550</v>
      </c>
      <c r="J626" s="9">
        <f t="shared" ref="J626:J627" si="364">I626-H626</f>
        <v>0</v>
      </c>
      <c r="K626" s="45" t="s">
        <v>30</v>
      </c>
      <c r="L626" s="47">
        <v>599000</v>
      </c>
      <c r="M626" s="47">
        <v>0</v>
      </c>
      <c r="N626" s="47">
        <v>537500</v>
      </c>
      <c r="O626" s="47">
        <v>0</v>
      </c>
    </row>
    <row r="627" spans="1:15" x14ac:dyDescent="0.3">
      <c r="A627" s="58" t="str">
        <f t="shared" si="357"/>
        <v>Merveille</v>
      </c>
      <c r="B627" s="59" t="s">
        <v>2</v>
      </c>
      <c r="C627" s="61">
        <v>4400</v>
      </c>
      <c r="D627" s="61">
        <f t="shared" si="358"/>
        <v>20000</v>
      </c>
      <c r="E627" s="61">
        <f t="shared" si="359"/>
        <v>20000</v>
      </c>
      <c r="F627" s="61">
        <f t="shared" si="360"/>
        <v>0</v>
      </c>
      <c r="G627" s="61">
        <f t="shared" si="356"/>
        <v>0</v>
      </c>
      <c r="H627" s="61">
        <v>4400</v>
      </c>
      <c r="I627" s="61">
        <f>+C627+D627-E627-F627+G627</f>
        <v>4400</v>
      </c>
      <c r="J627" s="9">
        <f t="shared" si="364"/>
        <v>0</v>
      </c>
      <c r="K627" s="45" t="s">
        <v>93</v>
      </c>
      <c r="L627" s="47">
        <v>20000</v>
      </c>
      <c r="M627" s="47">
        <v>0</v>
      </c>
      <c r="N627" s="47">
        <v>20000</v>
      </c>
      <c r="O627" s="47">
        <v>0</v>
      </c>
    </row>
    <row r="628" spans="1:15" x14ac:dyDescent="0.3">
      <c r="A628" s="58" t="str">
        <f t="shared" si="357"/>
        <v>P29</v>
      </c>
      <c r="B628" s="59" t="s">
        <v>4</v>
      </c>
      <c r="C628" s="61">
        <v>16200</v>
      </c>
      <c r="D628" s="61">
        <f t="shared" si="358"/>
        <v>874000</v>
      </c>
      <c r="E628" s="61">
        <f t="shared" si="359"/>
        <v>495500</v>
      </c>
      <c r="F628" s="61">
        <f t="shared" si="360"/>
        <v>100000</v>
      </c>
      <c r="G628" s="61">
        <f>+O628</f>
        <v>0</v>
      </c>
      <c r="H628" s="61">
        <v>294700</v>
      </c>
      <c r="I628" s="61">
        <f>+C628+D628-E628-F628+G628</f>
        <v>294700</v>
      </c>
      <c r="J628" s="9">
        <f>I628-H628</f>
        <v>0</v>
      </c>
      <c r="K628" s="45" t="s">
        <v>29</v>
      </c>
      <c r="L628" s="47">
        <v>874000</v>
      </c>
      <c r="M628" s="47">
        <v>100000</v>
      </c>
      <c r="N628" s="47">
        <v>495500</v>
      </c>
      <c r="O628" s="47">
        <v>0</v>
      </c>
    </row>
    <row r="629" spans="1:15" x14ac:dyDescent="0.3">
      <c r="A629" s="58" t="str">
        <f t="shared" si="357"/>
        <v>Paule</v>
      </c>
      <c r="B629" s="59" t="s">
        <v>161</v>
      </c>
      <c r="C629" s="61">
        <v>6000</v>
      </c>
      <c r="D629" s="61">
        <f t="shared" si="358"/>
        <v>80000</v>
      </c>
      <c r="E629" s="61">
        <f t="shared" si="359"/>
        <v>72500</v>
      </c>
      <c r="F629" s="61">
        <f t="shared" si="360"/>
        <v>0</v>
      </c>
      <c r="G629" s="61">
        <f>+O629</f>
        <v>0</v>
      </c>
      <c r="H629" s="61">
        <v>13500</v>
      </c>
      <c r="I629" s="61">
        <f>+C629+D629-E629-F629+G629</f>
        <v>13500</v>
      </c>
      <c r="J629" s="9">
        <f>I629-H629</f>
        <v>0</v>
      </c>
      <c r="K629" s="45" t="s">
        <v>203</v>
      </c>
      <c r="L629" s="47">
        <v>80000</v>
      </c>
      <c r="M629" s="47">
        <v>0</v>
      </c>
      <c r="N629" s="47">
        <v>72500</v>
      </c>
      <c r="O629" s="47">
        <v>0</v>
      </c>
    </row>
    <row r="630" spans="1:15" x14ac:dyDescent="0.3">
      <c r="A630" s="58" t="str">
        <f t="shared" si="357"/>
        <v>Tiffany</v>
      </c>
      <c r="B630" s="59" t="s">
        <v>2</v>
      </c>
      <c r="C630" s="61">
        <v>-790759</v>
      </c>
      <c r="D630" s="61">
        <f t="shared" si="358"/>
        <v>800000</v>
      </c>
      <c r="E630" s="61">
        <f t="shared" si="359"/>
        <v>16500</v>
      </c>
      <c r="F630" s="61">
        <f t="shared" si="360"/>
        <v>0</v>
      </c>
      <c r="G630" s="61">
        <f t="shared" ref="G630" si="365">+O630</f>
        <v>0</v>
      </c>
      <c r="H630" s="61">
        <v>-7259</v>
      </c>
      <c r="I630" s="61">
        <f t="shared" ref="I630" si="366">+C630+D630-E630-F630+G630</f>
        <v>-7259</v>
      </c>
      <c r="J630" s="9">
        <f t="shared" ref="J630" si="367">I630-H630</f>
        <v>0</v>
      </c>
      <c r="K630" s="45" t="s">
        <v>113</v>
      </c>
      <c r="L630" s="47">
        <v>800000</v>
      </c>
      <c r="M630" s="47">
        <v>0</v>
      </c>
      <c r="N630" s="47">
        <v>16500</v>
      </c>
      <c r="O630" s="47">
        <v>0</v>
      </c>
    </row>
    <row r="631" spans="1:15" x14ac:dyDescent="0.3">
      <c r="A631" s="10" t="s">
        <v>50</v>
      </c>
      <c r="B631" s="11"/>
      <c r="C631" s="12">
        <f t="shared" ref="C631:I631" si="368">SUM(C616:C630)</f>
        <v>31829567</v>
      </c>
      <c r="D631" s="57">
        <f t="shared" si="368"/>
        <v>8574000</v>
      </c>
      <c r="E631" s="57">
        <f t="shared" si="368"/>
        <v>9054909</v>
      </c>
      <c r="F631" s="57">
        <f t="shared" si="368"/>
        <v>8574000</v>
      </c>
      <c r="G631" s="57">
        <f t="shared" si="368"/>
        <v>0</v>
      </c>
      <c r="H631" s="57">
        <f t="shared" si="368"/>
        <v>22774658</v>
      </c>
      <c r="I631" s="57">
        <f t="shared" si="368"/>
        <v>22774658</v>
      </c>
      <c r="J631" s="9">
        <f>I631-H631</f>
        <v>0</v>
      </c>
      <c r="K631" s="3"/>
      <c r="L631" s="47">
        <f>+SUM(L616:L630)</f>
        <v>8574000</v>
      </c>
      <c r="M631" s="47">
        <f>+SUM(M616:M630)</f>
        <v>8574000</v>
      </c>
      <c r="N631" s="47">
        <f>+SUM(N616:N630)</f>
        <v>9054909</v>
      </c>
      <c r="O631" s="47">
        <f>+SUM(O616:O630)</f>
        <v>0</v>
      </c>
    </row>
    <row r="632" spans="1:15" x14ac:dyDescent="0.3">
      <c r="A632" s="10"/>
      <c r="B632" s="11"/>
      <c r="C632" s="12"/>
      <c r="D632" s="13"/>
      <c r="E632" s="12"/>
      <c r="F632" s="13"/>
      <c r="G632" s="12"/>
      <c r="H632" s="12"/>
      <c r="I632" s="134" t="b">
        <f>I631=D634</f>
        <v>1</v>
      </c>
      <c r="L632" s="5"/>
      <c r="M632" s="5"/>
      <c r="N632" s="5"/>
      <c r="O632" s="5"/>
    </row>
    <row r="633" spans="1:15" x14ac:dyDescent="0.3">
      <c r="A633" s="10" t="s">
        <v>208</v>
      </c>
      <c r="B633" s="11" t="s">
        <v>209</v>
      </c>
      <c r="C633" s="12" t="s">
        <v>210</v>
      </c>
      <c r="D633" s="12" t="s">
        <v>211</v>
      </c>
      <c r="E633" s="12" t="s">
        <v>51</v>
      </c>
      <c r="F633" s="12"/>
      <c r="G633" s="12">
        <f>+D631-F631</f>
        <v>0</v>
      </c>
      <c r="H633" s="12"/>
      <c r="I633" s="12"/>
    </row>
    <row r="634" spans="1:15" x14ac:dyDescent="0.3">
      <c r="A634" s="14">
        <f>C631</f>
        <v>31829567</v>
      </c>
      <c r="B634" s="15">
        <f>G631</f>
        <v>0</v>
      </c>
      <c r="C634" s="12">
        <f>E631</f>
        <v>9054909</v>
      </c>
      <c r="D634" s="12">
        <f>A634+B634-C634</f>
        <v>22774658</v>
      </c>
      <c r="E634" s="13">
        <f>I631-D634</f>
        <v>0</v>
      </c>
      <c r="F634" s="12"/>
      <c r="G634" s="12"/>
      <c r="H634" s="12"/>
      <c r="I634" s="12"/>
    </row>
    <row r="635" spans="1:15" x14ac:dyDescent="0.3">
      <c r="A635" s="14"/>
      <c r="B635" s="15"/>
      <c r="C635" s="12"/>
      <c r="D635" s="12"/>
      <c r="E635" s="13"/>
      <c r="F635" s="12"/>
      <c r="G635" s="12"/>
      <c r="H635" s="12"/>
      <c r="I635" s="12"/>
    </row>
    <row r="636" spans="1:15" x14ac:dyDescent="0.3">
      <c r="A636" s="16" t="s">
        <v>52</v>
      </c>
      <c r="B636" s="16"/>
      <c r="C636" s="16"/>
      <c r="D636" s="17"/>
      <c r="E636" s="17"/>
      <c r="F636" s="17"/>
      <c r="G636" s="17"/>
      <c r="H636" s="17"/>
      <c r="I636" s="17"/>
    </row>
    <row r="637" spans="1:15" x14ac:dyDescent="0.3">
      <c r="A637" s="18" t="s">
        <v>212</v>
      </c>
      <c r="B637" s="18"/>
      <c r="C637" s="18"/>
      <c r="D637" s="18"/>
      <c r="E637" s="18"/>
      <c r="F637" s="18"/>
      <c r="G637" s="18"/>
      <c r="H637" s="18"/>
      <c r="I637" s="18"/>
      <c r="J637" s="18"/>
    </row>
    <row r="638" spans="1:15" x14ac:dyDescent="0.3">
      <c r="A638" s="19"/>
      <c r="B638" s="17"/>
      <c r="C638" s="20"/>
      <c r="D638" s="20"/>
      <c r="E638" s="20"/>
      <c r="F638" s="20"/>
      <c r="G638" s="20"/>
      <c r="H638" s="17"/>
      <c r="I638" s="17"/>
    </row>
    <row r="639" spans="1:15" x14ac:dyDescent="0.3">
      <c r="A639" s="170" t="s">
        <v>53</v>
      </c>
      <c r="B639" s="172" t="s">
        <v>54</v>
      </c>
      <c r="C639" s="174" t="s">
        <v>213</v>
      </c>
      <c r="D639" s="175" t="s">
        <v>55</v>
      </c>
      <c r="E639" s="176"/>
      <c r="F639" s="176"/>
      <c r="G639" s="177"/>
      <c r="H639" s="178" t="s">
        <v>56</v>
      </c>
      <c r="I639" s="166" t="s">
        <v>57</v>
      </c>
      <c r="J639" s="17"/>
    </row>
    <row r="640" spans="1:15" ht="28.5" customHeight="1" x14ac:dyDescent="0.3">
      <c r="A640" s="171"/>
      <c r="B640" s="173"/>
      <c r="C640" s="22"/>
      <c r="D640" s="21" t="s">
        <v>24</v>
      </c>
      <c r="E640" s="21" t="s">
        <v>25</v>
      </c>
      <c r="F640" s="22" t="s">
        <v>123</v>
      </c>
      <c r="G640" s="21" t="s">
        <v>58</v>
      </c>
      <c r="H640" s="179"/>
      <c r="I640" s="167"/>
      <c r="J640" s="168" t="s">
        <v>214</v>
      </c>
      <c r="K640" s="143"/>
    </row>
    <row r="641" spans="1:11" x14ac:dyDescent="0.3">
      <c r="A641" s="23"/>
      <c r="B641" s="24" t="s">
        <v>59</v>
      </c>
      <c r="C641" s="25"/>
      <c r="D641" s="25"/>
      <c r="E641" s="25"/>
      <c r="F641" s="25"/>
      <c r="G641" s="25"/>
      <c r="H641" s="25"/>
      <c r="I641" s="26"/>
      <c r="J641" s="169"/>
      <c r="K641" s="143"/>
    </row>
    <row r="642" spans="1:11" x14ac:dyDescent="0.3">
      <c r="A642" s="122" t="s">
        <v>127</v>
      </c>
      <c r="B642" s="127" t="s">
        <v>47</v>
      </c>
      <c r="C642" s="32">
        <f>+C619</f>
        <v>22050</v>
      </c>
      <c r="D642" s="31"/>
      <c r="E642" s="32">
        <f>+D619</f>
        <v>462000</v>
      </c>
      <c r="F642" s="32"/>
      <c r="G642" s="32"/>
      <c r="H642" s="55">
        <f t="shared" ref="H642:H653" si="369">+F619</f>
        <v>0</v>
      </c>
      <c r="I642" s="32">
        <f t="shared" ref="I642:I653" si="370">+E619</f>
        <v>462200</v>
      </c>
      <c r="J642" s="30">
        <f t="shared" ref="J642:J643" si="371">+SUM(C642:G642)-(H642+I642)</f>
        <v>21850</v>
      </c>
      <c r="K642" s="144" t="b">
        <f t="shared" ref="K642:K653" si="372">J642=I619</f>
        <v>1</v>
      </c>
    </row>
    <row r="643" spans="1:11" x14ac:dyDescent="0.3">
      <c r="A643" s="122" t="str">
        <f>+A642</f>
        <v>AVRIL</v>
      </c>
      <c r="B643" s="127" t="s">
        <v>31</v>
      </c>
      <c r="C643" s="32">
        <f t="shared" ref="C643:C644" si="373">+C620</f>
        <v>13995</v>
      </c>
      <c r="D643" s="31"/>
      <c r="E643" s="32">
        <f t="shared" ref="E643:E644" si="374">+D620</f>
        <v>30000</v>
      </c>
      <c r="F643" s="32"/>
      <c r="G643" s="32"/>
      <c r="H643" s="55">
        <f t="shared" si="369"/>
        <v>0</v>
      </c>
      <c r="I643" s="32">
        <f t="shared" si="370"/>
        <v>36000</v>
      </c>
      <c r="J643" s="101">
        <f t="shared" si="371"/>
        <v>7995</v>
      </c>
      <c r="K643" s="144" t="b">
        <f t="shared" si="372"/>
        <v>1</v>
      </c>
    </row>
    <row r="644" spans="1:11" x14ac:dyDescent="0.3">
      <c r="A644" s="122" t="str">
        <f t="shared" ref="A644:A649" si="375">+A643</f>
        <v>AVRIL</v>
      </c>
      <c r="B644" s="128" t="s">
        <v>151</v>
      </c>
      <c r="C644" s="32">
        <f t="shared" si="373"/>
        <v>36485</v>
      </c>
      <c r="D644" s="119"/>
      <c r="E644" s="32">
        <f t="shared" si="374"/>
        <v>486000</v>
      </c>
      <c r="F644" s="51"/>
      <c r="G644" s="51"/>
      <c r="H644" s="55">
        <f t="shared" si="369"/>
        <v>0</v>
      </c>
      <c r="I644" s="32">
        <f t="shared" si="370"/>
        <v>366150</v>
      </c>
      <c r="J644" s="124">
        <f>+SUM(C644:G644)-(H644+I644)</f>
        <v>156335</v>
      </c>
      <c r="K644" s="144" t="b">
        <f t="shared" si="372"/>
        <v>1</v>
      </c>
    </row>
    <row r="645" spans="1:11" x14ac:dyDescent="0.3">
      <c r="A645" s="122" t="str">
        <f t="shared" si="375"/>
        <v>AVRIL</v>
      </c>
      <c r="B645" s="129" t="s">
        <v>84</v>
      </c>
      <c r="C645" s="120">
        <f>+C622</f>
        <v>233614</v>
      </c>
      <c r="D645" s="123"/>
      <c r="E645" s="120">
        <f>+D622</f>
        <v>0</v>
      </c>
      <c r="F645" s="137"/>
      <c r="G645" s="137"/>
      <c r="H645" s="155">
        <f t="shared" si="369"/>
        <v>0</v>
      </c>
      <c r="I645" s="120">
        <f t="shared" si="370"/>
        <v>0</v>
      </c>
      <c r="J645" s="121">
        <f>+SUM(C645:G645)-(H645+I645)</f>
        <v>233614</v>
      </c>
      <c r="K645" s="144" t="b">
        <f t="shared" si="372"/>
        <v>1</v>
      </c>
    </row>
    <row r="646" spans="1:11" x14ac:dyDescent="0.3">
      <c r="A646" s="122" t="str">
        <f t="shared" si="375"/>
        <v>AVRIL</v>
      </c>
      <c r="B646" s="129" t="s">
        <v>83</v>
      </c>
      <c r="C646" s="120">
        <f>+C623</f>
        <v>249769</v>
      </c>
      <c r="D646" s="123"/>
      <c r="E646" s="120">
        <f>+D623</f>
        <v>0</v>
      </c>
      <c r="F646" s="137"/>
      <c r="G646" s="137"/>
      <c r="H646" s="155">
        <f t="shared" si="369"/>
        <v>0</v>
      </c>
      <c r="I646" s="120">
        <f t="shared" si="370"/>
        <v>0</v>
      </c>
      <c r="J646" s="121">
        <f t="shared" ref="J646:J653" si="376">+SUM(C646:G646)-(H646+I646)</f>
        <v>249769</v>
      </c>
      <c r="K646" s="144" t="b">
        <f t="shared" si="372"/>
        <v>1</v>
      </c>
    </row>
    <row r="647" spans="1:11" x14ac:dyDescent="0.3">
      <c r="A647" s="122" t="str">
        <f t="shared" si="375"/>
        <v>AVRIL</v>
      </c>
      <c r="B647" s="127" t="s">
        <v>150</v>
      </c>
      <c r="C647" s="32">
        <f>+C624</f>
        <v>10700</v>
      </c>
      <c r="D647" s="31"/>
      <c r="E647" s="32">
        <f>+D624</f>
        <v>10000</v>
      </c>
      <c r="F647" s="32"/>
      <c r="G647" s="104"/>
      <c r="H647" s="55">
        <f t="shared" si="369"/>
        <v>0</v>
      </c>
      <c r="I647" s="32">
        <f t="shared" si="370"/>
        <v>10500</v>
      </c>
      <c r="J647" s="30">
        <f t="shared" si="376"/>
        <v>10200</v>
      </c>
      <c r="K647" s="144" t="b">
        <f t="shared" si="372"/>
        <v>1</v>
      </c>
    </row>
    <row r="648" spans="1:11" x14ac:dyDescent="0.3">
      <c r="A648" s="122" t="str">
        <f t="shared" si="375"/>
        <v>AVRIL</v>
      </c>
      <c r="B648" s="127" t="s">
        <v>204</v>
      </c>
      <c r="C648" s="32">
        <f t="shared" ref="C648:C651" si="377">+C625</f>
        <v>52000</v>
      </c>
      <c r="D648" s="31"/>
      <c r="E648" s="32">
        <f t="shared" ref="E648:E653" si="378">+D625</f>
        <v>113000</v>
      </c>
      <c r="F648" s="32"/>
      <c r="G648" s="104"/>
      <c r="H648" s="55">
        <f t="shared" si="369"/>
        <v>0</v>
      </c>
      <c r="I648" s="32">
        <f t="shared" si="370"/>
        <v>121500</v>
      </c>
      <c r="J648" s="30">
        <f t="shared" si="376"/>
        <v>43500</v>
      </c>
      <c r="K648" s="144" t="b">
        <f t="shared" si="372"/>
        <v>1</v>
      </c>
    </row>
    <row r="649" spans="1:11" x14ac:dyDescent="0.3">
      <c r="A649" s="122" t="str">
        <f t="shared" si="375"/>
        <v>AVRIL</v>
      </c>
      <c r="B649" s="127" t="s">
        <v>30</v>
      </c>
      <c r="C649" s="32">
        <f t="shared" si="377"/>
        <v>116050</v>
      </c>
      <c r="D649" s="31"/>
      <c r="E649" s="32">
        <f t="shared" si="378"/>
        <v>599000</v>
      </c>
      <c r="F649" s="32"/>
      <c r="G649" s="104"/>
      <c r="H649" s="55">
        <f t="shared" si="369"/>
        <v>0</v>
      </c>
      <c r="I649" s="32">
        <f t="shared" si="370"/>
        <v>537500</v>
      </c>
      <c r="J649" s="30">
        <f t="shared" si="376"/>
        <v>177550</v>
      </c>
      <c r="K649" s="144" t="b">
        <f t="shared" si="372"/>
        <v>1</v>
      </c>
    </row>
    <row r="650" spans="1:11" x14ac:dyDescent="0.3">
      <c r="A650" s="122" t="str">
        <f>+A648</f>
        <v>AVRIL</v>
      </c>
      <c r="B650" s="127" t="s">
        <v>93</v>
      </c>
      <c r="C650" s="32">
        <f t="shared" si="377"/>
        <v>4400</v>
      </c>
      <c r="D650" s="31"/>
      <c r="E650" s="32">
        <f t="shared" si="378"/>
        <v>20000</v>
      </c>
      <c r="F650" s="32"/>
      <c r="G650" s="104"/>
      <c r="H650" s="55">
        <f t="shared" si="369"/>
        <v>0</v>
      </c>
      <c r="I650" s="32">
        <f t="shared" si="370"/>
        <v>20000</v>
      </c>
      <c r="J650" s="30">
        <f t="shared" si="376"/>
        <v>4400</v>
      </c>
      <c r="K650" s="144" t="b">
        <f t="shared" si="372"/>
        <v>1</v>
      </c>
    </row>
    <row r="651" spans="1:11" x14ac:dyDescent="0.3">
      <c r="A651" s="122" t="str">
        <f>+A649</f>
        <v>AVRIL</v>
      </c>
      <c r="B651" s="127" t="s">
        <v>29</v>
      </c>
      <c r="C651" s="32">
        <f t="shared" si="377"/>
        <v>16200</v>
      </c>
      <c r="D651" s="31"/>
      <c r="E651" s="32">
        <f t="shared" si="378"/>
        <v>874000</v>
      </c>
      <c r="F651" s="32"/>
      <c r="G651" s="104"/>
      <c r="H651" s="55">
        <f t="shared" si="369"/>
        <v>100000</v>
      </c>
      <c r="I651" s="32">
        <f t="shared" si="370"/>
        <v>495500</v>
      </c>
      <c r="J651" s="30">
        <f t="shared" si="376"/>
        <v>294700</v>
      </c>
      <c r="K651" s="144" t="b">
        <f t="shared" si="372"/>
        <v>1</v>
      </c>
    </row>
    <row r="652" spans="1:11" x14ac:dyDescent="0.3">
      <c r="A652" s="122" t="str">
        <f>+A650</f>
        <v>AVRIL</v>
      </c>
      <c r="B652" s="127" t="s">
        <v>203</v>
      </c>
      <c r="C652" s="32">
        <f>+C629</f>
        <v>6000</v>
      </c>
      <c r="D652" s="31"/>
      <c r="E652" s="32">
        <f t="shared" si="378"/>
        <v>80000</v>
      </c>
      <c r="F652" s="32"/>
      <c r="G652" s="104"/>
      <c r="H652" s="55">
        <f t="shared" si="369"/>
        <v>0</v>
      </c>
      <c r="I652" s="32">
        <f t="shared" si="370"/>
        <v>72500</v>
      </c>
      <c r="J652" s="30">
        <f t="shared" si="376"/>
        <v>13500</v>
      </c>
      <c r="K652" s="144" t="b">
        <f t="shared" si="372"/>
        <v>1</v>
      </c>
    </row>
    <row r="653" spans="1:11" x14ac:dyDescent="0.3">
      <c r="A653" s="122" t="str">
        <f>+A651</f>
        <v>AVRIL</v>
      </c>
      <c r="B653" s="128" t="s">
        <v>113</v>
      </c>
      <c r="C653" s="32">
        <f t="shared" ref="C653" si="379">+C630</f>
        <v>-790759</v>
      </c>
      <c r="D653" s="119"/>
      <c r="E653" s="32">
        <f t="shared" si="378"/>
        <v>800000</v>
      </c>
      <c r="F653" s="51"/>
      <c r="G653" s="138"/>
      <c r="H653" s="55">
        <f t="shared" si="369"/>
        <v>0</v>
      </c>
      <c r="I653" s="32">
        <f t="shared" si="370"/>
        <v>16500</v>
      </c>
      <c r="J653" s="30">
        <f t="shared" si="376"/>
        <v>-7259</v>
      </c>
      <c r="K653" s="144" t="b">
        <f t="shared" si="372"/>
        <v>1</v>
      </c>
    </row>
    <row r="654" spans="1:11" x14ac:dyDescent="0.3">
      <c r="A654" s="34" t="s">
        <v>60</v>
      </c>
      <c r="B654" s="35"/>
      <c r="C654" s="35"/>
      <c r="D654" s="35"/>
      <c r="E654" s="35"/>
      <c r="F654" s="35"/>
      <c r="G654" s="35"/>
      <c r="H654" s="35"/>
      <c r="I654" s="35"/>
      <c r="J654" s="36"/>
      <c r="K654" s="143"/>
    </row>
    <row r="655" spans="1:11" x14ac:dyDescent="0.3">
      <c r="A655" s="122" t="str">
        <f>+A653</f>
        <v>AVRIL</v>
      </c>
      <c r="B655" s="37" t="s">
        <v>61</v>
      </c>
      <c r="C655" s="38">
        <f>+C618</f>
        <v>1160022</v>
      </c>
      <c r="D655" s="49"/>
      <c r="E655" s="49">
        <f>D618</f>
        <v>5100000</v>
      </c>
      <c r="F655" s="49"/>
      <c r="G655" s="125"/>
      <c r="H655" s="51">
        <f>+F618</f>
        <v>3474000</v>
      </c>
      <c r="I655" s="126">
        <f>+E618</f>
        <v>1822909</v>
      </c>
      <c r="J655" s="30">
        <f>+SUM(C655:G655)-(H655+I655)</f>
        <v>963113</v>
      </c>
      <c r="K655" s="144" t="b">
        <f>J655=I618</f>
        <v>1</v>
      </c>
    </row>
    <row r="656" spans="1:11" x14ac:dyDescent="0.3">
      <c r="A656" s="43" t="s">
        <v>62</v>
      </c>
      <c r="B656" s="24"/>
      <c r="C656" s="35"/>
      <c r="D656" s="24"/>
      <c r="E656" s="24"/>
      <c r="F656" s="24"/>
      <c r="G656" s="24"/>
      <c r="H656" s="24"/>
      <c r="I656" s="24"/>
      <c r="J656" s="36"/>
      <c r="K656" s="143"/>
    </row>
    <row r="657" spans="1:16" x14ac:dyDescent="0.3">
      <c r="A657" s="122" t="str">
        <f>+A655</f>
        <v>AVRIL</v>
      </c>
      <c r="B657" s="37" t="s">
        <v>163</v>
      </c>
      <c r="C657" s="125">
        <f>+C616</f>
        <v>9177780</v>
      </c>
      <c r="D657" s="132">
        <f>+G616</f>
        <v>0</v>
      </c>
      <c r="E657" s="49"/>
      <c r="F657" s="49"/>
      <c r="G657" s="49"/>
      <c r="H657" s="51">
        <f>+F616</f>
        <v>5000000</v>
      </c>
      <c r="I657" s="53">
        <f>+E616</f>
        <v>23345</v>
      </c>
      <c r="J657" s="30">
        <f>+SUM(C657:G657)-(H657+I657)</f>
        <v>4154435</v>
      </c>
      <c r="K657" s="144" t="b">
        <f>+J657=I616</f>
        <v>1</v>
      </c>
    </row>
    <row r="658" spans="1:16" x14ac:dyDescent="0.3">
      <c r="A658" s="122" t="str">
        <f t="shared" ref="A658" si="380">+A657</f>
        <v>AVRIL</v>
      </c>
      <c r="B658" s="37" t="s">
        <v>64</v>
      </c>
      <c r="C658" s="125">
        <f>+C617</f>
        <v>21521261</v>
      </c>
      <c r="D658" s="49">
        <f>+G617</f>
        <v>0</v>
      </c>
      <c r="E658" s="48"/>
      <c r="F658" s="48"/>
      <c r="G658" s="48"/>
      <c r="H658" s="32">
        <f>+F617</f>
        <v>0</v>
      </c>
      <c r="I658" s="50">
        <f>+E617</f>
        <v>5070305</v>
      </c>
      <c r="J658" s="30">
        <f>SUM(C658:G658)-(H658+I658)</f>
        <v>16450956</v>
      </c>
      <c r="K658" s="144" t="b">
        <f>+J658=I617</f>
        <v>1</v>
      </c>
    </row>
    <row r="659" spans="1:16" ht="15.6" x14ac:dyDescent="0.3">
      <c r="C659" s="141">
        <f>SUM(C642:C658)</f>
        <v>31829567</v>
      </c>
      <c r="I659" s="140">
        <f>SUM(I642:I658)</f>
        <v>9054909</v>
      </c>
      <c r="J659" s="105">
        <f>+SUM(J642:J658)</f>
        <v>22774658</v>
      </c>
      <c r="K659" s="5" t="b">
        <f>J659=I631</f>
        <v>1</v>
      </c>
    </row>
    <row r="660" spans="1:16" ht="15.6" x14ac:dyDescent="0.3">
      <c r="A660" s="161"/>
      <c r="B660" s="161"/>
      <c r="C660" s="162"/>
      <c r="D660" s="161"/>
      <c r="E660" s="161"/>
      <c r="F660" s="161"/>
      <c r="G660" s="161"/>
      <c r="H660" s="161"/>
      <c r="I660" s="163"/>
      <c r="J660" s="164"/>
      <c r="K660" s="161"/>
      <c r="L660" s="165"/>
      <c r="M660" s="165"/>
      <c r="N660" s="165"/>
      <c r="O660" s="165"/>
      <c r="P660" s="161"/>
    </row>
    <row r="663" spans="1:16" ht="15.6" x14ac:dyDescent="0.3">
      <c r="A663" s="6" t="s">
        <v>36</v>
      </c>
      <c r="B663" s="6" t="s">
        <v>1</v>
      </c>
      <c r="C663" s="6">
        <v>44621</v>
      </c>
      <c r="D663" s="7" t="s">
        <v>37</v>
      </c>
      <c r="E663" s="7" t="s">
        <v>38</v>
      </c>
      <c r="F663" s="7" t="s">
        <v>39</v>
      </c>
      <c r="G663" s="7" t="s">
        <v>40</v>
      </c>
      <c r="H663" s="6">
        <v>44651</v>
      </c>
      <c r="I663" s="7" t="s">
        <v>41</v>
      </c>
      <c r="K663" s="45"/>
      <c r="L663" s="45" t="s">
        <v>42</v>
      </c>
      <c r="M663" s="45" t="s">
        <v>43</v>
      </c>
      <c r="N663" s="45" t="s">
        <v>44</v>
      </c>
      <c r="O663" s="45" t="s">
        <v>45</v>
      </c>
    </row>
    <row r="664" spans="1:16" x14ac:dyDescent="0.3">
      <c r="A664" s="58" t="str">
        <f>K664</f>
        <v>BCI</v>
      </c>
      <c r="B664" s="59" t="s">
        <v>46</v>
      </c>
      <c r="C664" s="61">
        <v>888683</v>
      </c>
      <c r="D664" s="61">
        <f>+L664</f>
        <v>0</v>
      </c>
      <c r="E664" s="61">
        <f>+N664</f>
        <v>543345</v>
      </c>
      <c r="F664" s="61">
        <f>+M664</f>
        <v>2600000</v>
      </c>
      <c r="G664" s="61">
        <f t="shared" ref="G664:G675" si="381">+O664</f>
        <v>11432442</v>
      </c>
      <c r="H664" s="61">
        <v>9177780</v>
      </c>
      <c r="I664" s="61">
        <f>+C664+D664-E664-F664+G664</f>
        <v>9177780</v>
      </c>
      <c r="J664" s="9">
        <f>I664-H664</f>
        <v>0</v>
      </c>
      <c r="K664" s="45" t="s">
        <v>24</v>
      </c>
      <c r="L664" s="47">
        <v>0</v>
      </c>
      <c r="M664" s="47">
        <v>2600000</v>
      </c>
      <c r="N664" s="47">
        <v>543345</v>
      </c>
      <c r="O664" s="47">
        <v>11432442</v>
      </c>
    </row>
    <row r="665" spans="1:16" x14ac:dyDescent="0.3">
      <c r="A665" s="58" t="str">
        <f t="shared" ref="A665:A678" si="382">K665</f>
        <v>BCI-Sous Compte</v>
      </c>
      <c r="B665" s="59" t="s">
        <v>46</v>
      </c>
      <c r="C665" s="61">
        <v>882502</v>
      </c>
      <c r="D665" s="61">
        <f t="shared" ref="D665:D678" si="383">+L665</f>
        <v>0</v>
      </c>
      <c r="E665" s="61">
        <f t="shared" ref="E665:E678" si="384">+N665</f>
        <v>6117606</v>
      </c>
      <c r="F665" s="61">
        <f t="shared" ref="F665:F678" si="385">+M665</f>
        <v>1600000</v>
      </c>
      <c r="G665" s="61">
        <f t="shared" si="381"/>
        <v>28356365</v>
      </c>
      <c r="H665" s="61">
        <v>21521261</v>
      </c>
      <c r="I665" s="61">
        <f>+C665+D665-E665-F665+G665</f>
        <v>21521261</v>
      </c>
      <c r="J665" s="9">
        <f t="shared" ref="J665:J672" si="386">I665-H665</f>
        <v>0</v>
      </c>
      <c r="K665" s="45" t="s">
        <v>155</v>
      </c>
      <c r="L665" s="47">
        <v>0</v>
      </c>
      <c r="M665" s="47">
        <v>1600000</v>
      </c>
      <c r="N665" s="47">
        <v>6117606</v>
      </c>
      <c r="O665" s="47">
        <v>28356365</v>
      </c>
    </row>
    <row r="666" spans="1:16" x14ac:dyDescent="0.3">
      <c r="A666" s="58" t="str">
        <f t="shared" si="382"/>
        <v>Caisse</v>
      </c>
      <c r="B666" s="59" t="s">
        <v>25</v>
      </c>
      <c r="C666" s="61">
        <v>797106</v>
      </c>
      <c r="D666" s="61">
        <f t="shared" si="383"/>
        <v>4270000</v>
      </c>
      <c r="E666" s="61">
        <f t="shared" si="384"/>
        <v>2099084</v>
      </c>
      <c r="F666" s="61">
        <f t="shared" si="385"/>
        <v>1808000</v>
      </c>
      <c r="G666" s="61">
        <f t="shared" si="381"/>
        <v>0</v>
      </c>
      <c r="H666" s="61">
        <v>1160022</v>
      </c>
      <c r="I666" s="61">
        <f>+C666+D666-E666-F666+G666</f>
        <v>1160022</v>
      </c>
      <c r="J666" s="102">
        <f t="shared" si="386"/>
        <v>0</v>
      </c>
      <c r="K666" s="45" t="s">
        <v>25</v>
      </c>
      <c r="L666" s="47">
        <v>4270000</v>
      </c>
      <c r="M666" s="47">
        <v>1808000</v>
      </c>
      <c r="N666" s="47">
        <v>2099084</v>
      </c>
      <c r="O666" s="47">
        <v>0</v>
      </c>
    </row>
    <row r="667" spans="1:16" x14ac:dyDescent="0.3">
      <c r="A667" s="58" t="str">
        <f t="shared" si="382"/>
        <v>Crépin</v>
      </c>
      <c r="B667" s="59" t="s">
        <v>161</v>
      </c>
      <c r="C667" s="61">
        <v>56050</v>
      </c>
      <c r="D667" s="61">
        <f t="shared" si="383"/>
        <v>0</v>
      </c>
      <c r="E667" s="61">
        <f t="shared" si="384"/>
        <v>4000</v>
      </c>
      <c r="F667" s="61">
        <f t="shared" si="385"/>
        <v>30000</v>
      </c>
      <c r="G667" s="61">
        <f t="shared" si="381"/>
        <v>0</v>
      </c>
      <c r="H667" s="61">
        <v>22050</v>
      </c>
      <c r="I667" s="61">
        <f>+C667+D667-E667-F667+G667</f>
        <v>22050</v>
      </c>
      <c r="J667" s="9">
        <f t="shared" si="386"/>
        <v>0</v>
      </c>
      <c r="K667" s="45" t="s">
        <v>47</v>
      </c>
      <c r="L667" s="47">
        <v>0</v>
      </c>
      <c r="M667" s="47">
        <v>30000</v>
      </c>
      <c r="N667" s="47">
        <v>4000</v>
      </c>
      <c r="O667" s="47">
        <v>0</v>
      </c>
    </row>
    <row r="668" spans="1:16" x14ac:dyDescent="0.3">
      <c r="A668" s="58" t="str">
        <f t="shared" si="382"/>
        <v>Evariste</v>
      </c>
      <c r="B668" s="59" t="s">
        <v>162</v>
      </c>
      <c r="C668" s="61">
        <v>21495</v>
      </c>
      <c r="D668" s="61">
        <f t="shared" si="383"/>
        <v>139000</v>
      </c>
      <c r="E668" s="61">
        <f t="shared" si="384"/>
        <v>146500</v>
      </c>
      <c r="F668" s="61">
        <f t="shared" si="385"/>
        <v>0</v>
      </c>
      <c r="G668" s="61">
        <f t="shared" si="381"/>
        <v>0</v>
      </c>
      <c r="H668" s="61">
        <v>13995</v>
      </c>
      <c r="I668" s="61">
        <f t="shared" ref="I668" si="387">+C668+D668-E668-F668+G668</f>
        <v>13995</v>
      </c>
      <c r="J668" s="9">
        <f t="shared" si="386"/>
        <v>0</v>
      </c>
      <c r="K668" s="45" t="s">
        <v>31</v>
      </c>
      <c r="L668" s="47">
        <v>139000</v>
      </c>
      <c r="M668" s="47">
        <v>0</v>
      </c>
      <c r="N668" s="47">
        <v>146500</v>
      </c>
      <c r="O668" s="47">
        <v>0</v>
      </c>
    </row>
    <row r="669" spans="1:16" x14ac:dyDescent="0.3">
      <c r="A669" s="58" t="str">
        <f t="shared" si="382"/>
        <v>Godfré</v>
      </c>
      <c r="B669" s="59" t="s">
        <v>161</v>
      </c>
      <c r="C669" s="61">
        <v>113185</v>
      </c>
      <c r="D669" s="61">
        <f t="shared" si="383"/>
        <v>188000</v>
      </c>
      <c r="E669" s="61">
        <f t="shared" si="384"/>
        <v>224700</v>
      </c>
      <c r="F669" s="61">
        <f t="shared" si="385"/>
        <v>40000</v>
      </c>
      <c r="G669" s="61">
        <f t="shared" si="381"/>
        <v>0</v>
      </c>
      <c r="H669" s="61">
        <v>36485</v>
      </c>
      <c r="I669" s="61">
        <f>+C669+D669-E669-F669+G669</f>
        <v>36485</v>
      </c>
      <c r="J669" s="9">
        <f t="shared" si="386"/>
        <v>0</v>
      </c>
      <c r="K669" s="45" t="s">
        <v>151</v>
      </c>
      <c r="L669" s="47">
        <v>188000</v>
      </c>
      <c r="M669" s="47">
        <v>40000</v>
      </c>
      <c r="N669" s="47">
        <v>224700</v>
      </c>
      <c r="O669" s="47">
        <v>0</v>
      </c>
    </row>
    <row r="670" spans="1:16" x14ac:dyDescent="0.3">
      <c r="A670" s="58" t="str">
        <f t="shared" si="382"/>
        <v>I55S</v>
      </c>
      <c r="B670" s="116" t="s">
        <v>4</v>
      </c>
      <c r="C670" s="118">
        <v>233614</v>
      </c>
      <c r="D670" s="118">
        <f t="shared" si="383"/>
        <v>0</v>
      </c>
      <c r="E670" s="118">
        <f t="shared" si="384"/>
        <v>0</v>
      </c>
      <c r="F670" s="118">
        <f t="shared" si="385"/>
        <v>0</v>
      </c>
      <c r="G670" s="118">
        <f t="shared" si="381"/>
        <v>0</v>
      </c>
      <c r="H670" s="118">
        <v>233614</v>
      </c>
      <c r="I670" s="118">
        <f>+C670+D670-E670-F670+G670</f>
        <v>233614</v>
      </c>
      <c r="J670" s="9">
        <f t="shared" si="386"/>
        <v>0</v>
      </c>
      <c r="K670" s="45" t="s">
        <v>84</v>
      </c>
      <c r="L670" s="47">
        <v>0</v>
      </c>
      <c r="M670" s="47">
        <v>0</v>
      </c>
      <c r="N670" s="47">
        <v>0</v>
      </c>
      <c r="O670" s="47">
        <v>0</v>
      </c>
    </row>
    <row r="671" spans="1:16" x14ac:dyDescent="0.3">
      <c r="A671" s="58" t="str">
        <f t="shared" si="382"/>
        <v>I73X</v>
      </c>
      <c r="B671" s="116" t="s">
        <v>4</v>
      </c>
      <c r="C671" s="118">
        <v>249769</v>
      </c>
      <c r="D671" s="118">
        <f t="shared" si="383"/>
        <v>0</v>
      </c>
      <c r="E671" s="118">
        <f t="shared" si="384"/>
        <v>0</v>
      </c>
      <c r="F671" s="118">
        <f t="shared" si="385"/>
        <v>0</v>
      </c>
      <c r="G671" s="118">
        <f t="shared" si="381"/>
        <v>0</v>
      </c>
      <c r="H671" s="118">
        <v>249769</v>
      </c>
      <c r="I671" s="118">
        <f t="shared" ref="I671:I674" si="388">+C671+D671-E671-F671+G671</f>
        <v>249769</v>
      </c>
      <c r="J671" s="9">
        <f t="shared" si="386"/>
        <v>0</v>
      </c>
      <c r="K671" s="45" t="s">
        <v>83</v>
      </c>
      <c r="L671" s="47">
        <v>0</v>
      </c>
      <c r="M671" s="47">
        <v>0</v>
      </c>
      <c r="N671" s="47">
        <v>0</v>
      </c>
      <c r="O671" s="47">
        <v>0</v>
      </c>
    </row>
    <row r="672" spans="1:16" x14ac:dyDescent="0.3">
      <c r="A672" s="58" t="str">
        <f t="shared" si="382"/>
        <v>Grace</v>
      </c>
      <c r="B672" s="98" t="s">
        <v>2</v>
      </c>
      <c r="C672" s="61">
        <v>20700</v>
      </c>
      <c r="D672" s="61">
        <f t="shared" si="383"/>
        <v>0</v>
      </c>
      <c r="E672" s="61">
        <f t="shared" si="384"/>
        <v>10000</v>
      </c>
      <c r="F672" s="61">
        <f t="shared" si="385"/>
        <v>0</v>
      </c>
      <c r="G672" s="61">
        <f t="shared" si="381"/>
        <v>0</v>
      </c>
      <c r="H672" s="61">
        <v>10700</v>
      </c>
      <c r="I672" s="61">
        <f t="shared" si="388"/>
        <v>10700</v>
      </c>
      <c r="J672" s="9">
        <f t="shared" si="386"/>
        <v>0</v>
      </c>
      <c r="K672" s="45" t="s">
        <v>150</v>
      </c>
      <c r="L672" s="47">
        <v>0</v>
      </c>
      <c r="M672" s="47">
        <v>0</v>
      </c>
      <c r="N672" s="47">
        <v>10000</v>
      </c>
      <c r="O672" s="47">
        <v>0</v>
      </c>
    </row>
    <row r="673" spans="1:15" x14ac:dyDescent="0.3">
      <c r="A673" s="58" t="str">
        <f t="shared" si="382"/>
        <v>Hurielle</v>
      </c>
      <c r="B673" s="59" t="s">
        <v>161</v>
      </c>
      <c r="C673" s="61">
        <v>0</v>
      </c>
      <c r="D673" s="61">
        <f t="shared" si="383"/>
        <v>135000</v>
      </c>
      <c r="E673" s="61">
        <f t="shared" si="384"/>
        <v>83000</v>
      </c>
      <c r="F673" s="61">
        <f t="shared" si="385"/>
        <v>0</v>
      </c>
      <c r="G673" s="61">
        <f t="shared" si="381"/>
        <v>0</v>
      </c>
      <c r="H673" s="61">
        <v>52000</v>
      </c>
      <c r="I673" s="61">
        <f t="shared" si="388"/>
        <v>52000</v>
      </c>
      <c r="J673" s="9">
        <f>I673-H673</f>
        <v>0</v>
      </c>
      <c r="K673" s="45" t="s">
        <v>204</v>
      </c>
      <c r="L673" s="47">
        <v>135000</v>
      </c>
      <c r="M673" s="47">
        <v>0</v>
      </c>
      <c r="N673" s="47">
        <v>83000</v>
      </c>
      <c r="O673" s="47">
        <v>0</v>
      </c>
    </row>
    <row r="674" spans="1:15" x14ac:dyDescent="0.3">
      <c r="A674" s="58" t="str">
        <f t="shared" si="382"/>
        <v>I23C</v>
      </c>
      <c r="B674" s="98" t="s">
        <v>4</v>
      </c>
      <c r="C674" s="61">
        <v>15550</v>
      </c>
      <c r="D674" s="61">
        <f t="shared" si="383"/>
        <v>747000</v>
      </c>
      <c r="E674" s="61">
        <f t="shared" si="384"/>
        <v>646500</v>
      </c>
      <c r="F674" s="61">
        <f t="shared" si="385"/>
        <v>0</v>
      </c>
      <c r="G674" s="61">
        <f t="shared" si="381"/>
        <v>0</v>
      </c>
      <c r="H674" s="61">
        <v>116050</v>
      </c>
      <c r="I674" s="61">
        <f t="shared" si="388"/>
        <v>116050</v>
      </c>
      <c r="J674" s="9">
        <f t="shared" ref="J674:J675" si="389">I674-H674</f>
        <v>0</v>
      </c>
      <c r="K674" s="45" t="s">
        <v>30</v>
      </c>
      <c r="L674" s="47">
        <v>747000</v>
      </c>
      <c r="M674" s="47">
        <v>0</v>
      </c>
      <c r="N674" s="47">
        <v>646500</v>
      </c>
      <c r="O674" s="47">
        <v>0</v>
      </c>
    </row>
    <row r="675" spans="1:15" x14ac:dyDescent="0.3">
      <c r="A675" s="58" t="str">
        <f t="shared" si="382"/>
        <v>Merveille</v>
      </c>
      <c r="B675" s="59" t="s">
        <v>2</v>
      </c>
      <c r="C675" s="61">
        <v>4800</v>
      </c>
      <c r="D675" s="61">
        <f t="shared" si="383"/>
        <v>20000</v>
      </c>
      <c r="E675" s="61">
        <f t="shared" si="384"/>
        <v>20400</v>
      </c>
      <c r="F675" s="61">
        <f t="shared" si="385"/>
        <v>0</v>
      </c>
      <c r="G675" s="61">
        <f t="shared" si="381"/>
        <v>0</v>
      </c>
      <c r="H675" s="61">
        <v>4400</v>
      </c>
      <c r="I675" s="61">
        <f>+C675+D675-E675-F675+G675</f>
        <v>4400</v>
      </c>
      <c r="J675" s="9">
        <f t="shared" si="389"/>
        <v>0</v>
      </c>
      <c r="K675" s="45" t="s">
        <v>93</v>
      </c>
      <c r="L675" s="47">
        <v>20000</v>
      </c>
      <c r="M675" s="47">
        <v>0</v>
      </c>
      <c r="N675" s="47">
        <v>20400</v>
      </c>
      <c r="O675" s="47"/>
    </row>
    <row r="676" spans="1:15" x14ac:dyDescent="0.3">
      <c r="A676" s="58" t="str">
        <f t="shared" si="382"/>
        <v>P29</v>
      </c>
      <c r="B676" s="59" t="s">
        <v>4</v>
      </c>
      <c r="C676" s="61">
        <v>136200</v>
      </c>
      <c r="D676" s="61">
        <f t="shared" si="383"/>
        <v>380000</v>
      </c>
      <c r="E676" s="61">
        <f t="shared" si="384"/>
        <v>500000</v>
      </c>
      <c r="F676" s="61">
        <f t="shared" si="385"/>
        <v>0</v>
      </c>
      <c r="G676" s="61">
        <f>+O676</f>
        <v>0</v>
      </c>
      <c r="H676" s="61">
        <v>16200</v>
      </c>
      <c r="I676" s="61">
        <f>+C676+D676-E676-F676+G676</f>
        <v>16200</v>
      </c>
      <c r="J676" s="9">
        <f>I676-H676</f>
        <v>0</v>
      </c>
      <c r="K676" s="45" t="s">
        <v>29</v>
      </c>
      <c r="L676" s="47">
        <v>380000</v>
      </c>
      <c r="M676" s="47">
        <v>0</v>
      </c>
      <c r="N676" s="47">
        <v>500000</v>
      </c>
      <c r="O676" s="47">
        <v>0</v>
      </c>
    </row>
    <row r="677" spans="1:15" x14ac:dyDescent="0.3">
      <c r="A677" s="58" t="str">
        <f t="shared" si="382"/>
        <v>Paule</v>
      </c>
      <c r="B677" s="59" t="s">
        <v>161</v>
      </c>
      <c r="C677" s="61">
        <v>0</v>
      </c>
      <c r="D677" s="61">
        <f t="shared" si="383"/>
        <v>129000</v>
      </c>
      <c r="E677" s="61">
        <f t="shared" si="384"/>
        <v>123000</v>
      </c>
      <c r="F677" s="61">
        <f t="shared" si="385"/>
        <v>0</v>
      </c>
      <c r="G677" s="61">
        <f>+O677</f>
        <v>0</v>
      </c>
      <c r="H677" s="61">
        <v>6000</v>
      </c>
      <c r="I677" s="61">
        <f>+C677+D677-E677-F677+G677</f>
        <v>6000</v>
      </c>
      <c r="J677" s="9">
        <f>I677-H677</f>
        <v>0</v>
      </c>
      <c r="K677" s="45" t="s">
        <v>203</v>
      </c>
      <c r="L677" s="47">
        <v>129000</v>
      </c>
      <c r="M677" s="47">
        <v>0</v>
      </c>
      <c r="N677" s="47">
        <v>123000</v>
      </c>
      <c r="O677" s="47">
        <v>0</v>
      </c>
    </row>
    <row r="678" spans="1:15" x14ac:dyDescent="0.3">
      <c r="A678" s="58" t="str">
        <f t="shared" si="382"/>
        <v>Tiffany</v>
      </c>
      <c r="B678" s="59" t="s">
        <v>2</v>
      </c>
      <c r="C678" s="61">
        <v>-36737</v>
      </c>
      <c r="D678" s="61">
        <f t="shared" si="383"/>
        <v>70000</v>
      </c>
      <c r="E678" s="61">
        <f t="shared" si="384"/>
        <v>824022</v>
      </c>
      <c r="F678" s="61">
        <f t="shared" si="385"/>
        <v>0</v>
      </c>
      <c r="G678" s="61">
        <f t="shared" ref="G678" si="390">+O678</f>
        <v>0</v>
      </c>
      <c r="H678" s="61">
        <v>-790759</v>
      </c>
      <c r="I678" s="61">
        <f t="shared" ref="I678" si="391">+C678+D678-E678-F678+G678</f>
        <v>-790759</v>
      </c>
      <c r="J678" s="9">
        <f t="shared" ref="J678" si="392">I678-H678</f>
        <v>0</v>
      </c>
      <c r="K678" s="45" t="s">
        <v>113</v>
      </c>
      <c r="L678" s="47">
        <v>70000</v>
      </c>
      <c r="M678" s="47">
        <v>0</v>
      </c>
      <c r="N678" s="47">
        <v>824022</v>
      </c>
      <c r="O678" s="47">
        <v>0</v>
      </c>
    </row>
    <row r="679" spans="1:15" x14ac:dyDescent="0.3">
      <c r="A679" s="10" t="s">
        <v>50</v>
      </c>
      <c r="B679" s="11"/>
      <c r="C679" s="12">
        <f t="shared" ref="C679:I679" si="393">SUM(C664:C678)</f>
        <v>3382917</v>
      </c>
      <c r="D679" s="57">
        <f t="shared" si="393"/>
        <v>6078000</v>
      </c>
      <c r="E679" s="57">
        <f t="shared" si="393"/>
        <v>11342157</v>
      </c>
      <c r="F679" s="57">
        <f t="shared" si="393"/>
        <v>6078000</v>
      </c>
      <c r="G679" s="57">
        <f t="shared" si="393"/>
        <v>39788807</v>
      </c>
      <c r="H679" s="57">
        <f t="shared" si="393"/>
        <v>31829567</v>
      </c>
      <c r="I679" s="57">
        <f t="shared" si="393"/>
        <v>31829567</v>
      </c>
      <c r="J679" s="9">
        <f>I679-H679</f>
        <v>0</v>
      </c>
      <c r="K679" s="3"/>
      <c r="L679" s="47">
        <f>+SUM(L664:L678)</f>
        <v>6078000</v>
      </c>
      <c r="M679" s="47">
        <f>+SUM(M664:M678)</f>
        <v>6078000</v>
      </c>
      <c r="N679" s="47">
        <f>+SUM(N664:N678)</f>
        <v>11342157</v>
      </c>
      <c r="O679" s="47">
        <f>+SUM(O664:O678)</f>
        <v>39788807</v>
      </c>
    </row>
    <row r="680" spans="1:15" x14ac:dyDescent="0.3">
      <c r="A680" s="10"/>
      <c r="B680" s="11"/>
      <c r="C680" s="12"/>
      <c r="D680" s="13"/>
      <c r="E680" s="12"/>
      <c r="F680" s="13"/>
      <c r="G680" s="12"/>
      <c r="H680" s="12"/>
      <c r="I680" s="134" t="b">
        <f>I679=D682</f>
        <v>1</v>
      </c>
      <c r="L680" s="5"/>
      <c r="M680" s="5"/>
      <c r="N680" s="5"/>
      <c r="O680" s="5"/>
    </row>
    <row r="681" spans="1:15" x14ac:dyDescent="0.3">
      <c r="A681" s="10" t="s">
        <v>196</v>
      </c>
      <c r="B681" s="11" t="s">
        <v>197</v>
      </c>
      <c r="C681" s="12" t="s">
        <v>201</v>
      </c>
      <c r="D681" s="12" t="s">
        <v>198</v>
      </c>
      <c r="E681" s="12" t="s">
        <v>51</v>
      </c>
      <c r="F681" s="12"/>
      <c r="G681" s="12">
        <f>+D679-F679</f>
        <v>0</v>
      </c>
      <c r="H681" s="12"/>
      <c r="I681" s="12"/>
    </row>
    <row r="682" spans="1:15" x14ac:dyDescent="0.3">
      <c r="A682" s="14">
        <f>C679</f>
        <v>3382917</v>
      </c>
      <c r="B682" s="15">
        <f>G679</f>
        <v>39788807</v>
      </c>
      <c r="C682" s="12">
        <f>E679</f>
        <v>11342157</v>
      </c>
      <c r="D682" s="12">
        <f>A682+B682-C682</f>
        <v>31829567</v>
      </c>
      <c r="E682" s="13">
        <f>I679-D682</f>
        <v>0</v>
      </c>
      <c r="F682" s="12"/>
      <c r="G682" s="12"/>
      <c r="H682" s="12"/>
      <c r="I682" s="12"/>
    </row>
    <row r="683" spans="1:15" x14ac:dyDescent="0.3">
      <c r="A683" s="14"/>
      <c r="B683" s="15"/>
      <c r="C683" s="12"/>
      <c r="D683" s="12"/>
      <c r="E683" s="13"/>
      <c r="F683" s="12"/>
      <c r="G683" s="12"/>
      <c r="H683" s="12"/>
      <c r="I683" s="12"/>
    </row>
    <row r="684" spans="1:15" x14ac:dyDescent="0.3">
      <c r="A684" s="16" t="s">
        <v>52</v>
      </c>
      <c r="B684" s="16"/>
      <c r="C684" s="16"/>
      <c r="D684" s="17"/>
      <c r="E684" s="17"/>
      <c r="F684" s="17"/>
      <c r="G684" s="17"/>
      <c r="H684" s="17"/>
      <c r="I684" s="17"/>
    </row>
    <row r="685" spans="1:15" x14ac:dyDescent="0.3">
      <c r="A685" s="18" t="s">
        <v>199</v>
      </c>
      <c r="B685" s="18"/>
      <c r="C685" s="18"/>
      <c r="D685" s="18"/>
      <c r="E685" s="18"/>
      <c r="F685" s="18"/>
      <c r="G685" s="18"/>
      <c r="H685" s="18"/>
      <c r="I685" s="18"/>
      <c r="J685" s="18"/>
    </row>
    <row r="686" spans="1:15" x14ac:dyDescent="0.3">
      <c r="A686" s="19"/>
      <c r="B686" s="17"/>
      <c r="C686" s="20"/>
      <c r="D686" s="20"/>
      <c r="E686" s="20"/>
      <c r="F686" s="20"/>
      <c r="G686" s="20"/>
      <c r="H686" s="17"/>
      <c r="I686" s="17"/>
    </row>
    <row r="687" spans="1:15" x14ac:dyDescent="0.3">
      <c r="A687" s="170" t="s">
        <v>53</v>
      </c>
      <c r="B687" s="172" t="s">
        <v>54</v>
      </c>
      <c r="C687" s="174" t="s">
        <v>200</v>
      </c>
      <c r="D687" s="175" t="s">
        <v>55</v>
      </c>
      <c r="E687" s="176"/>
      <c r="F687" s="176"/>
      <c r="G687" s="177"/>
      <c r="H687" s="178" t="s">
        <v>56</v>
      </c>
      <c r="I687" s="166" t="s">
        <v>57</v>
      </c>
      <c r="J687" s="17"/>
    </row>
    <row r="688" spans="1:15" ht="28.5" customHeight="1" x14ac:dyDescent="0.3">
      <c r="A688" s="171"/>
      <c r="B688" s="173"/>
      <c r="C688" s="22"/>
      <c r="D688" s="21" t="s">
        <v>24</v>
      </c>
      <c r="E688" s="21" t="s">
        <v>25</v>
      </c>
      <c r="F688" s="22" t="s">
        <v>123</v>
      </c>
      <c r="G688" s="21" t="s">
        <v>58</v>
      </c>
      <c r="H688" s="179"/>
      <c r="I688" s="167"/>
      <c r="J688" s="168" t="s">
        <v>195</v>
      </c>
      <c r="K688" s="143"/>
    </row>
    <row r="689" spans="1:11" x14ac:dyDescent="0.3">
      <c r="A689" s="23"/>
      <c r="B689" s="24" t="s">
        <v>59</v>
      </c>
      <c r="C689" s="25"/>
      <c r="D689" s="25"/>
      <c r="E689" s="25"/>
      <c r="F689" s="25"/>
      <c r="G689" s="25"/>
      <c r="H689" s="25"/>
      <c r="I689" s="26"/>
      <c r="J689" s="169"/>
      <c r="K689" s="143"/>
    </row>
    <row r="690" spans="1:11" x14ac:dyDescent="0.3">
      <c r="A690" s="122" t="s">
        <v>120</v>
      </c>
      <c r="B690" s="127" t="s">
        <v>47</v>
      </c>
      <c r="C690" s="32">
        <f>+C667</f>
        <v>56050</v>
      </c>
      <c r="D690" s="31"/>
      <c r="E690" s="32">
        <f>+D667</f>
        <v>0</v>
      </c>
      <c r="F690" s="32"/>
      <c r="G690" s="32"/>
      <c r="H690" s="55">
        <f t="shared" ref="H690:H700" si="394">+F667</f>
        <v>30000</v>
      </c>
      <c r="I690" s="32">
        <f t="shared" ref="I690:I700" si="395">+E667</f>
        <v>4000</v>
      </c>
      <c r="J690" s="30">
        <f t="shared" ref="J690:J691" si="396">+SUM(C690:G690)-(H690+I690)</f>
        <v>22050</v>
      </c>
      <c r="K690" s="144" t="b">
        <f t="shared" ref="K690:K700" si="397">J690=I667</f>
        <v>1</v>
      </c>
    </row>
    <row r="691" spans="1:11" x14ac:dyDescent="0.3">
      <c r="A691" s="122" t="str">
        <f>+A690</f>
        <v>MARS</v>
      </c>
      <c r="B691" s="127" t="s">
        <v>31</v>
      </c>
      <c r="C691" s="32">
        <f t="shared" ref="C691:C692" si="398">+C668</f>
        <v>21495</v>
      </c>
      <c r="D691" s="31"/>
      <c r="E691" s="32">
        <f t="shared" ref="E691:E692" si="399">+D668</f>
        <v>139000</v>
      </c>
      <c r="F691" s="32"/>
      <c r="G691" s="32"/>
      <c r="H691" s="55">
        <f t="shared" si="394"/>
        <v>0</v>
      </c>
      <c r="I691" s="32">
        <f t="shared" si="395"/>
        <v>146500</v>
      </c>
      <c r="J691" s="101">
        <f t="shared" si="396"/>
        <v>13995</v>
      </c>
      <c r="K691" s="144" t="b">
        <f t="shared" si="397"/>
        <v>1</v>
      </c>
    </row>
    <row r="692" spans="1:11" x14ac:dyDescent="0.3">
      <c r="A692" s="122" t="str">
        <f t="shared" ref="A692:A697" si="400">+A691</f>
        <v>MARS</v>
      </c>
      <c r="B692" s="128" t="s">
        <v>151</v>
      </c>
      <c r="C692" s="32">
        <f t="shared" si="398"/>
        <v>113185</v>
      </c>
      <c r="D692" s="119"/>
      <c r="E692" s="32">
        <f t="shared" si="399"/>
        <v>188000</v>
      </c>
      <c r="F692" s="51"/>
      <c r="G692" s="51"/>
      <c r="H692" s="55">
        <f t="shared" si="394"/>
        <v>40000</v>
      </c>
      <c r="I692" s="32">
        <f t="shared" si="395"/>
        <v>224700</v>
      </c>
      <c r="J692" s="124">
        <f>+SUM(C692:G692)-(H692+I692)</f>
        <v>36485</v>
      </c>
      <c r="K692" s="144" t="b">
        <f t="shared" si="397"/>
        <v>1</v>
      </c>
    </row>
    <row r="693" spans="1:11" x14ac:dyDescent="0.3">
      <c r="A693" s="122" t="str">
        <f t="shared" si="400"/>
        <v>MARS</v>
      </c>
      <c r="B693" s="129" t="s">
        <v>84</v>
      </c>
      <c r="C693" s="120">
        <f>+C670</f>
        <v>233614</v>
      </c>
      <c r="D693" s="123"/>
      <c r="E693" s="120">
        <f>+D670</f>
        <v>0</v>
      </c>
      <c r="F693" s="137"/>
      <c r="G693" s="137"/>
      <c r="H693" s="155">
        <f t="shared" si="394"/>
        <v>0</v>
      </c>
      <c r="I693" s="120">
        <f t="shared" si="395"/>
        <v>0</v>
      </c>
      <c r="J693" s="121">
        <f>+SUM(C693:G693)-(H693+I693)</f>
        <v>233614</v>
      </c>
      <c r="K693" s="144" t="b">
        <f t="shared" si="397"/>
        <v>1</v>
      </c>
    </row>
    <row r="694" spans="1:11" x14ac:dyDescent="0.3">
      <c r="A694" s="122" t="str">
        <f t="shared" si="400"/>
        <v>MARS</v>
      </c>
      <c r="B694" s="129" t="s">
        <v>83</v>
      </c>
      <c r="C694" s="120">
        <f>+C671</f>
        <v>249769</v>
      </c>
      <c r="D694" s="123"/>
      <c r="E694" s="120">
        <f>+D671</f>
        <v>0</v>
      </c>
      <c r="F694" s="137"/>
      <c r="G694" s="137"/>
      <c r="H694" s="155">
        <f t="shared" si="394"/>
        <v>0</v>
      </c>
      <c r="I694" s="120">
        <f t="shared" si="395"/>
        <v>0</v>
      </c>
      <c r="J694" s="121">
        <f t="shared" ref="J694:J701" si="401">+SUM(C694:G694)-(H694+I694)</f>
        <v>249769</v>
      </c>
      <c r="K694" s="144" t="b">
        <f t="shared" si="397"/>
        <v>1</v>
      </c>
    </row>
    <row r="695" spans="1:11" x14ac:dyDescent="0.3">
      <c r="A695" s="122" t="str">
        <f t="shared" si="400"/>
        <v>MARS</v>
      </c>
      <c r="B695" s="127" t="s">
        <v>150</v>
      </c>
      <c r="C695" s="32">
        <f>+C672</f>
        <v>20700</v>
      </c>
      <c r="D695" s="31"/>
      <c r="E695" s="32">
        <f>+D672</f>
        <v>0</v>
      </c>
      <c r="F695" s="32"/>
      <c r="G695" s="104"/>
      <c r="H695" s="55">
        <f t="shared" si="394"/>
        <v>0</v>
      </c>
      <c r="I695" s="32">
        <f t="shared" si="395"/>
        <v>10000</v>
      </c>
      <c r="J695" s="30">
        <f t="shared" si="401"/>
        <v>10700</v>
      </c>
      <c r="K695" s="144" t="b">
        <f t="shared" si="397"/>
        <v>1</v>
      </c>
    </row>
    <row r="696" spans="1:11" x14ac:dyDescent="0.3">
      <c r="A696" s="122" t="str">
        <f t="shared" si="400"/>
        <v>MARS</v>
      </c>
      <c r="B696" s="127" t="s">
        <v>204</v>
      </c>
      <c r="C696" s="32">
        <f t="shared" ref="C696:C699" si="402">+C673</f>
        <v>0</v>
      </c>
      <c r="D696" s="31"/>
      <c r="E696" s="32">
        <f t="shared" ref="E696:E701" si="403">+D673</f>
        <v>135000</v>
      </c>
      <c r="F696" s="32"/>
      <c r="G696" s="104"/>
      <c r="H696" s="55">
        <f t="shared" si="394"/>
        <v>0</v>
      </c>
      <c r="I696" s="32">
        <f t="shared" si="395"/>
        <v>83000</v>
      </c>
      <c r="J696" s="30">
        <f t="shared" si="401"/>
        <v>52000</v>
      </c>
      <c r="K696" s="144" t="b">
        <f t="shared" si="397"/>
        <v>1</v>
      </c>
    </row>
    <row r="697" spans="1:11" x14ac:dyDescent="0.3">
      <c r="A697" s="122" t="str">
        <f t="shared" si="400"/>
        <v>MARS</v>
      </c>
      <c r="B697" s="127" t="s">
        <v>30</v>
      </c>
      <c r="C697" s="32">
        <f t="shared" si="402"/>
        <v>15550</v>
      </c>
      <c r="D697" s="31"/>
      <c r="E697" s="32">
        <f t="shared" si="403"/>
        <v>747000</v>
      </c>
      <c r="F697" s="32"/>
      <c r="G697" s="104"/>
      <c r="H697" s="55">
        <f t="shared" si="394"/>
        <v>0</v>
      </c>
      <c r="I697" s="32">
        <f t="shared" si="395"/>
        <v>646500</v>
      </c>
      <c r="J697" s="30">
        <f t="shared" si="401"/>
        <v>116050</v>
      </c>
      <c r="K697" s="144" t="b">
        <f t="shared" si="397"/>
        <v>1</v>
      </c>
    </row>
    <row r="698" spans="1:11" x14ac:dyDescent="0.3">
      <c r="A698" s="122" t="str">
        <f>+A696</f>
        <v>MARS</v>
      </c>
      <c r="B698" s="127" t="s">
        <v>93</v>
      </c>
      <c r="C698" s="32">
        <f t="shared" si="402"/>
        <v>4800</v>
      </c>
      <c r="D698" s="31"/>
      <c r="E698" s="32">
        <f t="shared" si="403"/>
        <v>20000</v>
      </c>
      <c r="F698" s="32"/>
      <c r="G698" s="104"/>
      <c r="H698" s="55">
        <f t="shared" si="394"/>
        <v>0</v>
      </c>
      <c r="I698" s="32">
        <f t="shared" si="395"/>
        <v>20400</v>
      </c>
      <c r="J698" s="30">
        <f t="shared" si="401"/>
        <v>4400</v>
      </c>
      <c r="K698" s="144" t="b">
        <f t="shared" si="397"/>
        <v>1</v>
      </c>
    </row>
    <row r="699" spans="1:11" x14ac:dyDescent="0.3">
      <c r="A699" s="122" t="str">
        <f>+A697</f>
        <v>MARS</v>
      </c>
      <c r="B699" s="127" t="s">
        <v>29</v>
      </c>
      <c r="C699" s="32">
        <f t="shared" si="402"/>
        <v>136200</v>
      </c>
      <c r="D699" s="31"/>
      <c r="E699" s="32">
        <f t="shared" si="403"/>
        <v>380000</v>
      </c>
      <c r="F699" s="32"/>
      <c r="G699" s="104"/>
      <c r="H699" s="55">
        <f t="shared" si="394"/>
        <v>0</v>
      </c>
      <c r="I699" s="32">
        <f t="shared" si="395"/>
        <v>500000</v>
      </c>
      <c r="J699" s="30">
        <f t="shared" si="401"/>
        <v>16200</v>
      </c>
      <c r="K699" s="144" t="b">
        <f t="shared" si="397"/>
        <v>1</v>
      </c>
    </row>
    <row r="700" spans="1:11" x14ac:dyDescent="0.3">
      <c r="A700" s="122" t="str">
        <f>+A698</f>
        <v>MARS</v>
      </c>
      <c r="B700" s="127" t="s">
        <v>203</v>
      </c>
      <c r="C700" s="32">
        <f>+C677</f>
        <v>0</v>
      </c>
      <c r="D700" s="31"/>
      <c r="E700" s="32">
        <f t="shared" si="403"/>
        <v>129000</v>
      </c>
      <c r="F700" s="32"/>
      <c r="G700" s="104"/>
      <c r="H700" s="55">
        <f t="shared" si="394"/>
        <v>0</v>
      </c>
      <c r="I700" s="32">
        <f t="shared" si="395"/>
        <v>123000</v>
      </c>
      <c r="J700" s="30">
        <f t="shared" ref="J700" si="404">+SUM(C700:G700)-(H700+I700)</f>
        <v>6000</v>
      </c>
      <c r="K700" s="144" t="b">
        <f t="shared" si="397"/>
        <v>1</v>
      </c>
    </row>
    <row r="701" spans="1:11" x14ac:dyDescent="0.3">
      <c r="A701" s="122" t="str">
        <f>+A699</f>
        <v>MARS</v>
      </c>
      <c r="B701" s="128" t="s">
        <v>113</v>
      </c>
      <c r="C701" s="32">
        <f t="shared" ref="C701" si="405">+C678</f>
        <v>-36737</v>
      </c>
      <c r="D701" s="119"/>
      <c r="E701" s="32">
        <f t="shared" si="403"/>
        <v>70000</v>
      </c>
      <c r="F701" s="51"/>
      <c r="G701" s="138"/>
      <c r="H701" s="55">
        <f t="shared" ref="H701" si="406">+F678</f>
        <v>0</v>
      </c>
      <c r="I701" s="32">
        <f t="shared" ref="I701" si="407">+E678</f>
        <v>824022</v>
      </c>
      <c r="J701" s="30">
        <f t="shared" si="401"/>
        <v>-790759</v>
      </c>
      <c r="K701" s="144" t="b">
        <f t="shared" ref="K701" si="408">J701=I678</f>
        <v>1</v>
      </c>
    </row>
    <row r="702" spans="1:11" x14ac:dyDescent="0.3">
      <c r="A702" s="34" t="s">
        <v>60</v>
      </c>
      <c r="B702" s="35"/>
      <c r="C702" s="35"/>
      <c r="D702" s="35"/>
      <c r="E702" s="35"/>
      <c r="F702" s="35"/>
      <c r="G702" s="35"/>
      <c r="H702" s="35"/>
      <c r="I702" s="35"/>
      <c r="J702" s="36"/>
      <c r="K702" s="143"/>
    </row>
    <row r="703" spans="1:11" x14ac:dyDescent="0.3">
      <c r="A703" s="122" t="str">
        <f>+A701</f>
        <v>MARS</v>
      </c>
      <c r="B703" s="37" t="s">
        <v>61</v>
      </c>
      <c r="C703" s="38">
        <f>+C666</f>
        <v>797106</v>
      </c>
      <c r="D703" s="49"/>
      <c r="E703" s="49">
        <f>D666</f>
        <v>4270000</v>
      </c>
      <c r="F703" s="49"/>
      <c r="G703" s="125"/>
      <c r="H703" s="51">
        <f>+F666</f>
        <v>1808000</v>
      </c>
      <c r="I703" s="126">
        <f>+E666</f>
        <v>2099084</v>
      </c>
      <c r="J703" s="30">
        <f>+SUM(C703:G703)-(H703+I703)</f>
        <v>1160022</v>
      </c>
      <c r="K703" s="144" t="b">
        <f>J703=I666</f>
        <v>1</v>
      </c>
    </row>
    <row r="704" spans="1:11" x14ac:dyDescent="0.3">
      <c r="A704" s="43" t="s">
        <v>62</v>
      </c>
      <c r="B704" s="24"/>
      <c r="C704" s="35"/>
      <c r="D704" s="24"/>
      <c r="E704" s="24"/>
      <c r="F704" s="24"/>
      <c r="G704" s="24"/>
      <c r="H704" s="24"/>
      <c r="I704" s="24"/>
      <c r="J704" s="36"/>
      <c r="K704" s="143"/>
    </row>
    <row r="705" spans="1:16" x14ac:dyDescent="0.3">
      <c r="A705" s="122" t="str">
        <f>+A703</f>
        <v>MARS</v>
      </c>
      <c r="B705" s="37" t="s">
        <v>163</v>
      </c>
      <c r="C705" s="125">
        <f>+C664</f>
        <v>888683</v>
      </c>
      <c r="D705" s="132">
        <f>+G664</f>
        <v>11432442</v>
      </c>
      <c r="E705" s="49"/>
      <c r="F705" s="49"/>
      <c r="G705" s="49"/>
      <c r="H705" s="51">
        <f>+F664</f>
        <v>2600000</v>
      </c>
      <c r="I705" s="53">
        <f>+E664</f>
        <v>543345</v>
      </c>
      <c r="J705" s="30">
        <f>+SUM(C705:G705)-(H705+I705)</f>
        <v>9177780</v>
      </c>
      <c r="K705" s="144" t="b">
        <f>+J705=I664</f>
        <v>1</v>
      </c>
    </row>
    <row r="706" spans="1:16" x14ac:dyDescent="0.3">
      <c r="A706" s="122" t="str">
        <f t="shared" ref="A706" si="409">+A705</f>
        <v>MARS</v>
      </c>
      <c r="B706" s="37" t="s">
        <v>64</v>
      </c>
      <c r="C706" s="125">
        <f>+C665</f>
        <v>882502</v>
      </c>
      <c r="D706" s="49">
        <f>+G665</f>
        <v>28356365</v>
      </c>
      <c r="E706" s="48"/>
      <c r="F706" s="48"/>
      <c r="G706" s="48"/>
      <c r="H706" s="32">
        <f>+F665</f>
        <v>1600000</v>
      </c>
      <c r="I706" s="50">
        <f>+E665</f>
        <v>6117606</v>
      </c>
      <c r="J706" s="30">
        <f>SUM(C706:G706)-(H706+I706)</f>
        <v>21521261</v>
      </c>
      <c r="K706" s="144" t="b">
        <f>+J706=I665</f>
        <v>1</v>
      </c>
    </row>
    <row r="707" spans="1:16" ht="15.6" x14ac:dyDescent="0.3">
      <c r="C707" s="141">
        <f>SUM(C690:C706)</f>
        <v>3382917</v>
      </c>
      <c r="I707" s="140">
        <f>SUM(I690:I706)</f>
        <v>11342157</v>
      </c>
      <c r="J707" s="105">
        <f>+SUM(J690:J706)</f>
        <v>31829567</v>
      </c>
      <c r="K707" s="5" t="b">
        <f>J707=I679</f>
        <v>1</v>
      </c>
    </row>
    <row r="708" spans="1:16" ht="15.6" x14ac:dyDescent="0.3">
      <c r="A708" s="161"/>
      <c r="B708" s="161"/>
      <c r="C708" s="162"/>
      <c r="D708" s="161"/>
      <c r="E708" s="161"/>
      <c r="F708" s="161"/>
      <c r="G708" s="161"/>
      <c r="H708" s="161"/>
      <c r="I708" s="163"/>
      <c r="J708" s="164"/>
      <c r="K708" s="161"/>
      <c r="L708" s="165"/>
      <c r="M708" s="165"/>
      <c r="N708" s="165"/>
      <c r="O708" s="165"/>
      <c r="P708" s="161"/>
    </row>
    <row r="712" spans="1:16" ht="15.6" x14ac:dyDescent="0.3">
      <c r="A712" s="6" t="s">
        <v>36</v>
      </c>
      <c r="B712" s="6" t="s">
        <v>1</v>
      </c>
      <c r="C712" s="6">
        <v>44593</v>
      </c>
      <c r="D712" s="7" t="s">
        <v>37</v>
      </c>
      <c r="E712" s="7" t="s">
        <v>38</v>
      </c>
      <c r="F712" s="7" t="s">
        <v>39</v>
      </c>
      <c r="G712" s="7" t="s">
        <v>40</v>
      </c>
      <c r="H712" s="6">
        <v>44620</v>
      </c>
      <c r="I712" s="7" t="s">
        <v>41</v>
      </c>
      <c r="K712" s="45"/>
      <c r="L712" s="45" t="s">
        <v>42</v>
      </c>
      <c r="M712" s="45" t="s">
        <v>43</v>
      </c>
      <c r="N712" s="45" t="s">
        <v>44</v>
      </c>
      <c r="O712" s="45" t="s">
        <v>45</v>
      </c>
    </row>
    <row r="713" spans="1:16" x14ac:dyDescent="0.3">
      <c r="A713" s="58" t="str">
        <f>+K713</f>
        <v>B52</v>
      </c>
      <c r="B713" s="59" t="s">
        <v>4</v>
      </c>
      <c r="C713" s="61">
        <v>500</v>
      </c>
      <c r="D713" s="61">
        <f t="shared" ref="D713:D726" si="410">+L713</f>
        <v>50000</v>
      </c>
      <c r="E713" s="61">
        <f>+N713</f>
        <v>50500</v>
      </c>
      <c r="F713" s="61">
        <f>+M713</f>
        <v>0</v>
      </c>
      <c r="G713" s="61">
        <f t="shared" ref="G713:G724" si="411">+O713</f>
        <v>0</v>
      </c>
      <c r="H713" s="61">
        <v>0</v>
      </c>
      <c r="I713" s="61">
        <f>+C713+D713-E713-F713+G713</f>
        <v>0</v>
      </c>
      <c r="J713" s="9">
        <f>I713-H713</f>
        <v>0</v>
      </c>
      <c r="K713" s="45" t="s">
        <v>169</v>
      </c>
      <c r="L713" s="47">
        <v>50000</v>
      </c>
      <c r="M713" s="47">
        <v>0</v>
      </c>
      <c r="N713" s="47">
        <v>50500</v>
      </c>
      <c r="O713" s="47">
        <v>0</v>
      </c>
    </row>
    <row r="714" spans="1:16" x14ac:dyDescent="0.3">
      <c r="A714" s="58" t="str">
        <f>+K714</f>
        <v>BCI</v>
      </c>
      <c r="B714" s="59" t="s">
        <v>46</v>
      </c>
      <c r="C714" s="61">
        <v>2172028</v>
      </c>
      <c r="D714" s="61">
        <f t="shared" si="410"/>
        <v>0</v>
      </c>
      <c r="E714" s="61">
        <f>+N714</f>
        <v>283345</v>
      </c>
      <c r="F714" s="61">
        <f>+M714</f>
        <v>1000000</v>
      </c>
      <c r="G714" s="61">
        <f t="shared" si="411"/>
        <v>0</v>
      </c>
      <c r="H714" s="61">
        <v>888683</v>
      </c>
      <c r="I714" s="61">
        <f>+C714+D714-E714-F714+G714</f>
        <v>888683</v>
      </c>
      <c r="J714" s="9">
        <f t="shared" ref="J714:J721" si="412">I714-H714</f>
        <v>0</v>
      </c>
      <c r="K714" s="45" t="s">
        <v>24</v>
      </c>
      <c r="L714" s="47">
        <v>0</v>
      </c>
      <c r="M714" s="47">
        <v>1000000</v>
      </c>
      <c r="N714" s="47">
        <v>283345</v>
      </c>
      <c r="O714" s="47">
        <v>0</v>
      </c>
    </row>
    <row r="715" spans="1:16" x14ac:dyDescent="0.3">
      <c r="A715" s="58" t="str">
        <f t="shared" ref="A715:A717" si="413">+K715</f>
        <v>BCI-Sous Compte</v>
      </c>
      <c r="B715" s="59" t="s">
        <v>46</v>
      </c>
      <c r="C715" s="61">
        <v>14143094</v>
      </c>
      <c r="D715" s="61">
        <f t="shared" si="410"/>
        <v>0</v>
      </c>
      <c r="E715" s="61">
        <f>+N715</f>
        <v>4260592</v>
      </c>
      <c r="F715" s="61">
        <f>+M715</f>
        <v>9000000</v>
      </c>
      <c r="G715" s="61">
        <f t="shared" si="411"/>
        <v>0</v>
      </c>
      <c r="H715" s="61">
        <v>882502</v>
      </c>
      <c r="I715" s="61">
        <f>+C715+D715-E715-F715+G715</f>
        <v>882502</v>
      </c>
      <c r="J715" s="102">
        <f t="shared" si="412"/>
        <v>0</v>
      </c>
      <c r="K715" s="45" t="s">
        <v>155</v>
      </c>
      <c r="L715" s="47">
        <v>0</v>
      </c>
      <c r="M715" s="47">
        <v>9000000</v>
      </c>
      <c r="N715" s="47">
        <v>4260592</v>
      </c>
      <c r="O715" s="47">
        <v>0</v>
      </c>
    </row>
    <row r="716" spans="1:16" x14ac:dyDescent="0.3">
      <c r="A716" s="58" t="str">
        <f t="shared" si="413"/>
        <v>Caisse</v>
      </c>
      <c r="B716" s="59" t="s">
        <v>25</v>
      </c>
      <c r="C716" s="61">
        <v>580885</v>
      </c>
      <c r="D716" s="61">
        <f t="shared" si="410"/>
        <v>10511000</v>
      </c>
      <c r="E716" s="61">
        <f t="shared" ref="E716" si="414">+N716</f>
        <v>2520779</v>
      </c>
      <c r="F716" s="61">
        <f t="shared" ref="F716:F724" si="415">+M716</f>
        <v>7774000</v>
      </c>
      <c r="G716" s="61">
        <f t="shared" si="411"/>
        <v>0</v>
      </c>
      <c r="H716" s="61">
        <v>797106</v>
      </c>
      <c r="I716" s="61">
        <f>+C716+D716-E716-F716+G716</f>
        <v>797106</v>
      </c>
      <c r="J716" s="9">
        <f t="shared" si="412"/>
        <v>0</v>
      </c>
      <c r="K716" s="45" t="s">
        <v>25</v>
      </c>
      <c r="L716" s="47">
        <v>10511000</v>
      </c>
      <c r="M716" s="47">
        <v>7774000</v>
      </c>
      <c r="N716" s="47">
        <v>2520779</v>
      </c>
      <c r="O716" s="47">
        <v>0</v>
      </c>
    </row>
    <row r="717" spans="1:16" x14ac:dyDescent="0.3">
      <c r="A717" s="58" t="str">
        <f t="shared" si="413"/>
        <v>Crépin</v>
      </c>
      <c r="B717" s="59" t="s">
        <v>161</v>
      </c>
      <c r="C717" s="61">
        <v>9000</v>
      </c>
      <c r="D717" s="61">
        <f t="shared" si="410"/>
        <v>2509000</v>
      </c>
      <c r="E717" s="61">
        <f>+N717</f>
        <v>2021950</v>
      </c>
      <c r="F717" s="61">
        <f t="shared" si="415"/>
        <v>440000</v>
      </c>
      <c r="G717" s="61">
        <f t="shared" si="411"/>
        <v>0</v>
      </c>
      <c r="H717" s="61">
        <v>56050</v>
      </c>
      <c r="I717" s="61">
        <f t="shared" ref="I717" si="416">+C717+D717-E717-F717+G717</f>
        <v>56050</v>
      </c>
      <c r="J717" s="9">
        <f t="shared" si="412"/>
        <v>0</v>
      </c>
      <c r="K717" s="45" t="s">
        <v>47</v>
      </c>
      <c r="L717" s="47">
        <v>2509000</v>
      </c>
      <c r="M717" s="47">
        <v>440000</v>
      </c>
      <c r="N717" s="47">
        <v>2021950</v>
      </c>
      <c r="O717" s="47">
        <v>0</v>
      </c>
    </row>
    <row r="718" spans="1:16" x14ac:dyDescent="0.3">
      <c r="A718" s="58" t="str">
        <f>K718</f>
        <v>Evariste</v>
      </c>
      <c r="B718" s="59" t="s">
        <v>162</v>
      </c>
      <c r="C718" s="61">
        <v>8645</v>
      </c>
      <c r="D718" s="61">
        <f t="shared" si="410"/>
        <v>614000</v>
      </c>
      <c r="E718" s="61">
        <f t="shared" ref="E718" si="417">+N718</f>
        <v>601150</v>
      </c>
      <c r="F718" s="61">
        <f t="shared" si="415"/>
        <v>0</v>
      </c>
      <c r="G718" s="61">
        <f t="shared" si="411"/>
        <v>0</v>
      </c>
      <c r="H718" s="61">
        <v>21495</v>
      </c>
      <c r="I718" s="61">
        <f>+C718+D718-E718-F718+G718</f>
        <v>21495</v>
      </c>
      <c r="J718" s="9">
        <f t="shared" si="412"/>
        <v>0</v>
      </c>
      <c r="K718" s="45" t="s">
        <v>31</v>
      </c>
      <c r="L718" s="47">
        <v>614000</v>
      </c>
      <c r="M718" s="47">
        <v>0</v>
      </c>
      <c r="N718" s="47">
        <v>601150</v>
      </c>
      <c r="O718" s="47">
        <v>0</v>
      </c>
    </row>
    <row r="719" spans="1:16" x14ac:dyDescent="0.3">
      <c r="A719" s="115" t="str">
        <f t="shared" ref="A719:A726" si="418">+K719</f>
        <v>I55S</v>
      </c>
      <c r="B719" s="116" t="s">
        <v>4</v>
      </c>
      <c r="C719" s="118">
        <v>233614</v>
      </c>
      <c r="D719" s="118">
        <f t="shared" si="410"/>
        <v>0</v>
      </c>
      <c r="E719" s="118">
        <f>+N719</f>
        <v>0</v>
      </c>
      <c r="F719" s="118">
        <f t="shared" si="415"/>
        <v>0</v>
      </c>
      <c r="G719" s="118">
        <f t="shared" si="411"/>
        <v>0</v>
      </c>
      <c r="H719" s="118">
        <v>233614</v>
      </c>
      <c r="I719" s="118">
        <f>+C719+D719-E719-F719+G719</f>
        <v>233614</v>
      </c>
      <c r="J719" s="9">
        <f t="shared" si="412"/>
        <v>0</v>
      </c>
      <c r="K719" s="45" t="s">
        <v>84</v>
      </c>
      <c r="L719" s="47">
        <v>0</v>
      </c>
      <c r="M719" s="47">
        <v>0</v>
      </c>
      <c r="N719" s="47">
        <v>0</v>
      </c>
      <c r="O719" s="47">
        <v>0</v>
      </c>
    </row>
    <row r="720" spans="1:16" x14ac:dyDescent="0.3">
      <c r="A720" s="115" t="str">
        <f t="shared" si="418"/>
        <v>I73X</v>
      </c>
      <c r="B720" s="116" t="s">
        <v>4</v>
      </c>
      <c r="C720" s="118">
        <v>249769</v>
      </c>
      <c r="D720" s="118">
        <f t="shared" si="410"/>
        <v>0</v>
      </c>
      <c r="E720" s="118">
        <f>+N720</f>
        <v>0</v>
      </c>
      <c r="F720" s="118">
        <f t="shared" si="415"/>
        <v>0</v>
      </c>
      <c r="G720" s="118">
        <f t="shared" si="411"/>
        <v>0</v>
      </c>
      <c r="H720" s="118">
        <v>249769</v>
      </c>
      <c r="I720" s="118">
        <f t="shared" ref="I720:I723" si="419">+C720+D720-E720-F720+G720</f>
        <v>249769</v>
      </c>
      <c r="J720" s="9">
        <f t="shared" si="412"/>
        <v>0</v>
      </c>
      <c r="K720" s="45" t="s">
        <v>83</v>
      </c>
      <c r="L720" s="47">
        <v>0</v>
      </c>
      <c r="M720" s="47">
        <v>0</v>
      </c>
      <c r="N720" s="47">
        <v>0</v>
      </c>
      <c r="O720" s="47">
        <v>0</v>
      </c>
    </row>
    <row r="721" spans="1:15" x14ac:dyDescent="0.3">
      <c r="A721" s="58" t="str">
        <f t="shared" si="418"/>
        <v>Godfré</v>
      </c>
      <c r="B721" s="98" t="s">
        <v>161</v>
      </c>
      <c r="C721" s="61">
        <v>79935</v>
      </c>
      <c r="D721" s="61">
        <f t="shared" si="410"/>
        <v>1202000</v>
      </c>
      <c r="E721" s="154">
        <f t="shared" ref="E721" si="420">+N721</f>
        <v>1118750</v>
      </c>
      <c r="F721" s="61">
        <f t="shared" si="415"/>
        <v>50000</v>
      </c>
      <c r="G721" s="61">
        <f t="shared" si="411"/>
        <v>0</v>
      </c>
      <c r="H721" s="61">
        <v>113185</v>
      </c>
      <c r="I721" s="61">
        <f t="shared" si="419"/>
        <v>113185</v>
      </c>
      <c r="J721" s="9">
        <f t="shared" si="412"/>
        <v>0</v>
      </c>
      <c r="K721" s="45" t="s">
        <v>151</v>
      </c>
      <c r="L721" s="47">
        <v>1202000</v>
      </c>
      <c r="M721" s="47">
        <v>50000</v>
      </c>
      <c r="N721" s="47">
        <v>1118750</v>
      </c>
      <c r="O721" s="47">
        <v>0</v>
      </c>
    </row>
    <row r="722" spans="1:15" x14ac:dyDescent="0.3">
      <c r="A722" s="58" t="str">
        <f t="shared" si="418"/>
        <v>Grace</v>
      </c>
      <c r="B722" s="59" t="s">
        <v>2</v>
      </c>
      <c r="C722" s="61">
        <v>19800</v>
      </c>
      <c r="D722" s="61">
        <f t="shared" si="410"/>
        <v>3247000</v>
      </c>
      <c r="E722" s="154">
        <f>+N722</f>
        <v>1165100</v>
      </c>
      <c r="F722" s="61">
        <f t="shared" si="415"/>
        <v>2081000</v>
      </c>
      <c r="G722" s="61">
        <f t="shared" si="411"/>
        <v>0</v>
      </c>
      <c r="H722" s="61">
        <v>20700</v>
      </c>
      <c r="I722" s="61">
        <f t="shared" si="419"/>
        <v>20700</v>
      </c>
      <c r="J722" s="9">
        <f>I722-H722</f>
        <v>0</v>
      </c>
      <c r="K722" s="45" t="s">
        <v>150</v>
      </c>
      <c r="L722" s="47">
        <v>3247000</v>
      </c>
      <c r="M722" s="47">
        <v>2081000</v>
      </c>
      <c r="N722" s="47">
        <v>1165100</v>
      </c>
      <c r="O722" s="47">
        <v>0</v>
      </c>
    </row>
    <row r="723" spans="1:15" x14ac:dyDescent="0.3">
      <c r="A723" s="58" t="str">
        <f t="shared" si="418"/>
        <v>I23C</v>
      </c>
      <c r="B723" s="98" t="s">
        <v>4</v>
      </c>
      <c r="C723" s="61">
        <v>30550</v>
      </c>
      <c r="D723" s="61">
        <f t="shared" si="410"/>
        <v>1493000</v>
      </c>
      <c r="E723" s="154">
        <f t="shared" ref="E723:E726" si="421">+N723</f>
        <v>1238000</v>
      </c>
      <c r="F723" s="61">
        <f t="shared" si="415"/>
        <v>270000</v>
      </c>
      <c r="G723" s="61">
        <f t="shared" si="411"/>
        <v>0</v>
      </c>
      <c r="H723" s="61">
        <v>15550</v>
      </c>
      <c r="I723" s="61">
        <f t="shared" si="419"/>
        <v>15550</v>
      </c>
      <c r="J723" s="9">
        <f t="shared" ref="J723:J724" si="422">I723-H723</f>
        <v>0</v>
      </c>
      <c r="K723" s="45" t="s">
        <v>30</v>
      </c>
      <c r="L723" s="47">
        <v>1493000</v>
      </c>
      <c r="M723" s="47">
        <v>270000</v>
      </c>
      <c r="N723" s="47">
        <v>1238000</v>
      </c>
      <c r="O723" s="47">
        <v>0</v>
      </c>
    </row>
    <row r="724" spans="1:15" x14ac:dyDescent="0.3">
      <c r="A724" s="58" t="str">
        <f t="shared" si="418"/>
        <v>Merveille</v>
      </c>
      <c r="B724" s="59" t="s">
        <v>2</v>
      </c>
      <c r="C724" s="61">
        <v>13000</v>
      </c>
      <c r="D724" s="61">
        <f t="shared" si="410"/>
        <v>50000</v>
      </c>
      <c r="E724" s="154">
        <f t="shared" si="421"/>
        <v>58200</v>
      </c>
      <c r="F724" s="61">
        <f t="shared" si="415"/>
        <v>0</v>
      </c>
      <c r="G724" s="61">
        <f t="shared" si="411"/>
        <v>0</v>
      </c>
      <c r="H724" s="61">
        <v>4800</v>
      </c>
      <c r="I724" s="61">
        <f>+C724+D724-E724-F724+G724</f>
        <v>4800</v>
      </c>
      <c r="J724" s="9">
        <f t="shared" si="422"/>
        <v>0</v>
      </c>
      <c r="K724" s="45" t="s">
        <v>93</v>
      </c>
      <c r="L724" s="47">
        <v>50000</v>
      </c>
      <c r="M724" s="47">
        <v>0</v>
      </c>
      <c r="N724" s="47">
        <v>58200</v>
      </c>
      <c r="O724" s="47"/>
    </row>
    <row r="725" spans="1:15" x14ac:dyDescent="0.3">
      <c r="A725" s="58" t="str">
        <f t="shared" si="418"/>
        <v>P29</v>
      </c>
      <c r="B725" s="59" t="s">
        <v>4</v>
      </c>
      <c r="C725" s="61">
        <v>55700</v>
      </c>
      <c r="D725" s="61">
        <f t="shared" si="410"/>
        <v>1029000</v>
      </c>
      <c r="E725" s="154">
        <f t="shared" si="421"/>
        <v>648500</v>
      </c>
      <c r="F725" s="61">
        <f>+M725</f>
        <v>300000</v>
      </c>
      <c r="G725" s="61">
        <f>+O725</f>
        <v>0</v>
      </c>
      <c r="H725" s="61">
        <v>136200</v>
      </c>
      <c r="I725" s="61">
        <f>+C725+D725-E725-F725+G725</f>
        <v>136200</v>
      </c>
      <c r="J725" s="9">
        <f>I725-H725</f>
        <v>0</v>
      </c>
      <c r="K725" s="45" t="s">
        <v>29</v>
      </c>
      <c r="L725" s="47">
        <v>1029000</v>
      </c>
      <c r="M725" s="47">
        <v>300000</v>
      </c>
      <c r="N725" s="47">
        <v>648500</v>
      </c>
      <c r="O725" s="47">
        <v>0</v>
      </c>
    </row>
    <row r="726" spans="1:15" x14ac:dyDescent="0.3">
      <c r="A726" s="58" t="str">
        <f t="shared" si="418"/>
        <v>Tiffany</v>
      </c>
      <c r="B726" s="59" t="s">
        <v>2</v>
      </c>
      <c r="C726" s="61">
        <v>-36237</v>
      </c>
      <c r="D726" s="61">
        <f t="shared" si="410"/>
        <v>210000</v>
      </c>
      <c r="E726" s="154">
        <f t="shared" si="421"/>
        <v>210500</v>
      </c>
      <c r="F726" s="61">
        <f t="shared" ref="F726" si="423">+M726</f>
        <v>0</v>
      </c>
      <c r="G726" s="61">
        <f t="shared" ref="G726" si="424">+O726</f>
        <v>0</v>
      </c>
      <c r="H726" s="61">
        <v>-36737</v>
      </c>
      <c r="I726" s="61">
        <f t="shared" ref="I726" si="425">+C726+D726-E726-F726+G726</f>
        <v>-36737</v>
      </c>
      <c r="J726" s="9">
        <f t="shared" ref="J726" si="426">I726-H726</f>
        <v>0</v>
      </c>
      <c r="K726" s="45" t="s">
        <v>113</v>
      </c>
      <c r="L726" s="47">
        <v>210000</v>
      </c>
      <c r="M726" s="47">
        <v>0</v>
      </c>
      <c r="N726" s="47">
        <v>210500</v>
      </c>
      <c r="O726" s="47">
        <v>0</v>
      </c>
    </row>
    <row r="727" spans="1:15" x14ac:dyDescent="0.3">
      <c r="A727" s="10" t="s">
        <v>50</v>
      </c>
      <c r="B727" s="11"/>
      <c r="C727" s="12">
        <f t="shared" ref="C727:I727" si="427">SUM(C713:C726)</f>
        <v>17560283</v>
      </c>
      <c r="D727" s="57">
        <f t="shared" si="427"/>
        <v>20915000</v>
      </c>
      <c r="E727" s="57">
        <f t="shared" si="427"/>
        <v>14177366</v>
      </c>
      <c r="F727" s="57">
        <f t="shared" si="427"/>
        <v>20915000</v>
      </c>
      <c r="G727" s="57">
        <f t="shared" si="427"/>
        <v>0</v>
      </c>
      <c r="H727" s="57">
        <f t="shared" si="427"/>
        <v>3382917</v>
      </c>
      <c r="I727" s="57">
        <f t="shared" si="427"/>
        <v>3382917</v>
      </c>
      <c r="J727" s="9">
        <f>I727-H727</f>
        <v>0</v>
      </c>
      <c r="K727" s="3"/>
      <c r="L727" s="47">
        <f>+SUM(L713:L726)</f>
        <v>20915000</v>
      </c>
      <c r="M727" s="47">
        <f>+SUM(M713:M726)</f>
        <v>20915000</v>
      </c>
      <c r="N727" s="47">
        <f>+SUM(N713:N726)</f>
        <v>14177366</v>
      </c>
      <c r="O727" s="47">
        <f>+SUM(O713:O726)</f>
        <v>0</v>
      </c>
    </row>
    <row r="728" spans="1:15" x14ac:dyDescent="0.3">
      <c r="A728" s="10"/>
      <c r="B728" s="11"/>
      <c r="C728" s="12"/>
      <c r="D728" s="13"/>
      <c r="E728" s="12"/>
      <c r="F728" s="13"/>
      <c r="G728" s="12"/>
      <c r="H728" s="12"/>
      <c r="I728" s="134" t="b">
        <f>I727=D730</f>
        <v>1</v>
      </c>
      <c r="L728" s="5"/>
      <c r="M728" s="5"/>
      <c r="N728" s="5"/>
      <c r="O728" s="5"/>
    </row>
    <row r="729" spans="1:15" x14ac:dyDescent="0.3">
      <c r="A729" s="10" t="s">
        <v>189</v>
      </c>
      <c r="B729" s="11" t="s">
        <v>190</v>
      </c>
      <c r="C729" s="12" t="s">
        <v>191</v>
      </c>
      <c r="D729" s="12" t="s">
        <v>202</v>
      </c>
      <c r="E729" s="12" t="s">
        <v>51</v>
      </c>
      <c r="F729" s="12"/>
      <c r="G729" s="12">
        <f>+D727-F727</f>
        <v>0</v>
      </c>
      <c r="H729" s="12"/>
      <c r="I729" s="12"/>
    </row>
    <row r="730" spans="1:15" x14ac:dyDescent="0.3">
      <c r="A730" s="14">
        <f>C727</f>
        <v>17560283</v>
      </c>
      <c r="B730" s="15">
        <f>G727</f>
        <v>0</v>
      </c>
      <c r="C730" s="12">
        <f>E727</f>
        <v>14177366</v>
      </c>
      <c r="D730" s="12">
        <f>A730+B730-C730</f>
        <v>3382917</v>
      </c>
      <c r="E730" s="13">
        <f>I727-D730</f>
        <v>0</v>
      </c>
      <c r="F730" s="12"/>
      <c r="G730" s="12"/>
      <c r="H730" s="12"/>
      <c r="I730" s="12"/>
    </row>
    <row r="731" spans="1:15" x14ac:dyDescent="0.3">
      <c r="A731" s="14"/>
      <c r="B731" s="15"/>
      <c r="C731" s="12"/>
      <c r="D731" s="12"/>
      <c r="E731" s="13"/>
      <c r="F731" s="12"/>
      <c r="G731" s="12"/>
      <c r="H731" s="12"/>
      <c r="I731" s="12"/>
    </row>
    <row r="732" spans="1:15" x14ac:dyDescent="0.3">
      <c r="A732" s="16" t="s">
        <v>52</v>
      </c>
      <c r="B732" s="16"/>
      <c r="C732" s="16"/>
      <c r="D732" s="17"/>
      <c r="E732" s="17"/>
      <c r="F732" s="17"/>
      <c r="G732" s="17"/>
      <c r="H732" s="17"/>
      <c r="I732" s="17"/>
    </row>
    <row r="733" spans="1:15" x14ac:dyDescent="0.3">
      <c r="A733" s="18" t="s">
        <v>193</v>
      </c>
      <c r="B733" s="18"/>
      <c r="C733" s="18"/>
      <c r="D733" s="18"/>
      <c r="E733" s="18"/>
      <c r="F733" s="18"/>
      <c r="G733" s="18"/>
      <c r="H733" s="18"/>
      <c r="I733" s="18"/>
      <c r="J733" s="18"/>
    </row>
    <row r="734" spans="1:15" x14ac:dyDescent="0.3">
      <c r="A734" s="19"/>
      <c r="B734" s="17"/>
      <c r="C734" s="20"/>
      <c r="D734" s="20"/>
      <c r="E734" s="20"/>
      <c r="F734" s="20"/>
      <c r="G734" s="20"/>
      <c r="H734" s="17"/>
      <c r="I734" s="17"/>
    </row>
    <row r="735" spans="1:15" x14ac:dyDescent="0.3">
      <c r="A735" s="170" t="s">
        <v>53</v>
      </c>
      <c r="B735" s="172" t="s">
        <v>54</v>
      </c>
      <c r="C735" s="174" t="s">
        <v>192</v>
      </c>
      <c r="D735" s="175" t="s">
        <v>55</v>
      </c>
      <c r="E735" s="176"/>
      <c r="F735" s="176"/>
      <c r="G735" s="177"/>
      <c r="H735" s="178" t="s">
        <v>56</v>
      </c>
      <c r="I735" s="166" t="s">
        <v>57</v>
      </c>
      <c r="J735" s="17"/>
    </row>
    <row r="736" spans="1:15" ht="28.5" customHeight="1" x14ac:dyDescent="0.3">
      <c r="A736" s="171"/>
      <c r="B736" s="173"/>
      <c r="C736" s="22"/>
      <c r="D736" s="21" t="s">
        <v>24</v>
      </c>
      <c r="E736" s="21" t="s">
        <v>25</v>
      </c>
      <c r="F736" s="22" t="s">
        <v>123</v>
      </c>
      <c r="G736" s="21" t="s">
        <v>58</v>
      </c>
      <c r="H736" s="179"/>
      <c r="I736" s="167"/>
      <c r="J736" s="168" t="s">
        <v>194</v>
      </c>
      <c r="K736" s="143"/>
    </row>
    <row r="737" spans="1:11" x14ac:dyDescent="0.3">
      <c r="A737" s="23"/>
      <c r="B737" s="24" t="s">
        <v>59</v>
      </c>
      <c r="C737" s="25"/>
      <c r="D737" s="25"/>
      <c r="E737" s="25"/>
      <c r="F737" s="25"/>
      <c r="G737" s="25"/>
      <c r="H737" s="25"/>
      <c r="I737" s="26"/>
      <c r="J737" s="169"/>
      <c r="K737" s="143"/>
    </row>
    <row r="738" spans="1:11" x14ac:dyDescent="0.3">
      <c r="A738" s="122" t="s">
        <v>115</v>
      </c>
      <c r="B738" s="127" t="s">
        <v>169</v>
      </c>
      <c r="C738" s="32">
        <f>+C713</f>
        <v>500</v>
      </c>
      <c r="D738" s="31"/>
      <c r="E738" s="32">
        <f>+D713</f>
        <v>50000</v>
      </c>
      <c r="F738" s="32"/>
      <c r="G738" s="32"/>
      <c r="H738" s="55">
        <f>+F713</f>
        <v>0</v>
      </c>
      <c r="I738" s="32">
        <f>+E713</f>
        <v>50500</v>
      </c>
      <c r="J738" s="30">
        <f t="shared" ref="J738:J739" si="428">+SUM(C738:G738)-(H738+I738)</f>
        <v>0</v>
      </c>
      <c r="K738" s="144" t="b">
        <f>J738=I713</f>
        <v>1</v>
      </c>
    </row>
    <row r="739" spans="1:11" x14ac:dyDescent="0.3">
      <c r="A739" s="122" t="str">
        <f>+A738</f>
        <v>FEVRIER</v>
      </c>
      <c r="B739" s="127" t="s">
        <v>47</v>
      </c>
      <c r="C739" s="32">
        <f>+C717</f>
        <v>9000</v>
      </c>
      <c r="D739" s="31"/>
      <c r="E739" s="32">
        <f>+D717</f>
        <v>2509000</v>
      </c>
      <c r="F739" s="32"/>
      <c r="G739" s="32"/>
      <c r="H739" s="55">
        <f>+F717</f>
        <v>440000</v>
      </c>
      <c r="I739" s="32">
        <f>+E717</f>
        <v>2021950</v>
      </c>
      <c r="J739" s="101">
        <f t="shared" si="428"/>
        <v>56050</v>
      </c>
      <c r="K739" s="144" t="b">
        <f t="shared" ref="K739:K748" si="429">J739=I717</f>
        <v>1</v>
      </c>
    </row>
    <row r="740" spans="1:11" x14ac:dyDescent="0.3">
      <c r="A740" s="122" t="str">
        <f t="shared" ref="A740:A748" si="430">+A739</f>
        <v>FEVRIER</v>
      </c>
      <c r="B740" s="128" t="s">
        <v>31</v>
      </c>
      <c r="C740" s="32">
        <f>+C718</f>
        <v>8645</v>
      </c>
      <c r="D740" s="119"/>
      <c r="E740" s="32">
        <f>+D718</f>
        <v>614000</v>
      </c>
      <c r="F740" s="51"/>
      <c r="G740" s="51"/>
      <c r="H740" s="55">
        <f>+F718</f>
        <v>0</v>
      </c>
      <c r="I740" s="32">
        <f>+E718</f>
        <v>601150</v>
      </c>
      <c r="J740" s="124">
        <f>+SUM(C740:G740)-(H740+I740)</f>
        <v>21495</v>
      </c>
      <c r="K740" s="144" t="b">
        <f t="shared" si="429"/>
        <v>1</v>
      </c>
    </row>
    <row r="741" spans="1:11" x14ac:dyDescent="0.3">
      <c r="A741" s="122" t="str">
        <f t="shared" si="430"/>
        <v>FEVRIER</v>
      </c>
      <c r="B741" s="129" t="s">
        <v>84</v>
      </c>
      <c r="C741" s="120">
        <f>+C719</f>
        <v>233614</v>
      </c>
      <c r="D741" s="123"/>
      <c r="E741" s="120">
        <f>+D719</f>
        <v>0</v>
      </c>
      <c r="F741" s="137"/>
      <c r="G741" s="137"/>
      <c r="H741" s="155">
        <f>+F719</f>
        <v>0</v>
      </c>
      <c r="I741" s="120">
        <f>+E719</f>
        <v>0</v>
      </c>
      <c r="J741" s="121">
        <f>+SUM(C741:G741)-(H741+I741)</f>
        <v>233614</v>
      </c>
      <c r="K741" s="144" t="b">
        <f t="shared" si="429"/>
        <v>1</v>
      </c>
    </row>
    <row r="742" spans="1:11" x14ac:dyDescent="0.3">
      <c r="A742" s="122" t="str">
        <f t="shared" si="430"/>
        <v>FEVRIER</v>
      </c>
      <c r="B742" s="129" t="s">
        <v>83</v>
      </c>
      <c r="C742" s="120">
        <f>+C720</f>
        <v>249769</v>
      </c>
      <c r="D742" s="123"/>
      <c r="E742" s="120">
        <f>+D720</f>
        <v>0</v>
      </c>
      <c r="F742" s="137"/>
      <c r="G742" s="137"/>
      <c r="H742" s="155">
        <f>+F720</f>
        <v>0</v>
      </c>
      <c r="I742" s="120">
        <f>+E720</f>
        <v>0</v>
      </c>
      <c r="J742" s="121">
        <f t="shared" ref="J742:J748" si="431">+SUM(C742:G742)-(H742+I742)</f>
        <v>249769</v>
      </c>
      <c r="K742" s="144" t="b">
        <f t="shared" si="429"/>
        <v>1</v>
      </c>
    </row>
    <row r="743" spans="1:11" x14ac:dyDescent="0.3">
      <c r="A743" s="122" t="str">
        <f t="shared" si="430"/>
        <v>FEVRIER</v>
      </c>
      <c r="B743" s="127" t="s">
        <v>151</v>
      </c>
      <c r="C743" s="32">
        <f>+C721</f>
        <v>79935</v>
      </c>
      <c r="D743" s="31"/>
      <c r="E743" s="32">
        <f>+D721</f>
        <v>1202000</v>
      </c>
      <c r="F743" s="32"/>
      <c r="G743" s="104"/>
      <c r="H743" s="55">
        <f>+F721</f>
        <v>50000</v>
      </c>
      <c r="I743" s="32">
        <f>+E721</f>
        <v>1118750</v>
      </c>
      <c r="J743" s="30">
        <f t="shared" si="431"/>
        <v>113185</v>
      </c>
      <c r="K743" s="144" t="b">
        <f t="shared" si="429"/>
        <v>1</v>
      </c>
    </row>
    <row r="744" spans="1:11" x14ac:dyDescent="0.3">
      <c r="A744" s="122" t="str">
        <f t="shared" si="430"/>
        <v>FEVRIER</v>
      </c>
      <c r="B744" s="127" t="s">
        <v>150</v>
      </c>
      <c r="C744" s="32">
        <f t="shared" ref="C744:C748" si="432">+C722</f>
        <v>19800</v>
      </c>
      <c r="D744" s="31"/>
      <c r="E744" s="32">
        <f t="shared" ref="E744:E748" si="433">+D722</f>
        <v>3247000</v>
      </c>
      <c r="F744" s="32"/>
      <c r="G744" s="104"/>
      <c r="H744" s="55">
        <f t="shared" ref="H744:H748" si="434">+F722</f>
        <v>2081000</v>
      </c>
      <c r="I744" s="32">
        <f t="shared" ref="I744:I748" si="435">+E722</f>
        <v>1165100</v>
      </c>
      <c r="J744" s="30">
        <f t="shared" si="431"/>
        <v>20700</v>
      </c>
      <c r="K744" s="144" t="b">
        <f t="shared" si="429"/>
        <v>1</v>
      </c>
    </row>
    <row r="745" spans="1:11" x14ac:dyDescent="0.3">
      <c r="A745" s="122" t="str">
        <f t="shared" si="430"/>
        <v>FEVRIER</v>
      </c>
      <c r="B745" s="127" t="s">
        <v>30</v>
      </c>
      <c r="C745" s="32">
        <f t="shared" si="432"/>
        <v>30550</v>
      </c>
      <c r="D745" s="31"/>
      <c r="E745" s="32">
        <f t="shared" si="433"/>
        <v>1493000</v>
      </c>
      <c r="F745" s="32"/>
      <c r="G745" s="104"/>
      <c r="H745" s="55">
        <f t="shared" si="434"/>
        <v>270000</v>
      </c>
      <c r="I745" s="32">
        <f t="shared" si="435"/>
        <v>1238000</v>
      </c>
      <c r="J745" s="30">
        <f t="shared" si="431"/>
        <v>15550</v>
      </c>
      <c r="K745" s="144" t="b">
        <f t="shared" si="429"/>
        <v>1</v>
      </c>
    </row>
    <row r="746" spans="1:11" x14ac:dyDescent="0.3">
      <c r="A746" s="122" t="str">
        <f>+A744</f>
        <v>FEVRIER</v>
      </c>
      <c r="B746" s="127" t="s">
        <v>93</v>
      </c>
      <c r="C746" s="32">
        <f t="shared" si="432"/>
        <v>13000</v>
      </c>
      <c r="D746" s="31"/>
      <c r="E746" s="32">
        <f t="shared" si="433"/>
        <v>50000</v>
      </c>
      <c r="F746" s="32"/>
      <c r="G746" s="104"/>
      <c r="H746" s="55">
        <f t="shared" si="434"/>
        <v>0</v>
      </c>
      <c r="I746" s="32">
        <f t="shared" si="435"/>
        <v>58200</v>
      </c>
      <c r="J746" s="30">
        <f t="shared" si="431"/>
        <v>4800</v>
      </c>
      <c r="K746" s="144" t="b">
        <f t="shared" si="429"/>
        <v>1</v>
      </c>
    </row>
    <row r="747" spans="1:11" x14ac:dyDescent="0.3">
      <c r="A747" s="122" t="str">
        <f>+A745</f>
        <v>FEVRIER</v>
      </c>
      <c r="B747" s="127" t="s">
        <v>29</v>
      </c>
      <c r="C747" s="32">
        <f t="shared" si="432"/>
        <v>55700</v>
      </c>
      <c r="D747" s="31"/>
      <c r="E747" s="32">
        <f t="shared" si="433"/>
        <v>1029000</v>
      </c>
      <c r="F747" s="32"/>
      <c r="G747" s="104"/>
      <c r="H747" s="55">
        <f t="shared" si="434"/>
        <v>300000</v>
      </c>
      <c r="I747" s="32">
        <f t="shared" si="435"/>
        <v>648500</v>
      </c>
      <c r="J747" s="30">
        <f t="shared" si="431"/>
        <v>136200</v>
      </c>
      <c r="K747" s="144" t="b">
        <f t="shared" si="429"/>
        <v>1</v>
      </c>
    </row>
    <row r="748" spans="1:11" x14ac:dyDescent="0.3">
      <c r="A748" s="122" t="str">
        <f t="shared" si="430"/>
        <v>FEVRIER</v>
      </c>
      <c r="B748" s="128" t="s">
        <v>113</v>
      </c>
      <c r="C748" s="32">
        <f t="shared" si="432"/>
        <v>-36237</v>
      </c>
      <c r="D748" s="119"/>
      <c r="E748" s="32">
        <f t="shared" si="433"/>
        <v>210000</v>
      </c>
      <c r="F748" s="51"/>
      <c r="G748" s="138"/>
      <c r="H748" s="55">
        <f t="shared" si="434"/>
        <v>0</v>
      </c>
      <c r="I748" s="32">
        <f t="shared" si="435"/>
        <v>210500</v>
      </c>
      <c r="J748" s="30">
        <f t="shared" si="431"/>
        <v>-36737</v>
      </c>
      <c r="K748" s="144" t="b">
        <f t="shared" si="429"/>
        <v>1</v>
      </c>
    </row>
    <row r="749" spans="1:11" x14ac:dyDescent="0.3">
      <c r="A749" s="34" t="s">
        <v>60</v>
      </c>
      <c r="B749" s="35"/>
      <c r="C749" s="35"/>
      <c r="D749" s="35"/>
      <c r="E749" s="35"/>
      <c r="F749" s="35"/>
      <c r="G749" s="35"/>
      <c r="H749" s="35"/>
      <c r="I749" s="35"/>
      <c r="J749" s="36"/>
      <c r="K749" s="143"/>
    </row>
    <row r="750" spans="1:11" x14ac:dyDescent="0.3">
      <c r="A750" s="122" t="str">
        <f>+A748</f>
        <v>FEVRIER</v>
      </c>
      <c r="B750" s="37" t="s">
        <v>61</v>
      </c>
      <c r="C750" s="38">
        <f>+C716</f>
        <v>580885</v>
      </c>
      <c r="D750" s="49"/>
      <c r="E750" s="49">
        <f>D716</f>
        <v>10511000</v>
      </c>
      <c r="F750" s="49"/>
      <c r="G750" s="125"/>
      <c r="H750" s="51">
        <f>+F716</f>
        <v>7774000</v>
      </c>
      <c r="I750" s="126">
        <f>+E716</f>
        <v>2520779</v>
      </c>
      <c r="J750" s="30">
        <f>+SUM(C750:G750)-(H750+I750)</f>
        <v>797106</v>
      </c>
      <c r="K750" s="144" t="b">
        <f>J750=I716</f>
        <v>1</v>
      </c>
    </row>
    <row r="751" spans="1:11" x14ac:dyDescent="0.3">
      <c r="A751" s="43" t="s">
        <v>62</v>
      </c>
      <c r="B751" s="24"/>
      <c r="C751" s="35"/>
      <c r="D751" s="24"/>
      <c r="E751" s="24"/>
      <c r="F751" s="24"/>
      <c r="G751" s="24"/>
      <c r="H751" s="24"/>
      <c r="I751" s="24"/>
      <c r="J751" s="36"/>
      <c r="K751" s="143"/>
    </row>
    <row r="752" spans="1:11" x14ac:dyDescent="0.3">
      <c r="A752" s="122" t="str">
        <f>+A750</f>
        <v>FEVRIER</v>
      </c>
      <c r="B752" s="37" t="s">
        <v>163</v>
      </c>
      <c r="C752" s="125">
        <f>+C714</f>
        <v>2172028</v>
      </c>
      <c r="D752" s="132">
        <f>+G714</f>
        <v>0</v>
      </c>
      <c r="E752" s="49"/>
      <c r="F752" s="49"/>
      <c r="G752" s="49"/>
      <c r="H752" s="51">
        <f>+F714</f>
        <v>1000000</v>
      </c>
      <c r="I752" s="53">
        <f>+E714</f>
        <v>283345</v>
      </c>
      <c r="J752" s="30">
        <f>+SUM(C752:G752)-(H752+I752)</f>
        <v>888683</v>
      </c>
      <c r="K752" s="144" t="b">
        <f>+J752=I714</f>
        <v>1</v>
      </c>
    </row>
    <row r="753" spans="1:16" x14ac:dyDescent="0.3">
      <c r="A753" s="122" t="str">
        <f t="shared" ref="A753" si="436">+A752</f>
        <v>FEVRIER</v>
      </c>
      <c r="B753" s="37" t="s">
        <v>64</v>
      </c>
      <c r="C753" s="125">
        <f>+C715</f>
        <v>14143094</v>
      </c>
      <c r="D753" s="49">
        <f>+G715</f>
        <v>0</v>
      </c>
      <c r="E753" s="48"/>
      <c r="F753" s="48"/>
      <c r="G753" s="48"/>
      <c r="H753" s="32">
        <f>+F715</f>
        <v>9000000</v>
      </c>
      <c r="I753" s="50">
        <f>+E715</f>
        <v>4260592</v>
      </c>
      <c r="J753" s="30">
        <f>SUM(C753:G753)-(H753+I753)</f>
        <v>882502</v>
      </c>
      <c r="K753" s="144" t="b">
        <f>+J753=I715</f>
        <v>1</v>
      </c>
    </row>
    <row r="754" spans="1:16" ht="15.6" x14ac:dyDescent="0.3">
      <c r="C754" s="141">
        <f>SUM(C738:C753)</f>
        <v>17560283</v>
      </c>
      <c r="I754" s="140">
        <f>SUM(I738:I753)</f>
        <v>14177366</v>
      </c>
      <c r="J754" s="105">
        <f>+SUM(J738:J753)</f>
        <v>3382917</v>
      </c>
      <c r="K754" s="5" t="b">
        <f>J754=I727</f>
        <v>1</v>
      </c>
    </row>
    <row r="755" spans="1:16" ht="15.6" x14ac:dyDescent="0.3">
      <c r="A755" s="161"/>
      <c r="B755" s="161"/>
      <c r="C755" s="162"/>
      <c r="D755" s="161"/>
      <c r="E755" s="161"/>
      <c r="F755" s="161"/>
      <c r="G755" s="161"/>
      <c r="H755" s="161"/>
      <c r="I755" s="163"/>
      <c r="J755" s="164"/>
      <c r="K755" s="161"/>
      <c r="L755" s="165"/>
      <c r="M755" s="165"/>
      <c r="N755" s="165"/>
      <c r="O755" s="165"/>
      <c r="P755" s="161"/>
    </row>
    <row r="756" spans="1:16" ht="15.6" x14ac:dyDescent="0.3">
      <c r="A756" s="161"/>
      <c r="B756" s="161"/>
      <c r="C756" s="162"/>
      <c r="D756" s="161"/>
      <c r="E756" s="161"/>
      <c r="F756" s="161"/>
      <c r="G756" s="161"/>
      <c r="H756" s="161"/>
      <c r="I756" s="163"/>
      <c r="J756" s="164"/>
      <c r="K756" s="161"/>
      <c r="L756" s="165"/>
      <c r="M756" s="165"/>
      <c r="N756" s="165"/>
      <c r="O756" s="165"/>
      <c r="P756" s="161"/>
    </row>
    <row r="758" spans="1:16" ht="15.6" x14ac:dyDescent="0.3">
      <c r="A758" s="6" t="s">
        <v>36</v>
      </c>
      <c r="B758" s="6" t="s">
        <v>1</v>
      </c>
      <c r="C758" s="6">
        <v>44562</v>
      </c>
      <c r="D758" s="7" t="s">
        <v>37</v>
      </c>
      <c r="E758" s="7" t="s">
        <v>38</v>
      </c>
      <c r="F758" s="7" t="s">
        <v>39</v>
      </c>
      <c r="G758" s="7" t="s">
        <v>40</v>
      </c>
      <c r="H758" s="6">
        <v>44592</v>
      </c>
      <c r="I758" s="7" t="s">
        <v>41</v>
      </c>
      <c r="K758" s="45"/>
      <c r="L758" s="45" t="s">
        <v>42</v>
      </c>
      <c r="M758" s="45" t="s">
        <v>43</v>
      </c>
      <c r="N758" s="45" t="s">
        <v>44</v>
      </c>
      <c r="O758" s="45" t="s">
        <v>45</v>
      </c>
    </row>
    <row r="759" spans="1:16" x14ac:dyDescent="0.3">
      <c r="A759" s="58" t="str">
        <f>+K759</f>
        <v>B52</v>
      </c>
      <c r="B759" s="59" t="s">
        <v>4</v>
      </c>
      <c r="C759" s="60">
        <v>9500</v>
      </c>
      <c r="D759" s="61">
        <f t="shared" ref="D759:D772" si="437">+L759</f>
        <v>567000</v>
      </c>
      <c r="E759" s="61">
        <f>+N759</f>
        <v>576000</v>
      </c>
      <c r="F759" s="61">
        <f>+M759</f>
        <v>0</v>
      </c>
      <c r="G759" s="61">
        <f t="shared" ref="G759:G770" si="438">+O759</f>
        <v>0</v>
      </c>
      <c r="H759" s="61">
        <v>500</v>
      </c>
      <c r="I759" s="61">
        <f>+C759+D759-E759-F759+G759</f>
        <v>500</v>
      </c>
      <c r="J759" s="9">
        <f>I759-H759</f>
        <v>0</v>
      </c>
      <c r="K759" s="45" t="s">
        <v>169</v>
      </c>
      <c r="L759" s="47">
        <v>567000</v>
      </c>
      <c r="M759" s="47">
        <v>0</v>
      </c>
      <c r="N759" s="47">
        <v>576000</v>
      </c>
      <c r="O759" s="47">
        <v>0</v>
      </c>
    </row>
    <row r="760" spans="1:16" x14ac:dyDescent="0.3">
      <c r="A760" s="58" t="str">
        <f>+K760</f>
        <v>BCI</v>
      </c>
      <c r="B760" s="59" t="s">
        <v>46</v>
      </c>
      <c r="C760" s="60">
        <v>3455373</v>
      </c>
      <c r="D760" s="61">
        <f t="shared" si="437"/>
        <v>0</v>
      </c>
      <c r="E760" s="61">
        <f>+N760</f>
        <v>283345</v>
      </c>
      <c r="F760" s="61">
        <f>+M760</f>
        <v>1000000</v>
      </c>
      <c r="G760" s="61">
        <f t="shared" si="438"/>
        <v>0</v>
      </c>
      <c r="H760" s="61">
        <v>2172028</v>
      </c>
      <c r="I760" s="61">
        <f>+C760+D760-E760-F760+G760</f>
        <v>2172028</v>
      </c>
      <c r="J760" s="9">
        <f t="shared" ref="J760:J767" si="439">I760-H760</f>
        <v>0</v>
      </c>
      <c r="K760" s="45" t="s">
        <v>24</v>
      </c>
      <c r="L760" s="47">
        <v>0</v>
      </c>
      <c r="M760" s="47">
        <v>1000000</v>
      </c>
      <c r="N760" s="47">
        <v>283345</v>
      </c>
      <c r="O760" s="47">
        <v>0</v>
      </c>
    </row>
    <row r="761" spans="1:16" x14ac:dyDescent="0.3">
      <c r="A761" s="58" t="str">
        <f t="shared" ref="A761:A763" si="440">+K761</f>
        <v>BCI-Sous Compte</v>
      </c>
      <c r="B761" s="59" t="s">
        <v>46</v>
      </c>
      <c r="C761" s="60">
        <v>4841615</v>
      </c>
      <c r="D761" s="61">
        <f t="shared" si="437"/>
        <v>0</v>
      </c>
      <c r="E761" s="61">
        <f>+N761</f>
        <v>6223724</v>
      </c>
      <c r="F761" s="61">
        <f>+M761</f>
        <v>2000000</v>
      </c>
      <c r="G761" s="61">
        <f t="shared" si="438"/>
        <v>17525203</v>
      </c>
      <c r="H761" s="61">
        <v>14143094</v>
      </c>
      <c r="I761" s="61">
        <f>+C761+D761-E761-F761+G761</f>
        <v>14143094</v>
      </c>
      <c r="J761" s="102">
        <f t="shared" si="439"/>
        <v>0</v>
      </c>
      <c r="K761" s="45" t="s">
        <v>155</v>
      </c>
      <c r="L761" s="47">
        <v>0</v>
      </c>
      <c r="M761" s="47">
        <v>2000000</v>
      </c>
      <c r="N761" s="47">
        <v>6223724</v>
      </c>
      <c r="O761" s="47">
        <v>17525203</v>
      </c>
    </row>
    <row r="762" spans="1:16" x14ac:dyDescent="0.3">
      <c r="A762" s="58" t="str">
        <f t="shared" si="440"/>
        <v>Caisse</v>
      </c>
      <c r="B762" s="59" t="s">
        <v>25</v>
      </c>
      <c r="C762" s="60">
        <v>1042520</v>
      </c>
      <c r="D762" s="61">
        <f t="shared" si="437"/>
        <v>3035000</v>
      </c>
      <c r="E762" s="61">
        <f t="shared" ref="E762" si="441">+N762</f>
        <v>966635</v>
      </c>
      <c r="F762" s="61">
        <f t="shared" ref="F762:F770" si="442">+M762</f>
        <v>2530000</v>
      </c>
      <c r="G762" s="61">
        <f t="shared" si="438"/>
        <v>0</v>
      </c>
      <c r="H762" s="61">
        <v>580885</v>
      </c>
      <c r="I762" s="61">
        <f>+C762+D762-E762-F762+G762</f>
        <v>580885</v>
      </c>
      <c r="J762" s="9">
        <f t="shared" si="439"/>
        <v>0</v>
      </c>
      <c r="K762" s="45" t="s">
        <v>25</v>
      </c>
      <c r="L762" s="47">
        <v>3035000</v>
      </c>
      <c r="M762" s="47">
        <v>2530000</v>
      </c>
      <c r="N762" s="47">
        <v>966635</v>
      </c>
      <c r="O762" s="47">
        <v>0</v>
      </c>
    </row>
    <row r="763" spans="1:16" x14ac:dyDescent="0.3">
      <c r="A763" s="58" t="str">
        <f t="shared" si="440"/>
        <v>Crépin</v>
      </c>
      <c r="B763" s="59" t="s">
        <v>161</v>
      </c>
      <c r="C763" s="60">
        <v>-37100</v>
      </c>
      <c r="D763" s="61">
        <f t="shared" si="437"/>
        <v>256000</v>
      </c>
      <c r="E763" s="61">
        <f>+N763</f>
        <v>189900</v>
      </c>
      <c r="F763" s="61">
        <f t="shared" si="442"/>
        <v>20000</v>
      </c>
      <c r="G763" s="61">
        <f t="shared" si="438"/>
        <v>0</v>
      </c>
      <c r="H763" s="61">
        <v>9000</v>
      </c>
      <c r="I763" s="61">
        <f t="shared" ref="I763" si="443">+C763+D763-E763-F763+G763</f>
        <v>9000</v>
      </c>
      <c r="J763" s="9">
        <f t="shared" si="439"/>
        <v>0</v>
      </c>
      <c r="K763" s="45" t="s">
        <v>47</v>
      </c>
      <c r="L763" s="47">
        <v>256000</v>
      </c>
      <c r="M763" s="47">
        <v>20000</v>
      </c>
      <c r="N763" s="47">
        <v>189900</v>
      </c>
      <c r="O763" s="47">
        <v>0</v>
      </c>
    </row>
    <row r="764" spans="1:16" x14ac:dyDescent="0.3">
      <c r="A764" s="58" t="str">
        <f>K764</f>
        <v>Evariste</v>
      </c>
      <c r="B764" s="59" t="s">
        <v>162</v>
      </c>
      <c r="C764" s="60">
        <v>8645</v>
      </c>
      <c r="D764" s="61">
        <f t="shared" si="437"/>
        <v>0</v>
      </c>
      <c r="E764" s="61">
        <f t="shared" ref="E764" si="444">+N764</f>
        <v>0</v>
      </c>
      <c r="F764" s="61">
        <f t="shared" si="442"/>
        <v>0</v>
      </c>
      <c r="G764" s="61">
        <f t="shared" si="438"/>
        <v>0</v>
      </c>
      <c r="H764" s="61">
        <v>8645</v>
      </c>
      <c r="I764" s="61">
        <f>+C764+D764-E764-F764+G764</f>
        <v>8645</v>
      </c>
      <c r="J764" s="9">
        <f t="shared" si="439"/>
        <v>0</v>
      </c>
      <c r="K764" s="45" t="s">
        <v>31</v>
      </c>
      <c r="L764" s="47">
        <v>0</v>
      </c>
      <c r="M764" s="47">
        <v>0</v>
      </c>
      <c r="N764" s="47">
        <v>0</v>
      </c>
      <c r="O764" s="47">
        <v>0</v>
      </c>
    </row>
    <row r="765" spans="1:16" x14ac:dyDescent="0.3">
      <c r="A765" s="115" t="str">
        <f t="shared" ref="A765:A772" si="445">+K765</f>
        <v>I55S</v>
      </c>
      <c r="B765" s="116" t="s">
        <v>4</v>
      </c>
      <c r="C765" s="117">
        <v>233614</v>
      </c>
      <c r="D765" s="118">
        <f t="shared" si="437"/>
        <v>0</v>
      </c>
      <c r="E765" s="118">
        <f>+N765</f>
        <v>0</v>
      </c>
      <c r="F765" s="118">
        <f t="shared" si="442"/>
        <v>0</v>
      </c>
      <c r="G765" s="118">
        <f t="shared" si="438"/>
        <v>0</v>
      </c>
      <c r="H765" s="118">
        <v>233614</v>
      </c>
      <c r="I765" s="118">
        <f>+C765+D765-E765-F765+G765</f>
        <v>233614</v>
      </c>
      <c r="J765" s="9">
        <f t="shared" si="439"/>
        <v>0</v>
      </c>
      <c r="K765" s="45" t="s">
        <v>84</v>
      </c>
      <c r="L765" s="47">
        <v>0</v>
      </c>
      <c r="M765" s="47">
        <v>0</v>
      </c>
      <c r="N765" s="47">
        <v>0</v>
      </c>
      <c r="O765" s="47">
        <v>0</v>
      </c>
    </row>
    <row r="766" spans="1:16" x14ac:dyDescent="0.3">
      <c r="A766" s="115" t="str">
        <f t="shared" si="445"/>
        <v>I73X</v>
      </c>
      <c r="B766" s="116" t="s">
        <v>4</v>
      </c>
      <c r="C766" s="117">
        <v>249769</v>
      </c>
      <c r="D766" s="118">
        <f t="shared" si="437"/>
        <v>0</v>
      </c>
      <c r="E766" s="118">
        <f>+N766</f>
        <v>0</v>
      </c>
      <c r="F766" s="118">
        <f t="shared" si="442"/>
        <v>0</v>
      </c>
      <c r="G766" s="118">
        <f t="shared" si="438"/>
        <v>0</v>
      </c>
      <c r="H766" s="118">
        <v>249769</v>
      </c>
      <c r="I766" s="118">
        <f t="shared" ref="I766:I769" si="446">+C766+D766-E766-F766+G766</f>
        <v>249769</v>
      </c>
      <c r="J766" s="9">
        <f t="shared" si="439"/>
        <v>0</v>
      </c>
      <c r="K766" s="45" t="s">
        <v>83</v>
      </c>
      <c r="L766" s="47">
        <v>0</v>
      </c>
      <c r="M766" s="47">
        <v>0</v>
      </c>
      <c r="N766" s="47">
        <v>0</v>
      </c>
      <c r="O766" s="47">
        <v>0</v>
      </c>
    </row>
    <row r="767" spans="1:16" x14ac:dyDescent="0.3">
      <c r="A767" s="58" t="str">
        <f t="shared" si="445"/>
        <v>Godfré</v>
      </c>
      <c r="B767" s="98" t="s">
        <v>161</v>
      </c>
      <c r="C767" s="60">
        <v>34935</v>
      </c>
      <c r="D767" s="61">
        <f t="shared" si="437"/>
        <v>365000</v>
      </c>
      <c r="E767" s="154">
        <f t="shared" ref="E767" si="447">+N767</f>
        <v>320000</v>
      </c>
      <c r="F767" s="61">
        <f t="shared" si="442"/>
        <v>0</v>
      </c>
      <c r="G767" s="61">
        <f t="shared" si="438"/>
        <v>0</v>
      </c>
      <c r="H767" s="61">
        <v>79935</v>
      </c>
      <c r="I767" s="61">
        <f t="shared" si="446"/>
        <v>79935</v>
      </c>
      <c r="J767" s="9">
        <f t="shared" si="439"/>
        <v>0</v>
      </c>
      <c r="K767" s="45" t="s">
        <v>151</v>
      </c>
      <c r="L767" s="47">
        <v>365000</v>
      </c>
      <c r="M767" s="47"/>
      <c r="N767" s="47">
        <v>320000</v>
      </c>
      <c r="O767" s="47">
        <v>0</v>
      </c>
    </row>
    <row r="768" spans="1:16" x14ac:dyDescent="0.3">
      <c r="A768" s="58" t="str">
        <f t="shared" si="445"/>
        <v>Grace</v>
      </c>
      <c r="B768" s="59" t="s">
        <v>2</v>
      </c>
      <c r="C768" s="60">
        <v>44200</v>
      </c>
      <c r="D768" s="61">
        <f t="shared" si="437"/>
        <v>0</v>
      </c>
      <c r="E768" s="154">
        <f>+N768</f>
        <v>9400</v>
      </c>
      <c r="F768" s="61">
        <f t="shared" si="442"/>
        <v>15000</v>
      </c>
      <c r="G768" s="61">
        <f t="shared" si="438"/>
        <v>0</v>
      </c>
      <c r="H768" s="61">
        <v>19800</v>
      </c>
      <c r="I768" s="61">
        <f t="shared" si="446"/>
        <v>19800</v>
      </c>
      <c r="J768" s="9">
        <f>I768-H768</f>
        <v>0</v>
      </c>
      <c r="K768" s="45" t="s">
        <v>150</v>
      </c>
      <c r="L768" s="47">
        <v>0</v>
      </c>
      <c r="M768" s="47">
        <v>15000</v>
      </c>
      <c r="N768" s="47">
        <v>9400</v>
      </c>
      <c r="O768" s="47">
        <v>0</v>
      </c>
    </row>
    <row r="769" spans="1:15" x14ac:dyDescent="0.3">
      <c r="A769" s="58" t="str">
        <f t="shared" si="445"/>
        <v>I23C</v>
      </c>
      <c r="B769" s="98" t="s">
        <v>4</v>
      </c>
      <c r="C769" s="60">
        <v>12050</v>
      </c>
      <c r="D769" s="61">
        <f t="shared" si="437"/>
        <v>492000</v>
      </c>
      <c r="E769" s="154">
        <f t="shared" ref="E769:E772" si="448">+N769</f>
        <v>473500</v>
      </c>
      <c r="F769" s="61">
        <f t="shared" si="442"/>
        <v>0</v>
      </c>
      <c r="G769" s="61">
        <f t="shared" si="438"/>
        <v>0</v>
      </c>
      <c r="H769" s="61">
        <v>30550</v>
      </c>
      <c r="I769" s="61">
        <f t="shared" si="446"/>
        <v>30550</v>
      </c>
      <c r="J769" s="9">
        <f t="shared" ref="J769:J770" si="449">I769-H769</f>
        <v>0</v>
      </c>
      <c r="K769" s="45" t="s">
        <v>30</v>
      </c>
      <c r="L769" s="47">
        <v>492000</v>
      </c>
      <c r="M769" s="47">
        <v>0</v>
      </c>
      <c r="N769" s="47">
        <v>473500</v>
      </c>
      <c r="O769" s="47">
        <v>0</v>
      </c>
    </row>
    <row r="770" spans="1:15" x14ac:dyDescent="0.3">
      <c r="A770" s="58" t="str">
        <f t="shared" si="445"/>
        <v>Merveille</v>
      </c>
      <c r="B770" s="59" t="s">
        <v>2</v>
      </c>
      <c r="C770" s="60">
        <v>5500</v>
      </c>
      <c r="D770" s="61">
        <f t="shared" si="437"/>
        <v>20000</v>
      </c>
      <c r="E770" s="154">
        <f t="shared" si="448"/>
        <v>12500</v>
      </c>
      <c r="F770" s="61">
        <f t="shared" si="442"/>
        <v>0</v>
      </c>
      <c r="G770" s="61">
        <f t="shared" si="438"/>
        <v>0</v>
      </c>
      <c r="H770" s="61">
        <v>13000</v>
      </c>
      <c r="I770" s="61">
        <f>+C770+D770-E770-F770+G770</f>
        <v>13000</v>
      </c>
      <c r="J770" s="9">
        <f t="shared" si="449"/>
        <v>0</v>
      </c>
      <c r="K770" s="45" t="s">
        <v>93</v>
      </c>
      <c r="L770" s="47">
        <v>20000</v>
      </c>
      <c r="M770" s="47">
        <v>0</v>
      </c>
      <c r="N770" s="47">
        <v>12500</v>
      </c>
      <c r="O770" s="47"/>
    </row>
    <row r="771" spans="1:15" x14ac:dyDescent="0.3">
      <c r="A771" s="58" t="str">
        <f t="shared" si="445"/>
        <v>P29</v>
      </c>
      <c r="B771" s="59" t="s">
        <v>4</v>
      </c>
      <c r="C771" s="60">
        <v>58200</v>
      </c>
      <c r="D771" s="61">
        <f t="shared" si="437"/>
        <v>530000</v>
      </c>
      <c r="E771" s="154">
        <f t="shared" si="448"/>
        <v>532500</v>
      </c>
      <c r="F771" s="61">
        <f>+M771</f>
        <v>0</v>
      </c>
      <c r="G771" s="61">
        <f>+O771</f>
        <v>0</v>
      </c>
      <c r="H771" s="61">
        <v>55700</v>
      </c>
      <c r="I771" s="61">
        <f>+C771+D771-E771-F771+G771</f>
        <v>55700</v>
      </c>
      <c r="J771" s="9">
        <f>I771-H771</f>
        <v>0</v>
      </c>
      <c r="K771" s="45" t="s">
        <v>29</v>
      </c>
      <c r="L771" s="47">
        <v>530000</v>
      </c>
      <c r="M771" s="47">
        <v>0</v>
      </c>
      <c r="N771" s="47">
        <v>532500</v>
      </c>
      <c r="O771" s="47">
        <v>0</v>
      </c>
    </row>
    <row r="772" spans="1:15" x14ac:dyDescent="0.3">
      <c r="A772" s="58" t="str">
        <f t="shared" si="445"/>
        <v>Tiffany</v>
      </c>
      <c r="B772" s="59" t="s">
        <v>2</v>
      </c>
      <c r="C772" s="60">
        <v>263673</v>
      </c>
      <c r="D772" s="61">
        <f t="shared" si="437"/>
        <v>300000</v>
      </c>
      <c r="E772" s="154">
        <f t="shared" si="448"/>
        <v>599910</v>
      </c>
      <c r="F772" s="61">
        <f t="shared" ref="F772" si="450">+M772</f>
        <v>0</v>
      </c>
      <c r="G772" s="61">
        <f t="shared" ref="G772" si="451">+O772</f>
        <v>0</v>
      </c>
      <c r="H772" s="61">
        <v>-36237</v>
      </c>
      <c r="I772" s="61">
        <f t="shared" ref="I772" si="452">+C772+D772-E772-F772+G772</f>
        <v>-36237</v>
      </c>
      <c r="J772" s="9">
        <f t="shared" ref="J772" si="453">I772-H772</f>
        <v>0</v>
      </c>
      <c r="K772" s="45" t="s">
        <v>113</v>
      </c>
      <c r="L772" s="47">
        <v>300000</v>
      </c>
      <c r="M772" s="47">
        <v>0</v>
      </c>
      <c r="N772" s="47">
        <v>599910</v>
      </c>
      <c r="O772" s="47">
        <v>0</v>
      </c>
    </row>
    <row r="773" spans="1:15" x14ac:dyDescent="0.3">
      <c r="A773" s="10" t="s">
        <v>50</v>
      </c>
      <c r="B773" s="11"/>
      <c r="C773" s="12">
        <f t="shared" ref="C773:I773" si="454">SUM(C759:C772)</f>
        <v>10222494</v>
      </c>
      <c r="D773" s="57">
        <f t="shared" si="454"/>
        <v>5565000</v>
      </c>
      <c r="E773" s="57">
        <f t="shared" si="454"/>
        <v>10187414</v>
      </c>
      <c r="F773" s="57">
        <f t="shared" si="454"/>
        <v>5565000</v>
      </c>
      <c r="G773" s="57">
        <f t="shared" si="454"/>
        <v>17525203</v>
      </c>
      <c r="H773" s="57">
        <f t="shared" si="454"/>
        <v>17560283</v>
      </c>
      <c r="I773" s="57">
        <f t="shared" si="454"/>
        <v>17560283</v>
      </c>
      <c r="J773" s="9">
        <f>I773-H773</f>
        <v>0</v>
      </c>
      <c r="K773" s="3"/>
      <c r="L773" s="47">
        <f>+SUM(L759:L772)</f>
        <v>5565000</v>
      </c>
      <c r="M773" s="47">
        <f>+SUM(M759:M772)</f>
        <v>5565000</v>
      </c>
      <c r="N773" s="47">
        <f>+SUM(N759:N772)</f>
        <v>10187414</v>
      </c>
      <c r="O773" s="47">
        <f>+SUM(O759:O772)</f>
        <v>17525203</v>
      </c>
    </row>
    <row r="774" spans="1:15" x14ac:dyDescent="0.3">
      <c r="A774" s="10"/>
      <c r="B774" s="11"/>
      <c r="C774" s="12"/>
      <c r="D774" s="13"/>
      <c r="E774" s="12"/>
      <c r="F774" s="13"/>
      <c r="G774" s="12"/>
      <c r="H774" s="12"/>
      <c r="I774" s="134" t="b">
        <f>I773=D776</f>
        <v>1</v>
      </c>
      <c r="L774" s="5"/>
      <c r="M774" s="5"/>
      <c r="N774" s="5"/>
      <c r="O774" s="5"/>
    </row>
    <row r="775" spans="1:15" x14ac:dyDescent="0.3">
      <c r="A775" s="10" t="s">
        <v>182</v>
      </c>
      <c r="B775" s="11" t="s">
        <v>184</v>
      </c>
      <c r="C775" s="12" t="s">
        <v>183</v>
      </c>
      <c r="D775" s="12" t="s">
        <v>185</v>
      </c>
      <c r="E775" s="12" t="s">
        <v>51</v>
      </c>
      <c r="F775" s="12"/>
      <c r="G775" s="12">
        <f>+D773-F773</f>
        <v>0</v>
      </c>
      <c r="H775" s="12"/>
      <c r="I775" s="12"/>
      <c r="L775" s="5"/>
      <c r="M775" s="5"/>
      <c r="N775" s="5"/>
      <c r="O775" s="5"/>
    </row>
    <row r="776" spans="1:15" x14ac:dyDescent="0.3">
      <c r="A776" s="14">
        <f>C773</f>
        <v>10222494</v>
      </c>
      <c r="B776" s="15">
        <f>G773</f>
        <v>17525203</v>
      </c>
      <c r="C776" s="12">
        <f>E773</f>
        <v>10187414</v>
      </c>
      <c r="D776" s="12">
        <f>A776+B776-C776</f>
        <v>17560283</v>
      </c>
      <c r="E776" s="13">
        <f>I773-D776</f>
        <v>0</v>
      </c>
      <c r="F776" s="12"/>
      <c r="G776" s="12"/>
      <c r="H776" s="12"/>
      <c r="I776" s="12"/>
      <c r="L776" s="5"/>
      <c r="M776" s="5"/>
      <c r="N776" s="5"/>
      <c r="O776" s="5"/>
    </row>
    <row r="777" spans="1:15" x14ac:dyDescent="0.3">
      <c r="A777" s="14"/>
      <c r="B777" s="15"/>
      <c r="C777" s="12"/>
      <c r="D777" s="12"/>
      <c r="E777" s="13"/>
      <c r="F777" s="12"/>
      <c r="G777" s="12"/>
      <c r="H777" s="12"/>
      <c r="I777" s="12"/>
      <c r="L777" s="5"/>
      <c r="M777" s="5"/>
      <c r="N777" s="5"/>
      <c r="O777" s="5"/>
    </row>
    <row r="778" spans="1:15" x14ac:dyDescent="0.3">
      <c r="A778" s="16" t="s">
        <v>52</v>
      </c>
      <c r="B778" s="16"/>
      <c r="C778" s="16"/>
      <c r="D778" s="17"/>
      <c r="E778" s="17"/>
      <c r="F778" s="17"/>
      <c r="G778" s="17"/>
      <c r="H778" s="17"/>
      <c r="I778" s="17"/>
      <c r="L778" s="5"/>
      <c r="M778" s="5"/>
      <c r="N778" s="5"/>
      <c r="O778" s="5"/>
    </row>
    <row r="779" spans="1:15" x14ac:dyDescent="0.3">
      <c r="A779" s="18" t="s">
        <v>186</v>
      </c>
      <c r="B779" s="18"/>
      <c r="C779" s="18"/>
      <c r="D779" s="18"/>
      <c r="E779" s="18"/>
      <c r="F779" s="18"/>
      <c r="G779" s="18"/>
      <c r="H779" s="18"/>
      <c r="I779" s="18"/>
      <c r="J779" s="18"/>
      <c r="L779" s="5"/>
      <c r="M779" s="5"/>
      <c r="N779" s="5"/>
      <c r="O779" s="5"/>
    </row>
    <row r="780" spans="1:15" x14ac:dyDescent="0.3">
      <c r="A780" s="19"/>
      <c r="B780" s="17"/>
      <c r="C780" s="20"/>
      <c r="D780" s="20"/>
      <c r="E780" s="20"/>
      <c r="F780" s="20"/>
      <c r="G780" s="20"/>
      <c r="H780" s="17"/>
      <c r="I780" s="17"/>
      <c r="L780" s="5"/>
      <c r="M780" s="5"/>
      <c r="N780" s="5"/>
      <c r="O780" s="5"/>
    </row>
    <row r="781" spans="1:15" x14ac:dyDescent="0.3">
      <c r="A781" s="315" t="s">
        <v>53</v>
      </c>
      <c r="B781" s="317" t="s">
        <v>54</v>
      </c>
      <c r="C781" s="319" t="s">
        <v>188</v>
      </c>
      <c r="D781" s="321" t="s">
        <v>55</v>
      </c>
      <c r="E781" s="322"/>
      <c r="F781" s="322"/>
      <c r="G781" s="323"/>
      <c r="H781" s="324" t="s">
        <v>56</v>
      </c>
      <c r="I781" s="311" t="s">
        <v>57</v>
      </c>
      <c r="J781" s="17"/>
      <c r="L781" s="5"/>
      <c r="M781" s="5"/>
      <c r="N781" s="5"/>
      <c r="O781" s="5"/>
    </row>
    <row r="782" spans="1:15" ht="28.5" customHeight="1" x14ac:dyDescent="0.3">
      <c r="A782" s="316"/>
      <c r="B782" s="318"/>
      <c r="C782" s="320"/>
      <c r="D782" s="21" t="s">
        <v>24</v>
      </c>
      <c r="E782" s="21" t="s">
        <v>25</v>
      </c>
      <c r="F782" s="22" t="s">
        <v>123</v>
      </c>
      <c r="G782" s="21" t="s">
        <v>58</v>
      </c>
      <c r="H782" s="325"/>
      <c r="I782" s="312"/>
      <c r="J782" s="313" t="s">
        <v>187</v>
      </c>
      <c r="K782" s="143"/>
      <c r="L782" s="5"/>
      <c r="M782" s="5"/>
      <c r="N782" s="5"/>
      <c r="O782" s="5"/>
    </row>
    <row r="783" spans="1:15" x14ac:dyDescent="0.3">
      <c r="A783" s="23"/>
      <c r="B783" s="24" t="s">
        <v>59</v>
      </c>
      <c r="C783" s="25"/>
      <c r="D783" s="25"/>
      <c r="E783" s="25"/>
      <c r="F783" s="25"/>
      <c r="G783" s="25"/>
      <c r="H783" s="25"/>
      <c r="I783" s="26"/>
      <c r="J783" s="314"/>
      <c r="K783" s="143"/>
      <c r="L783" s="5"/>
      <c r="M783" s="5"/>
      <c r="N783" s="5"/>
      <c r="O783" s="5"/>
    </row>
    <row r="784" spans="1:15" x14ac:dyDescent="0.3">
      <c r="A784" s="122" t="s">
        <v>108</v>
      </c>
      <c r="B784" s="127" t="s">
        <v>169</v>
      </c>
      <c r="C784" s="32">
        <f>+C759</f>
        <v>9500</v>
      </c>
      <c r="D784" s="31"/>
      <c r="E784" s="32">
        <f>+D759</f>
        <v>567000</v>
      </c>
      <c r="F784" s="32"/>
      <c r="G784" s="32"/>
      <c r="H784" s="55">
        <f>+F759</f>
        <v>0</v>
      </c>
      <c r="I784" s="32">
        <f>+E759</f>
        <v>576000</v>
      </c>
      <c r="J784" s="30">
        <f t="shared" ref="J784:J785" si="455">+SUM(C784:G784)-(H784+I784)</f>
        <v>500</v>
      </c>
      <c r="K784" s="144" t="b">
        <f>J784=I759</f>
        <v>1</v>
      </c>
      <c r="L784" s="5"/>
      <c r="M784" s="5"/>
      <c r="N784" s="5"/>
      <c r="O784" s="5"/>
    </row>
    <row r="785" spans="1:15" x14ac:dyDescent="0.3">
      <c r="A785" s="122" t="str">
        <f>+A784</f>
        <v>JANVIER</v>
      </c>
      <c r="B785" s="127" t="s">
        <v>47</v>
      </c>
      <c r="C785" s="32">
        <f>+C763</f>
        <v>-37100</v>
      </c>
      <c r="D785" s="31"/>
      <c r="E785" s="32">
        <f>+D763</f>
        <v>256000</v>
      </c>
      <c r="F785" s="32"/>
      <c r="G785" s="32"/>
      <c r="H785" s="55">
        <f>+F763</f>
        <v>20000</v>
      </c>
      <c r="I785" s="32">
        <f>+E763</f>
        <v>189900</v>
      </c>
      <c r="J785" s="101">
        <f t="shared" si="455"/>
        <v>9000</v>
      </c>
      <c r="K785" s="144" t="b">
        <f t="shared" ref="K785:K794" si="456">J785=I763</f>
        <v>1</v>
      </c>
      <c r="L785" s="5"/>
      <c r="M785" s="5"/>
      <c r="N785" s="5"/>
      <c r="O785" s="5"/>
    </row>
    <row r="786" spans="1:15" x14ac:dyDescent="0.3">
      <c r="A786" s="122" t="str">
        <f t="shared" ref="A786:A794" si="457">+A785</f>
        <v>JANVIER</v>
      </c>
      <c r="B786" s="128" t="s">
        <v>31</v>
      </c>
      <c r="C786" s="32">
        <f>+C764</f>
        <v>8645</v>
      </c>
      <c r="D786" s="119"/>
      <c r="E786" s="32">
        <f>+D764</f>
        <v>0</v>
      </c>
      <c r="F786" s="51"/>
      <c r="G786" s="51"/>
      <c r="H786" s="55">
        <f>+F764</f>
        <v>0</v>
      </c>
      <c r="I786" s="32">
        <f>+E764</f>
        <v>0</v>
      </c>
      <c r="J786" s="124">
        <f>+SUM(C786:G786)-(H786+I786)</f>
        <v>8645</v>
      </c>
      <c r="K786" s="144" t="b">
        <f t="shared" si="456"/>
        <v>1</v>
      </c>
      <c r="L786" s="5"/>
      <c r="M786" s="5"/>
      <c r="N786" s="5"/>
      <c r="O786" s="5"/>
    </row>
    <row r="787" spans="1:15" x14ac:dyDescent="0.3">
      <c r="A787" s="122" t="str">
        <f t="shared" si="457"/>
        <v>JANVIER</v>
      </c>
      <c r="B787" s="129" t="s">
        <v>84</v>
      </c>
      <c r="C787" s="120">
        <f>+C765</f>
        <v>233614</v>
      </c>
      <c r="D787" s="123"/>
      <c r="E787" s="120">
        <f>+D765</f>
        <v>0</v>
      </c>
      <c r="F787" s="137"/>
      <c r="G787" s="137"/>
      <c r="H787" s="155">
        <f>+F765</f>
        <v>0</v>
      </c>
      <c r="I787" s="120">
        <f>+E765</f>
        <v>0</v>
      </c>
      <c r="J787" s="121">
        <f>+SUM(C787:G787)-(H787+I787)</f>
        <v>233614</v>
      </c>
      <c r="K787" s="144" t="b">
        <f t="shared" si="456"/>
        <v>1</v>
      </c>
      <c r="L787" s="5"/>
      <c r="M787" s="5"/>
      <c r="N787" s="5"/>
      <c r="O787" s="5"/>
    </row>
    <row r="788" spans="1:15" x14ac:dyDescent="0.3">
      <c r="A788" s="122" t="str">
        <f t="shared" si="457"/>
        <v>JANVIER</v>
      </c>
      <c r="B788" s="129" t="s">
        <v>83</v>
      </c>
      <c r="C788" s="120">
        <f>+C766</f>
        <v>249769</v>
      </c>
      <c r="D788" s="123"/>
      <c r="E788" s="120">
        <f>+D766</f>
        <v>0</v>
      </c>
      <c r="F788" s="137"/>
      <c r="G788" s="137"/>
      <c r="H788" s="155">
        <f>+F766</f>
        <v>0</v>
      </c>
      <c r="I788" s="120">
        <f>+E766</f>
        <v>0</v>
      </c>
      <c r="J788" s="121">
        <f t="shared" ref="J788:J794" si="458">+SUM(C788:G788)-(H788+I788)</f>
        <v>249769</v>
      </c>
      <c r="K788" s="144" t="b">
        <f t="shared" si="456"/>
        <v>1</v>
      </c>
      <c r="L788" s="5"/>
      <c r="M788" s="5"/>
      <c r="N788" s="5"/>
      <c r="O788" s="5"/>
    </row>
    <row r="789" spans="1:15" x14ac:dyDescent="0.3">
      <c r="A789" s="122" t="str">
        <f t="shared" si="457"/>
        <v>JANVIER</v>
      </c>
      <c r="B789" s="127" t="s">
        <v>151</v>
      </c>
      <c r="C789" s="32">
        <f>+C767</f>
        <v>34935</v>
      </c>
      <c r="D789" s="31"/>
      <c r="E789" s="32">
        <f>+D767</f>
        <v>365000</v>
      </c>
      <c r="F789" s="32"/>
      <c r="G789" s="104"/>
      <c r="H789" s="55">
        <f>+F767</f>
        <v>0</v>
      </c>
      <c r="I789" s="32">
        <f>+E767</f>
        <v>320000</v>
      </c>
      <c r="J789" s="30">
        <f t="shared" si="458"/>
        <v>79935</v>
      </c>
      <c r="K789" s="144" t="b">
        <f t="shared" si="456"/>
        <v>1</v>
      </c>
      <c r="L789" s="5"/>
      <c r="M789" s="5"/>
      <c r="N789" s="5"/>
      <c r="O789" s="5"/>
    </row>
    <row r="790" spans="1:15" x14ac:dyDescent="0.3">
      <c r="A790" s="122" t="str">
        <f t="shared" si="457"/>
        <v>JANVIER</v>
      </c>
      <c r="B790" s="127" t="s">
        <v>150</v>
      </c>
      <c r="C790" s="32">
        <f t="shared" ref="C790:C794" si="459">+C768</f>
        <v>44200</v>
      </c>
      <c r="D790" s="31"/>
      <c r="E790" s="32">
        <f t="shared" ref="E790:E794" si="460">+D768</f>
        <v>0</v>
      </c>
      <c r="F790" s="32"/>
      <c r="G790" s="104"/>
      <c r="H790" s="55">
        <f t="shared" ref="H790:H794" si="461">+F768</f>
        <v>15000</v>
      </c>
      <c r="I790" s="32">
        <f t="shared" ref="I790:I794" si="462">+E768</f>
        <v>9400</v>
      </c>
      <c r="J790" s="30">
        <f t="shared" si="458"/>
        <v>19800</v>
      </c>
      <c r="K790" s="144" t="b">
        <f t="shared" si="456"/>
        <v>1</v>
      </c>
      <c r="L790" s="5"/>
      <c r="M790" s="5"/>
      <c r="N790" s="5"/>
      <c r="O790" s="5"/>
    </row>
    <row r="791" spans="1:15" x14ac:dyDescent="0.3">
      <c r="A791" s="122" t="str">
        <f t="shared" si="457"/>
        <v>JANVIER</v>
      </c>
      <c r="B791" s="127" t="s">
        <v>30</v>
      </c>
      <c r="C791" s="32">
        <f t="shared" si="459"/>
        <v>12050</v>
      </c>
      <c r="D791" s="31"/>
      <c r="E791" s="32">
        <f t="shared" si="460"/>
        <v>492000</v>
      </c>
      <c r="F791" s="32"/>
      <c r="G791" s="104"/>
      <c r="H791" s="55">
        <f t="shared" si="461"/>
        <v>0</v>
      </c>
      <c r="I791" s="32">
        <f t="shared" si="462"/>
        <v>473500</v>
      </c>
      <c r="J791" s="30">
        <f t="shared" si="458"/>
        <v>30550</v>
      </c>
      <c r="K791" s="144" t="b">
        <f t="shared" si="456"/>
        <v>1</v>
      </c>
    </row>
    <row r="792" spans="1:15" x14ac:dyDescent="0.3">
      <c r="A792" s="122" t="str">
        <f>+A790</f>
        <v>JANVIER</v>
      </c>
      <c r="B792" s="127" t="s">
        <v>93</v>
      </c>
      <c r="C792" s="32">
        <f t="shared" si="459"/>
        <v>5500</v>
      </c>
      <c r="D792" s="31"/>
      <c r="E792" s="32">
        <f t="shared" si="460"/>
        <v>20000</v>
      </c>
      <c r="F792" s="32"/>
      <c r="G792" s="104"/>
      <c r="H792" s="55">
        <f t="shared" si="461"/>
        <v>0</v>
      </c>
      <c r="I792" s="32">
        <f t="shared" si="462"/>
        <v>12500</v>
      </c>
      <c r="J792" s="30">
        <f t="shared" si="458"/>
        <v>13000</v>
      </c>
      <c r="K792" s="144" t="b">
        <f t="shared" si="456"/>
        <v>1</v>
      </c>
    </row>
    <row r="793" spans="1:15" x14ac:dyDescent="0.3">
      <c r="A793" s="122" t="str">
        <f>+A791</f>
        <v>JANVIER</v>
      </c>
      <c r="B793" s="127" t="s">
        <v>29</v>
      </c>
      <c r="C793" s="32">
        <f t="shared" si="459"/>
        <v>58200</v>
      </c>
      <c r="D793" s="31"/>
      <c r="E793" s="32">
        <f t="shared" si="460"/>
        <v>530000</v>
      </c>
      <c r="F793" s="32"/>
      <c r="G793" s="104"/>
      <c r="H793" s="55">
        <f t="shared" si="461"/>
        <v>0</v>
      </c>
      <c r="I793" s="32">
        <f t="shared" si="462"/>
        <v>532500</v>
      </c>
      <c r="J793" s="30">
        <f t="shared" si="458"/>
        <v>55700</v>
      </c>
      <c r="K793" s="144" t="b">
        <f t="shared" si="456"/>
        <v>1</v>
      </c>
    </row>
    <row r="794" spans="1:15" x14ac:dyDescent="0.3">
      <c r="A794" s="122" t="str">
        <f t="shared" si="457"/>
        <v>JANVIER</v>
      </c>
      <c r="B794" s="128" t="s">
        <v>113</v>
      </c>
      <c r="C794" s="32">
        <f t="shared" si="459"/>
        <v>263673</v>
      </c>
      <c r="D794" s="119"/>
      <c r="E794" s="32">
        <f t="shared" si="460"/>
        <v>300000</v>
      </c>
      <c r="F794" s="51"/>
      <c r="G794" s="138"/>
      <c r="H794" s="55">
        <f t="shared" si="461"/>
        <v>0</v>
      </c>
      <c r="I794" s="32">
        <f t="shared" si="462"/>
        <v>599910</v>
      </c>
      <c r="J794" s="30">
        <f t="shared" si="458"/>
        <v>-36237</v>
      </c>
      <c r="K794" s="144" t="b">
        <f t="shared" si="456"/>
        <v>1</v>
      </c>
    </row>
    <row r="795" spans="1:15" x14ac:dyDescent="0.3">
      <c r="A795" s="34" t="s">
        <v>60</v>
      </c>
      <c r="B795" s="35"/>
      <c r="C795" s="35"/>
      <c r="D795" s="35"/>
      <c r="E795" s="35"/>
      <c r="F795" s="35"/>
      <c r="G795" s="35"/>
      <c r="H795" s="35"/>
      <c r="I795" s="35"/>
      <c r="J795" s="36"/>
      <c r="K795" s="143"/>
    </row>
    <row r="796" spans="1:15" x14ac:dyDescent="0.3">
      <c r="A796" s="122" t="str">
        <f>+A794</f>
        <v>JANVIER</v>
      </c>
      <c r="B796" s="37" t="s">
        <v>61</v>
      </c>
      <c r="C796" s="38">
        <f>+C762</f>
        <v>1042520</v>
      </c>
      <c r="D796" s="49"/>
      <c r="E796" s="49">
        <f>D762</f>
        <v>3035000</v>
      </c>
      <c r="F796" s="49"/>
      <c r="G796" s="125"/>
      <c r="H796" s="51">
        <f>+F762</f>
        <v>2530000</v>
      </c>
      <c r="I796" s="126">
        <f>+E762</f>
        <v>966635</v>
      </c>
      <c r="J796" s="30">
        <f>+SUM(C796:G796)-(H796+I796)</f>
        <v>580885</v>
      </c>
      <c r="K796" s="144" t="b">
        <f>J796=I762</f>
        <v>1</v>
      </c>
    </row>
    <row r="797" spans="1:15" x14ac:dyDescent="0.3">
      <c r="A797" s="43" t="s">
        <v>62</v>
      </c>
      <c r="B797" s="24"/>
      <c r="C797" s="35"/>
      <c r="D797" s="24"/>
      <c r="E797" s="24"/>
      <c r="F797" s="24"/>
      <c r="G797" s="24"/>
      <c r="H797" s="24"/>
      <c r="I797" s="24"/>
      <c r="J797" s="36"/>
      <c r="K797" s="143"/>
    </row>
    <row r="798" spans="1:15" x14ac:dyDescent="0.3">
      <c r="A798" s="122" t="str">
        <f>+A796</f>
        <v>JANVIER</v>
      </c>
      <c r="B798" s="37" t="s">
        <v>163</v>
      </c>
      <c r="C798" s="125">
        <f>+C760</f>
        <v>3455373</v>
      </c>
      <c r="D798" s="132">
        <f>+G760</f>
        <v>0</v>
      </c>
      <c r="E798" s="49"/>
      <c r="F798" s="49"/>
      <c r="G798" s="49"/>
      <c r="H798" s="51">
        <f>+F760</f>
        <v>1000000</v>
      </c>
      <c r="I798" s="53">
        <f>+E760</f>
        <v>283345</v>
      </c>
      <c r="J798" s="30">
        <f>+SUM(C798:G798)-(H798+I798)</f>
        <v>2172028</v>
      </c>
      <c r="K798" s="144" t="b">
        <f>+J798=I760</f>
        <v>1</v>
      </c>
    </row>
    <row r="799" spans="1:15" x14ac:dyDescent="0.3">
      <c r="A799" s="122" t="str">
        <f t="shared" ref="A799" si="463">+A798</f>
        <v>JANVIER</v>
      </c>
      <c r="B799" s="37" t="s">
        <v>64</v>
      </c>
      <c r="C799" s="125">
        <f>+C761</f>
        <v>4841615</v>
      </c>
      <c r="D799" s="49">
        <f>+G761</f>
        <v>17525203</v>
      </c>
      <c r="E799" s="48"/>
      <c r="F799" s="48"/>
      <c r="G799" s="48"/>
      <c r="H799" s="32">
        <f>+F761</f>
        <v>2000000</v>
      </c>
      <c r="I799" s="50">
        <f>+E761</f>
        <v>6223724</v>
      </c>
      <c r="J799" s="30">
        <f>SUM(C799:G799)-(H799+I799)</f>
        <v>14143094</v>
      </c>
      <c r="K799" s="144" t="b">
        <f>+J799=I761</f>
        <v>1</v>
      </c>
    </row>
    <row r="800" spans="1:15" ht="15.6" x14ac:dyDescent="0.3">
      <c r="C800" s="141">
        <f>SUM(C784:C799)</f>
        <v>10222494</v>
      </c>
      <c r="I800" s="140">
        <f>SUM(I784:I799)</f>
        <v>10187414</v>
      </c>
      <c r="J800" s="105">
        <f>+SUM(J784:J799)</f>
        <v>17560283</v>
      </c>
      <c r="K800" s="5" t="b">
        <f>J800=I773</f>
        <v>1</v>
      </c>
    </row>
    <row r="801" spans="1:16" ht="15.6" x14ac:dyDescent="0.3">
      <c r="C801" s="141"/>
      <c r="I801" s="140"/>
      <c r="J801" s="105"/>
    </row>
    <row r="802" spans="1:16" ht="15.6" x14ac:dyDescent="0.3">
      <c r="A802" s="161"/>
      <c r="B802" s="161"/>
      <c r="C802" s="162"/>
      <c r="D802" s="161"/>
      <c r="E802" s="161"/>
      <c r="F802" s="161"/>
      <c r="G802" s="161"/>
      <c r="H802" s="161"/>
      <c r="I802" s="163"/>
      <c r="J802" s="164"/>
      <c r="K802" s="161"/>
      <c r="L802" s="165"/>
      <c r="M802" s="165"/>
      <c r="N802" s="165"/>
      <c r="O802" s="165"/>
      <c r="P802" s="161"/>
    </row>
    <row r="804" spans="1:16" ht="15.6" x14ac:dyDescent="0.3">
      <c r="A804" s="6" t="s">
        <v>36</v>
      </c>
      <c r="B804" s="6" t="s">
        <v>1</v>
      </c>
      <c r="C804" s="6">
        <v>44531</v>
      </c>
      <c r="D804" s="7" t="s">
        <v>37</v>
      </c>
      <c r="E804" s="7" t="s">
        <v>38</v>
      </c>
      <c r="F804" s="7" t="s">
        <v>39</v>
      </c>
      <c r="G804" s="7" t="s">
        <v>40</v>
      </c>
      <c r="H804" s="6">
        <v>44561</v>
      </c>
      <c r="I804" s="7" t="s">
        <v>41</v>
      </c>
      <c r="K804" s="45"/>
      <c r="L804" s="45" t="s">
        <v>42</v>
      </c>
      <c r="M804" s="45" t="s">
        <v>43</v>
      </c>
      <c r="N804" s="45" t="s">
        <v>44</v>
      </c>
      <c r="O804" s="45" t="s">
        <v>45</v>
      </c>
    </row>
    <row r="805" spans="1:16" s="156" customFormat="1" ht="15.6" x14ac:dyDescent="0.3">
      <c r="A805" s="58" t="str">
        <f>+K805</f>
        <v>Axel</v>
      </c>
      <c r="B805" s="158" t="s">
        <v>161</v>
      </c>
      <c r="C805" s="60">
        <v>29107</v>
      </c>
      <c r="D805" s="61">
        <f t="shared" ref="D805:D819" si="464">+L805</f>
        <v>1125000</v>
      </c>
      <c r="E805" s="61">
        <f>+N805</f>
        <v>1008750</v>
      </c>
      <c r="F805" s="61">
        <f>+M805</f>
        <v>145357</v>
      </c>
      <c r="G805" s="61">
        <f t="shared" ref="G805:G817" si="465">+O805</f>
        <v>0</v>
      </c>
      <c r="H805" s="61">
        <v>0</v>
      </c>
      <c r="I805" s="61">
        <f>+C805+D805-E805-F805+G805</f>
        <v>0</v>
      </c>
      <c r="J805" s="9">
        <f>I805-H805</f>
        <v>0</v>
      </c>
      <c r="K805" s="157" t="s">
        <v>160</v>
      </c>
      <c r="L805" s="157">
        <v>1125000</v>
      </c>
      <c r="M805" s="157">
        <v>145357</v>
      </c>
      <c r="N805" s="157">
        <v>1008750</v>
      </c>
      <c r="O805" s="157">
        <v>0</v>
      </c>
    </row>
    <row r="806" spans="1:16" x14ac:dyDescent="0.3">
      <c r="A806" s="58" t="str">
        <f>+K806</f>
        <v>B52</v>
      </c>
      <c r="B806" s="59" t="s">
        <v>4</v>
      </c>
      <c r="C806" s="60">
        <v>4000</v>
      </c>
      <c r="D806" s="61">
        <f t="shared" si="464"/>
        <v>426000</v>
      </c>
      <c r="E806" s="61">
        <f>+N806</f>
        <v>420500</v>
      </c>
      <c r="F806" s="61">
        <f>+M806</f>
        <v>0</v>
      </c>
      <c r="G806" s="61">
        <f t="shared" si="465"/>
        <v>0</v>
      </c>
      <c r="H806" s="61">
        <v>9500</v>
      </c>
      <c r="I806" s="61">
        <f>+C806+D806-E806-F806+G806</f>
        <v>9500</v>
      </c>
      <c r="J806" s="9">
        <f>I806-H806</f>
        <v>0</v>
      </c>
      <c r="K806" s="45" t="s">
        <v>169</v>
      </c>
      <c r="L806" s="47">
        <v>426000</v>
      </c>
      <c r="M806" s="47">
        <v>0</v>
      </c>
      <c r="N806" s="47">
        <v>420500</v>
      </c>
      <c r="O806" s="47">
        <v>0</v>
      </c>
    </row>
    <row r="807" spans="1:16" x14ac:dyDescent="0.3">
      <c r="A807" s="58" t="str">
        <f>+K807</f>
        <v>BCI</v>
      </c>
      <c r="B807" s="59" t="s">
        <v>46</v>
      </c>
      <c r="C807" s="60">
        <v>5738718</v>
      </c>
      <c r="D807" s="61">
        <f t="shared" si="464"/>
        <v>0</v>
      </c>
      <c r="E807" s="61">
        <f>+N807</f>
        <v>283345</v>
      </c>
      <c r="F807" s="61">
        <f>+M807</f>
        <v>2000000</v>
      </c>
      <c r="G807" s="61">
        <f t="shared" si="465"/>
        <v>0</v>
      </c>
      <c r="H807" s="61">
        <v>3455373</v>
      </c>
      <c r="I807" s="61">
        <f>+C807+D807-E807-F807+G807</f>
        <v>3455373</v>
      </c>
      <c r="J807" s="9">
        <f t="shared" ref="J807:J814" si="466">I807-H807</f>
        <v>0</v>
      </c>
      <c r="K807" s="45" t="s">
        <v>24</v>
      </c>
      <c r="L807" s="47">
        <v>0</v>
      </c>
      <c r="M807" s="47">
        <v>2000000</v>
      </c>
      <c r="N807" s="47">
        <v>283345</v>
      </c>
      <c r="O807" s="47">
        <v>0</v>
      </c>
    </row>
    <row r="808" spans="1:16" x14ac:dyDescent="0.3">
      <c r="A808" s="58" t="str">
        <f t="shared" ref="A808:A810" si="467">+K808</f>
        <v>BCI-Sous Compte</v>
      </c>
      <c r="B808" s="59" t="s">
        <v>46</v>
      </c>
      <c r="C808" s="60">
        <v>16087207</v>
      </c>
      <c r="D808" s="61">
        <f t="shared" si="464"/>
        <v>0</v>
      </c>
      <c r="E808" s="61">
        <f>+N808</f>
        <v>3245592</v>
      </c>
      <c r="F808" s="61">
        <f>+M808</f>
        <v>8000000</v>
      </c>
      <c r="G808" s="61">
        <f t="shared" si="465"/>
        <v>0</v>
      </c>
      <c r="H808" s="61">
        <v>4841615</v>
      </c>
      <c r="I808" s="61">
        <f>+C808+D808-E808-F808+G808</f>
        <v>4841615</v>
      </c>
      <c r="J808" s="102">
        <f t="shared" si="466"/>
        <v>0</v>
      </c>
      <c r="K808" s="45" t="s">
        <v>155</v>
      </c>
      <c r="L808" s="47">
        <v>0</v>
      </c>
      <c r="M808" s="47">
        <v>8000000</v>
      </c>
      <c r="N808" s="47">
        <v>3245592</v>
      </c>
      <c r="O808" s="47">
        <v>0</v>
      </c>
    </row>
    <row r="809" spans="1:16" x14ac:dyDescent="0.3">
      <c r="A809" s="58" t="str">
        <f t="shared" si="467"/>
        <v>Caisse</v>
      </c>
      <c r="B809" s="59" t="s">
        <v>25</v>
      </c>
      <c r="C809" s="60">
        <v>926369</v>
      </c>
      <c r="D809" s="61">
        <f t="shared" si="464"/>
        <v>10580357</v>
      </c>
      <c r="E809" s="61">
        <f t="shared" ref="E809" si="468">+N809</f>
        <v>3713706</v>
      </c>
      <c r="F809" s="61">
        <f t="shared" ref="F809:F817" si="469">+M809</f>
        <v>6750500</v>
      </c>
      <c r="G809" s="61">
        <f t="shared" si="465"/>
        <v>0</v>
      </c>
      <c r="H809" s="61">
        <v>1042520</v>
      </c>
      <c r="I809" s="61">
        <f>+C809+D809-E809-F809+G809</f>
        <v>1042520</v>
      </c>
      <c r="J809" s="9">
        <f t="shared" si="466"/>
        <v>0</v>
      </c>
      <c r="K809" s="45" t="s">
        <v>25</v>
      </c>
      <c r="L809" s="47">
        <v>10580357</v>
      </c>
      <c r="M809" s="47">
        <v>6750500</v>
      </c>
      <c r="N809" s="47">
        <v>3713706</v>
      </c>
      <c r="O809" s="47">
        <v>0</v>
      </c>
    </row>
    <row r="810" spans="1:16" x14ac:dyDescent="0.3">
      <c r="A810" s="58" t="str">
        <f t="shared" si="467"/>
        <v>Crépin</v>
      </c>
      <c r="B810" s="59" t="s">
        <v>161</v>
      </c>
      <c r="C810" s="60">
        <v>-3675</v>
      </c>
      <c r="D810" s="61">
        <f t="shared" si="464"/>
        <v>1778500</v>
      </c>
      <c r="E810" s="61">
        <f>+N810</f>
        <v>1666925</v>
      </c>
      <c r="F810" s="61">
        <f t="shared" si="469"/>
        <v>145000</v>
      </c>
      <c r="G810" s="61">
        <f t="shared" si="465"/>
        <v>0</v>
      </c>
      <c r="H810" s="61">
        <v>-37100</v>
      </c>
      <c r="I810" s="61">
        <f t="shared" ref="I810" si="470">+C810+D810-E810-F810+G810</f>
        <v>-37100</v>
      </c>
      <c r="J810" s="9">
        <f t="shared" si="466"/>
        <v>0</v>
      </c>
      <c r="K810" s="45" t="s">
        <v>47</v>
      </c>
      <c r="L810" s="47">
        <v>1778500</v>
      </c>
      <c r="M810" s="47">
        <v>145000</v>
      </c>
      <c r="N810" s="47">
        <v>1666925</v>
      </c>
      <c r="O810" s="47">
        <v>0</v>
      </c>
    </row>
    <row r="811" spans="1:16" x14ac:dyDescent="0.3">
      <c r="A811" s="58" t="str">
        <f>K811</f>
        <v>Evariste</v>
      </c>
      <c r="B811" s="59" t="s">
        <v>162</v>
      </c>
      <c r="C811" s="60">
        <v>7595</v>
      </c>
      <c r="D811" s="61">
        <f t="shared" si="464"/>
        <v>286000</v>
      </c>
      <c r="E811" s="61">
        <f t="shared" ref="E811" si="471">+N811</f>
        <v>284950</v>
      </c>
      <c r="F811" s="61">
        <f t="shared" si="469"/>
        <v>0</v>
      </c>
      <c r="G811" s="61">
        <f t="shared" si="465"/>
        <v>0</v>
      </c>
      <c r="H811" s="61">
        <v>8645</v>
      </c>
      <c r="I811" s="61">
        <f>+C811+D811-E811-F811+G811</f>
        <v>8645</v>
      </c>
      <c r="J811" s="9">
        <f t="shared" si="466"/>
        <v>0</v>
      </c>
      <c r="K811" s="45" t="s">
        <v>31</v>
      </c>
      <c r="L811" s="47">
        <v>286000</v>
      </c>
      <c r="M811" s="47">
        <v>0</v>
      </c>
      <c r="N811" s="47">
        <v>284950</v>
      </c>
      <c r="O811" s="47">
        <v>0</v>
      </c>
    </row>
    <row r="812" spans="1:16" x14ac:dyDescent="0.3">
      <c r="A812" s="115" t="str">
        <f t="shared" ref="A812:A819" si="472">+K812</f>
        <v>I55S</v>
      </c>
      <c r="B812" s="116" t="s">
        <v>4</v>
      </c>
      <c r="C812" s="117">
        <v>233614</v>
      </c>
      <c r="D812" s="118">
        <f t="shared" si="464"/>
        <v>0</v>
      </c>
      <c r="E812" s="118">
        <f>+N812</f>
        <v>0</v>
      </c>
      <c r="F812" s="118">
        <f t="shared" si="469"/>
        <v>0</v>
      </c>
      <c r="G812" s="118">
        <f t="shared" si="465"/>
        <v>0</v>
      </c>
      <c r="H812" s="118">
        <v>233614</v>
      </c>
      <c r="I812" s="118">
        <f>+C812+D812-E812-F812+G812</f>
        <v>233614</v>
      </c>
      <c r="J812" s="9">
        <f t="shared" si="466"/>
        <v>0</v>
      </c>
      <c r="K812" s="45" t="s">
        <v>84</v>
      </c>
      <c r="L812" s="47">
        <v>0</v>
      </c>
      <c r="M812" s="47">
        <v>0</v>
      </c>
      <c r="N812" s="47">
        <v>0</v>
      </c>
      <c r="O812" s="47">
        <v>0</v>
      </c>
    </row>
    <row r="813" spans="1:16" x14ac:dyDescent="0.3">
      <c r="A813" s="115" t="str">
        <f t="shared" si="472"/>
        <v>I73X</v>
      </c>
      <c r="B813" s="116" t="s">
        <v>4</v>
      </c>
      <c r="C813" s="117">
        <v>249769</v>
      </c>
      <c r="D813" s="118">
        <f t="shared" si="464"/>
        <v>0</v>
      </c>
      <c r="E813" s="118">
        <f>+N813</f>
        <v>0</v>
      </c>
      <c r="F813" s="118">
        <f t="shared" si="469"/>
        <v>0</v>
      </c>
      <c r="G813" s="118">
        <f t="shared" si="465"/>
        <v>0</v>
      </c>
      <c r="H813" s="118">
        <v>249769</v>
      </c>
      <c r="I813" s="118">
        <f t="shared" ref="I813:I816" si="473">+C813+D813-E813-F813+G813</f>
        <v>249769</v>
      </c>
      <c r="J813" s="9">
        <f t="shared" si="466"/>
        <v>0</v>
      </c>
      <c r="K813" s="45" t="s">
        <v>83</v>
      </c>
      <c r="L813" s="47">
        <v>0</v>
      </c>
      <c r="M813" s="47">
        <v>0</v>
      </c>
      <c r="N813" s="47">
        <v>0</v>
      </c>
      <c r="O813" s="47">
        <v>0</v>
      </c>
    </row>
    <row r="814" spans="1:16" x14ac:dyDescent="0.3">
      <c r="A814" s="58" t="str">
        <f t="shared" si="472"/>
        <v>Godfré</v>
      </c>
      <c r="B814" s="98" t="s">
        <v>161</v>
      </c>
      <c r="C814" s="60">
        <v>-6000</v>
      </c>
      <c r="D814" s="61">
        <f t="shared" si="464"/>
        <v>797000</v>
      </c>
      <c r="E814" s="154">
        <f t="shared" ref="E814:E819" si="474">+N814</f>
        <v>578885</v>
      </c>
      <c r="F814" s="61">
        <f t="shared" si="469"/>
        <v>177180</v>
      </c>
      <c r="G814" s="61">
        <f t="shared" si="465"/>
        <v>0</v>
      </c>
      <c r="H814" s="61">
        <v>34935</v>
      </c>
      <c r="I814" s="61">
        <f t="shared" si="473"/>
        <v>34935</v>
      </c>
      <c r="J814" s="9">
        <f t="shared" si="466"/>
        <v>0</v>
      </c>
      <c r="K814" s="45" t="s">
        <v>151</v>
      </c>
      <c r="L814" s="47">
        <v>797000</v>
      </c>
      <c r="M814" s="47">
        <v>177180</v>
      </c>
      <c r="N814" s="47">
        <v>578885</v>
      </c>
      <c r="O814" s="47">
        <v>0</v>
      </c>
    </row>
    <row r="815" spans="1:16" x14ac:dyDescent="0.3">
      <c r="A815" s="58" t="str">
        <f t="shared" si="472"/>
        <v>Grace</v>
      </c>
      <c r="B815" s="59" t="s">
        <v>2</v>
      </c>
      <c r="C815" s="60">
        <v>48400</v>
      </c>
      <c r="D815" s="61">
        <f t="shared" si="464"/>
        <v>847000</v>
      </c>
      <c r="E815" s="154">
        <f>+N815</f>
        <v>193200</v>
      </c>
      <c r="F815" s="61">
        <f t="shared" si="469"/>
        <v>658000</v>
      </c>
      <c r="G815" s="61">
        <f t="shared" si="465"/>
        <v>0</v>
      </c>
      <c r="H815" s="61">
        <v>44200</v>
      </c>
      <c r="I815" s="61">
        <f t="shared" si="473"/>
        <v>44200</v>
      </c>
      <c r="J815" s="9">
        <f>I815-H815</f>
        <v>0</v>
      </c>
      <c r="K815" s="45" t="s">
        <v>150</v>
      </c>
      <c r="L815" s="47">
        <v>847000</v>
      </c>
      <c r="M815" s="47">
        <v>658000</v>
      </c>
      <c r="N815" s="47">
        <v>193200</v>
      </c>
      <c r="O815" s="47">
        <v>0</v>
      </c>
    </row>
    <row r="816" spans="1:16" x14ac:dyDescent="0.3">
      <c r="A816" s="58" t="str">
        <f t="shared" si="472"/>
        <v>I23C</v>
      </c>
      <c r="B816" s="98" t="s">
        <v>4</v>
      </c>
      <c r="C816" s="60">
        <v>6800</v>
      </c>
      <c r="D816" s="61">
        <f t="shared" si="464"/>
        <v>861000</v>
      </c>
      <c r="E816" s="154">
        <f t="shared" si="474"/>
        <v>855750</v>
      </c>
      <c r="F816" s="61">
        <f t="shared" si="469"/>
        <v>0</v>
      </c>
      <c r="G816" s="61">
        <f t="shared" si="465"/>
        <v>0</v>
      </c>
      <c r="H816" s="61">
        <v>12050</v>
      </c>
      <c r="I816" s="61">
        <f t="shared" si="473"/>
        <v>12050</v>
      </c>
      <c r="J816" s="9">
        <f t="shared" ref="J816:J817" si="475">I816-H816</f>
        <v>0</v>
      </c>
      <c r="K816" s="45" t="s">
        <v>30</v>
      </c>
      <c r="L816" s="47">
        <v>861000</v>
      </c>
      <c r="M816" s="47">
        <v>0</v>
      </c>
      <c r="N816" s="47">
        <v>855750</v>
      </c>
      <c r="O816" s="47">
        <v>0</v>
      </c>
    </row>
    <row r="817" spans="1:15" x14ac:dyDescent="0.3">
      <c r="A817" s="58" t="str">
        <f t="shared" si="472"/>
        <v>Merveille</v>
      </c>
      <c r="B817" s="59" t="s">
        <v>2</v>
      </c>
      <c r="C817" s="60">
        <v>5500</v>
      </c>
      <c r="D817" s="61">
        <f t="shared" si="464"/>
        <v>0</v>
      </c>
      <c r="E817" s="154">
        <f t="shared" si="474"/>
        <v>0</v>
      </c>
      <c r="F817" s="61">
        <f t="shared" si="469"/>
        <v>0</v>
      </c>
      <c r="G817" s="61">
        <f t="shared" si="465"/>
        <v>0</v>
      </c>
      <c r="H817" s="61">
        <v>5500</v>
      </c>
      <c r="I817" s="61">
        <f>+C817+D817-E817-F817+G817</f>
        <v>5500</v>
      </c>
      <c r="J817" s="9">
        <f t="shared" si="475"/>
        <v>0</v>
      </c>
      <c r="K817" s="45" t="s">
        <v>93</v>
      </c>
      <c r="L817" s="47">
        <v>0</v>
      </c>
      <c r="M817" s="47">
        <v>0</v>
      </c>
      <c r="N817" s="47">
        <v>0</v>
      </c>
      <c r="O817" s="47"/>
    </row>
    <row r="818" spans="1:15" x14ac:dyDescent="0.3">
      <c r="A818" s="58" t="str">
        <f t="shared" si="472"/>
        <v>P29</v>
      </c>
      <c r="B818" s="59" t="s">
        <v>4</v>
      </c>
      <c r="C818" s="60">
        <v>30700</v>
      </c>
      <c r="D818" s="61">
        <f t="shared" si="464"/>
        <v>1215000</v>
      </c>
      <c r="E818" s="154">
        <f t="shared" si="474"/>
        <v>697500</v>
      </c>
      <c r="F818" s="61">
        <f>+M818</f>
        <v>490000</v>
      </c>
      <c r="G818" s="61">
        <f>+O818</f>
        <v>0</v>
      </c>
      <c r="H818" s="61">
        <v>58200</v>
      </c>
      <c r="I818" s="61">
        <f>+C818+D818-E818-F818+G818</f>
        <v>58200</v>
      </c>
      <c r="J818" s="9">
        <f>I818-H818</f>
        <v>0</v>
      </c>
      <c r="K818" s="45" t="s">
        <v>29</v>
      </c>
      <c r="L818" s="47">
        <v>1215000</v>
      </c>
      <c r="M818" s="47">
        <v>490000</v>
      </c>
      <c r="N818" s="47">
        <v>697500</v>
      </c>
      <c r="O818" s="47">
        <v>0</v>
      </c>
    </row>
    <row r="819" spans="1:15" x14ac:dyDescent="0.3">
      <c r="A819" s="58" t="str">
        <f t="shared" si="472"/>
        <v>Tiffany</v>
      </c>
      <c r="B819" s="59" t="s">
        <v>2</v>
      </c>
      <c r="C819" s="60">
        <v>9193</v>
      </c>
      <c r="D819" s="61">
        <f t="shared" si="464"/>
        <v>1100180</v>
      </c>
      <c r="E819" s="154">
        <f t="shared" si="474"/>
        <v>195700</v>
      </c>
      <c r="F819" s="61">
        <f t="shared" ref="F819" si="476">+M819</f>
        <v>650000</v>
      </c>
      <c r="G819" s="61">
        <f t="shared" ref="G819" si="477">+O819</f>
        <v>0</v>
      </c>
      <c r="H819" s="61">
        <v>263673</v>
      </c>
      <c r="I819" s="61">
        <f t="shared" ref="I819" si="478">+C819+D819-E819-F819+G819</f>
        <v>263673</v>
      </c>
      <c r="J819" s="9">
        <f t="shared" ref="J819" si="479">I819-H819</f>
        <v>0</v>
      </c>
      <c r="K819" s="45" t="s">
        <v>113</v>
      </c>
      <c r="L819" s="47">
        <v>1100180</v>
      </c>
      <c r="M819" s="47">
        <v>650000</v>
      </c>
      <c r="N819" s="47">
        <v>195700</v>
      </c>
      <c r="O819" s="47">
        <v>0</v>
      </c>
    </row>
    <row r="820" spans="1:15" x14ac:dyDescent="0.3">
      <c r="A820" s="10" t="s">
        <v>50</v>
      </c>
      <c r="B820" s="11"/>
      <c r="C820" s="12">
        <f>SUM(C805:C819)</f>
        <v>23367297</v>
      </c>
      <c r="D820" s="57">
        <f t="shared" ref="D820:G820" si="480">SUM(D805:D819)</f>
        <v>19016037</v>
      </c>
      <c r="E820" s="57">
        <f t="shared" si="480"/>
        <v>13144803</v>
      </c>
      <c r="F820" s="57">
        <f t="shared" si="480"/>
        <v>19016037</v>
      </c>
      <c r="G820" s="57">
        <f t="shared" si="480"/>
        <v>0</v>
      </c>
      <c r="H820" s="57">
        <f>SUM(H805:H819)</f>
        <v>10222494</v>
      </c>
      <c r="I820" s="57">
        <f>SUM(I805:I819)</f>
        <v>10222494</v>
      </c>
      <c r="J820" s="9">
        <f>I820-H820</f>
        <v>0</v>
      </c>
      <c r="K820" s="3"/>
      <c r="L820" s="47">
        <f>+SUM(L805:L819)</f>
        <v>19016037</v>
      </c>
      <c r="M820" s="47">
        <f t="shared" ref="M820:O820" si="481">+SUM(M805:M819)</f>
        <v>19016037</v>
      </c>
      <c r="N820" s="47">
        <f>+SUM(N805:N819)</f>
        <v>13144803</v>
      </c>
      <c r="O820" s="47">
        <f t="shared" si="481"/>
        <v>0</v>
      </c>
    </row>
    <row r="821" spans="1:15" x14ac:dyDescent="0.3">
      <c r="A821" s="10"/>
      <c r="B821" s="11"/>
      <c r="C821" s="12"/>
      <c r="D821" s="13"/>
      <c r="E821" s="12"/>
      <c r="F821" s="13"/>
      <c r="G821" s="12"/>
      <c r="H821" s="12"/>
      <c r="I821" s="134" t="b">
        <f>I820=D823</f>
        <v>1</v>
      </c>
      <c r="L821" s="5"/>
      <c r="M821" s="5"/>
      <c r="N821" s="5"/>
      <c r="O821" s="5"/>
    </row>
    <row r="822" spans="1:15" x14ac:dyDescent="0.3">
      <c r="A822" s="10" t="s">
        <v>171</v>
      </c>
      <c r="B822" s="11" t="s">
        <v>172</v>
      </c>
      <c r="C822" s="12" t="s">
        <v>173</v>
      </c>
      <c r="D822" s="12" t="s">
        <v>180</v>
      </c>
      <c r="E822" s="12" t="s">
        <v>51</v>
      </c>
      <c r="F822" s="12"/>
      <c r="G822" s="12">
        <f>+D820-F820</f>
        <v>0</v>
      </c>
      <c r="H822" s="12"/>
      <c r="I822" s="12"/>
    </row>
    <row r="823" spans="1:15" x14ac:dyDescent="0.3">
      <c r="A823" s="14">
        <f>C820</f>
        <v>23367297</v>
      </c>
      <c r="B823" s="15">
        <f>G820</f>
        <v>0</v>
      </c>
      <c r="C823" s="12">
        <f>E820</f>
        <v>13144803</v>
      </c>
      <c r="D823" s="12">
        <f>A823+B823-C823</f>
        <v>10222494</v>
      </c>
      <c r="E823" s="13">
        <f>I820-D823</f>
        <v>0</v>
      </c>
      <c r="F823" s="12"/>
      <c r="G823" s="12"/>
      <c r="H823" s="12"/>
      <c r="I823" s="12"/>
      <c r="L823" s="5"/>
      <c r="M823" s="5"/>
      <c r="N823" s="5"/>
      <c r="O823" s="5"/>
    </row>
    <row r="824" spans="1:15" x14ac:dyDescent="0.3">
      <c r="A824" s="14"/>
      <c r="B824" s="15"/>
      <c r="C824" s="12"/>
      <c r="D824" s="12"/>
      <c r="E824" s="13"/>
      <c r="F824" s="12"/>
      <c r="G824" s="12"/>
      <c r="H824" s="12"/>
      <c r="I824" s="12"/>
      <c r="L824" s="5"/>
      <c r="M824" s="5"/>
      <c r="N824" s="5"/>
      <c r="O824" s="5"/>
    </row>
    <row r="825" spans="1:15" x14ac:dyDescent="0.3">
      <c r="A825" s="16" t="s">
        <v>52</v>
      </c>
      <c r="B825" s="16"/>
      <c r="C825" s="16"/>
      <c r="D825" s="17"/>
      <c r="E825" s="17"/>
      <c r="F825" s="17"/>
      <c r="G825" s="17"/>
      <c r="H825" s="17"/>
      <c r="I825" s="17"/>
      <c r="L825" s="5"/>
      <c r="M825" s="5"/>
      <c r="N825" s="5"/>
      <c r="O825" s="5"/>
    </row>
    <row r="826" spans="1:15" x14ac:dyDescent="0.3">
      <c r="A826" s="18" t="s">
        <v>179</v>
      </c>
      <c r="B826" s="18"/>
      <c r="C826" s="18"/>
      <c r="D826" s="18"/>
      <c r="E826" s="18"/>
      <c r="F826" s="18"/>
      <c r="G826" s="18"/>
      <c r="H826" s="18"/>
      <c r="I826" s="18"/>
      <c r="J826" s="18"/>
      <c r="L826" s="5"/>
      <c r="M826" s="5"/>
      <c r="N826" s="5"/>
      <c r="O826" s="5"/>
    </row>
    <row r="827" spans="1:15" x14ac:dyDescent="0.3">
      <c r="A827" s="19"/>
      <c r="B827" s="17"/>
      <c r="C827" s="20"/>
      <c r="D827" s="20"/>
      <c r="E827" s="20"/>
      <c r="F827" s="20"/>
      <c r="G827" s="20"/>
      <c r="H827" s="17"/>
      <c r="I827" s="17"/>
      <c r="L827" s="5"/>
      <c r="M827" s="5"/>
      <c r="N827" s="5"/>
      <c r="O827" s="5"/>
    </row>
    <row r="828" spans="1:15" x14ac:dyDescent="0.3">
      <c r="A828" s="315" t="s">
        <v>53</v>
      </c>
      <c r="B828" s="317" t="s">
        <v>54</v>
      </c>
      <c r="C828" s="319" t="s">
        <v>174</v>
      </c>
      <c r="D828" s="321" t="s">
        <v>55</v>
      </c>
      <c r="E828" s="322"/>
      <c r="F828" s="322"/>
      <c r="G828" s="323"/>
      <c r="H828" s="324" t="s">
        <v>56</v>
      </c>
      <c r="I828" s="311" t="s">
        <v>57</v>
      </c>
      <c r="J828" s="17"/>
      <c r="L828" s="5"/>
      <c r="M828" s="5"/>
      <c r="N828" s="5"/>
      <c r="O828" s="5"/>
    </row>
    <row r="829" spans="1:15" ht="28.5" customHeight="1" x14ac:dyDescent="0.3">
      <c r="A829" s="316"/>
      <c r="B829" s="318"/>
      <c r="C829" s="320"/>
      <c r="D829" s="21" t="s">
        <v>24</v>
      </c>
      <c r="E829" s="21" t="s">
        <v>25</v>
      </c>
      <c r="F829" s="22" t="s">
        <v>123</v>
      </c>
      <c r="G829" s="21" t="s">
        <v>58</v>
      </c>
      <c r="H829" s="325"/>
      <c r="I829" s="312"/>
      <c r="J829" s="313" t="s">
        <v>175</v>
      </c>
      <c r="K829" s="143"/>
      <c r="L829" s="5"/>
      <c r="M829" s="5"/>
      <c r="N829" s="5"/>
      <c r="O829" s="5"/>
    </row>
    <row r="830" spans="1:15" x14ac:dyDescent="0.3">
      <c r="A830" s="23"/>
      <c r="B830" s="24" t="s">
        <v>59</v>
      </c>
      <c r="C830" s="25"/>
      <c r="D830" s="25"/>
      <c r="E830" s="25"/>
      <c r="F830" s="25"/>
      <c r="G830" s="25"/>
      <c r="H830" s="25"/>
      <c r="I830" s="26"/>
      <c r="J830" s="314"/>
      <c r="K830" s="143"/>
      <c r="L830" s="5"/>
      <c r="M830" s="5"/>
      <c r="N830" s="5"/>
      <c r="O830" s="5"/>
    </row>
    <row r="831" spans="1:15" x14ac:dyDescent="0.3">
      <c r="A831" s="122" t="s">
        <v>103</v>
      </c>
      <c r="B831" s="127" t="s">
        <v>160</v>
      </c>
      <c r="C831" s="32">
        <f>+C805</f>
        <v>29107</v>
      </c>
      <c r="D831" s="31"/>
      <c r="E831" s="32">
        <f>D805</f>
        <v>1125000</v>
      </c>
      <c r="F831" s="32"/>
      <c r="G831" s="32"/>
      <c r="H831" s="55">
        <f>+F805</f>
        <v>145357</v>
      </c>
      <c r="I831" s="32">
        <f>+E805</f>
        <v>1008750</v>
      </c>
      <c r="J831" s="30">
        <f>+SUM(C831:G831)-(H831+I831)</f>
        <v>0</v>
      </c>
      <c r="K831" s="144" t="b">
        <f>J831=I805</f>
        <v>1</v>
      </c>
      <c r="L831" s="5"/>
      <c r="M831" s="5"/>
      <c r="N831" s="5"/>
      <c r="O831" s="5"/>
    </row>
    <row r="832" spans="1:15" x14ac:dyDescent="0.3">
      <c r="A832" s="122" t="str">
        <f>A831</f>
        <v>DECEMBRE</v>
      </c>
      <c r="B832" s="127" t="s">
        <v>169</v>
      </c>
      <c r="C832" s="32">
        <f>+C806</f>
        <v>4000</v>
      </c>
      <c r="D832" s="31"/>
      <c r="E832" s="32">
        <f>+D806</f>
        <v>426000</v>
      </c>
      <c r="F832" s="32"/>
      <c r="G832" s="32"/>
      <c r="H832" s="55">
        <f>+F806</f>
        <v>0</v>
      </c>
      <c r="I832" s="32">
        <f>+E806</f>
        <v>420500</v>
      </c>
      <c r="J832" s="30">
        <f t="shared" ref="J832:J833" si="482">+SUM(C832:G832)-(H832+I832)</f>
        <v>9500</v>
      </c>
      <c r="K832" s="144" t="b">
        <f>J832=I806</f>
        <v>1</v>
      </c>
      <c r="L832" s="5"/>
      <c r="M832" s="5"/>
      <c r="N832" s="5"/>
      <c r="O832" s="5"/>
    </row>
    <row r="833" spans="1:15" x14ac:dyDescent="0.3">
      <c r="A833" s="122" t="str">
        <f>+A832</f>
        <v>DECEMBRE</v>
      </c>
      <c r="B833" s="127" t="s">
        <v>47</v>
      </c>
      <c r="C833" s="32">
        <f>+C810</f>
        <v>-3675</v>
      </c>
      <c r="D833" s="31"/>
      <c r="E833" s="32">
        <f>+D810</f>
        <v>1778500</v>
      </c>
      <c r="F833" s="32"/>
      <c r="G833" s="32"/>
      <c r="H833" s="55">
        <f>+F810</f>
        <v>145000</v>
      </c>
      <c r="I833" s="32">
        <f>+E810</f>
        <v>1666925</v>
      </c>
      <c r="J833" s="101">
        <f t="shared" si="482"/>
        <v>-37100</v>
      </c>
      <c r="K833" s="144" t="b">
        <f>J833=I810</f>
        <v>1</v>
      </c>
      <c r="L833" s="5"/>
      <c r="M833" s="5"/>
      <c r="N833" s="5"/>
      <c r="O833" s="5"/>
    </row>
    <row r="834" spans="1:15" x14ac:dyDescent="0.3">
      <c r="A834" s="122" t="str">
        <f t="shared" ref="A834:A842" si="483">+A833</f>
        <v>DECEMBRE</v>
      </c>
      <c r="B834" s="128" t="s">
        <v>31</v>
      </c>
      <c r="C834" s="32">
        <f>+C811</f>
        <v>7595</v>
      </c>
      <c r="D834" s="119"/>
      <c r="E834" s="32">
        <f>+D811</f>
        <v>286000</v>
      </c>
      <c r="F834" s="51"/>
      <c r="G834" s="51"/>
      <c r="H834" s="55">
        <f>+F811</f>
        <v>0</v>
      </c>
      <c r="I834" s="32">
        <f>+E811</f>
        <v>284950</v>
      </c>
      <c r="J834" s="124">
        <f>+SUM(C834:G834)-(H834+I834)</f>
        <v>8645</v>
      </c>
      <c r="K834" s="144" t="b">
        <f t="shared" ref="K834:K842" si="484">J834=I811</f>
        <v>1</v>
      </c>
      <c r="L834" s="5"/>
      <c r="M834" s="5"/>
      <c r="N834" s="5"/>
      <c r="O834" s="5"/>
    </row>
    <row r="835" spans="1:15" x14ac:dyDescent="0.3">
      <c r="A835" s="122" t="str">
        <f t="shared" si="483"/>
        <v>DECEMBRE</v>
      </c>
      <c r="B835" s="129" t="s">
        <v>84</v>
      </c>
      <c r="C835" s="120">
        <f>+C812</f>
        <v>233614</v>
      </c>
      <c r="D835" s="123"/>
      <c r="E835" s="120">
        <f>+D812</f>
        <v>0</v>
      </c>
      <c r="F835" s="137"/>
      <c r="G835" s="137"/>
      <c r="H835" s="155">
        <f>+F812</f>
        <v>0</v>
      </c>
      <c r="I835" s="120">
        <f>+E812</f>
        <v>0</v>
      </c>
      <c r="J835" s="121">
        <f>+SUM(C835:G835)-(H835+I835)</f>
        <v>233614</v>
      </c>
      <c r="K835" s="144" t="b">
        <f t="shared" si="484"/>
        <v>1</v>
      </c>
      <c r="L835" s="5"/>
      <c r="M835" s="5"/>
      <c r="N835" s="5"/>
      <c r="O835" s="5"/>
    </row>
    <row r="836" spans="1:15" x14ac:dyDescent="0.3">
      <c r="A836" s="122" t="str">
        <f t="shared" si="483"/>
        <v>DECEMBRE</v>
      </c>
      <c r="B836" s="129" t="s">
        <v>83</v>
      </c>
      <c r="C836" s="120">
        <f>+C813</f>
        <v>249769</v>
      </c>
      <c r="D836" s="123"/>
      <c r="E836" s="120">
        <f>+D813</f>
        <v>0</v>
      </c>
      <c r="F836" s="137"/>
      <c r="G836" s="137"/>
      <c r="H836" s="155">
        <f>+F813</f>
        <v>0</v>
      </c>
      <c r="I836" s="120">
        <f>+E813</f>
        <v>0</v>
      </c>
      <c r="J836" s="121">
        <f t="shared" ref="J836:J842" si="485">+SUM(C836:G836)-(H836+I836)</f>
        <v>249769</v>
      </c>
      <c r="K836" s="144" t="b">
        <f t="shared" si="484"/>
        <v>1</v>
      </c>
      <c r="L836" s="5"/>
      <c r="M836" s="5"/>
      <c r="N836" s="5"/>
      <c r="O836" s="5"/>
    </row>
    <row r="837" spans="1:15" x14ac:dyDescent="0.3">
      <c r="A837" s="122" t="str">
        <f t="shared" si="483"/>
        <v>DECEMBRE</v>
      </c>
      <c r="B837" s="127" t="s">
        <v>151</v>
      </c>
      <c r="C837" s="32">
        <f>+C814</f>
        <v>-6000</v>
      </c>
      <c r="D837" s="31"/>
      <c r="E837" s="32">
        <f>+D814</f>
        <v>797000</v>
      </c>
      <c r="F837" s="32"/>
      <c r="G837" s="104"/>
      <c r="H837" s="55">
        <f>+F814</f>
        <v>177180</v>
      </c>
      <c r="I837" s="32">
        <f>+E814</f>
        <v>578885</v>
      </c>
      <c r="J837" s="30">
        <f t="shared" si="485"/>
        <v>34935</v>
      </c>
      <c r="K837" s="144" t="b">
        <f t="shared" si="484"/>
        <v>1</v>
      </c>
      <c r="L837" s="5"/>
      <c r="M837" s="5"/>
      <c r="N837" s="5"/>
      <c r="O837" s="5"/>
    </row>
    <row r="838" spans="1:15" x14ac:dyDescent="0.3">
      <c r="A838" s="122" t="str">
        <f t="shared" si="483"/>
        <v>DECEMBRE</v>
      </c>
      <c r="B838" s="127" t="s">
        <v>150</v>
      </c>
      <c r="C838" s="32">
        <f t="shared" ref="C838:C842" si="486">+C815</f>
        <v>48400</v>
      </c>
      <c r="D838" s="31"/>
      <c r="E838" s="32">
        <f t="shared" ref="E838:E842" si="487">+D815</f>
        <v>847000</v>
      </c>
      <c r="F838" s="32"/>
      <c r="G838" s="104"/>
      <c r="H838" s="55">
        <f t="shared" ref="H838:H842" si="488">+F815</f>
        <v>658000</v>
      </c>
      <c r="I838" s="32">
        <f t="shared" ref="I838:I842" si="489">+E815</f>
        <v>193200</v>
      </c>
      <c r="J838" s="30">
        <f t="shared" si="485"/>
        <v>44200</v>
      </c>
      <c r="K838" s="144" t="b">
        <f t="shared" si="484"/>
        <v>1</v>
      </c>
      <c r="L838" s="5"/>
      <c r="M838" s="5"/>
      <c r="N838" s="5"/>
      <c r="O838" s="5"/>
    </row>
    <row r="839" spans="1:15" x14ac:dyDescent="0.3">
      <c r="A839" s="122" t="str">
        <f t="shared" si="483"/>
        <v>DECEMBRE</v>
      </c>
      <c r="B839" s="127" t="s">
        <v>30</v>
      </c>
      <c r="C839" s="32">
        <f t="shared" si="486"/>
        <v>6800</v>
      </c>
      <c r="D839" s="31"/>
      <c r="E839" s="32">
        <f t="shared" si="487"/>
        <v>861000</v>
      </c>
      <c r="F839" s="32"/>
      <c r="G839" s="104"/>
      <c r="H839" s="55">
        <f t="shared" si="488"/>
        <v>0</v>
      </c>
      <c r="I839" s="32">
        <f t="shared" si="489"/>
        <v>855750</v>
      </c>
      <c r="J839" s="30">
        <f t="shared" si="485"/>
        <v>12050</v>
      </c>
      <c r="K839" s="144" t="b">
        <f t="shared" si="484"/>
        <v>1</v>
      </c>
    </row>
    <row r="840" spans="1:15" x14ac:dyDescent="0.3">
      <c r="A840" s="122" t="str">
        <f>+A838</f>
        <v>DECEMBRE</v>
      </c>
      <c r="B840" s="127" t="s">
        <v>93</v>
      </c>
      <c r="C840" s="32">
        <f t="shared" si="486"/>
        <v>5500</v>
      </c>
      <c r="D840" s="31"/>
      <c r="E840" s="32">
        <f t="shared" si="487"/>
        <v>0</v>
      </c>
      <c r="F840" s="32"/>
      <c r="G840" s="104"/>
      <c r="H840" s="55">
        <f t="shared" si="488"/>
        <v>0</v>
      </c>
      <c r="I840" s="32">
        <f t="shared" si="489"/>
        <v>0</v>
      </c>
      <c r="J840" s="30">
        <f t="shared" si="485"/>
        <v>5500</v>
      </c>
      <c r="K840" s="144" t="b">
        <f t="shared" si="484"/>
        <v>1</v>
      </c>
    </row>
    <row r="841" spans="1:15" x14ac:dyDescent="0.3">
      <c r="A841" s="122" t="str">
        <f>+A839</f>
        <v>DECEMBRE</v>
      </c>
      <c r="B841" s="127" t="s">
        <v>29</v>
      </c>
      <c r="C841" s="32">
        <f t="shared" si="486"/>
        <v>30700</v>
      </c>
      <c r="D841" s="31"/>
      <c r="E841" s="32">
        <f t="shared" si="487"/>
        <v>1215000</v>
      </c>
      <c r="F841" s="32"/>
      <c r="G841" s="104"/>
      <c r="H841" s="55">
        <f t="shared" si="488"/>
        <v>490000</v>
      </c>
      <c r="I841" s="32">
        <f t="shared" si="489"/>
        <v>697500</v>
      </c>
      <c r="J841" s="30">
        <f t="shared" si="485"/>
        <v>58200</v>
      </c>
      <c r="K841" s="144" t="b">
        <f t="shared" si="484"/>
        <v>1</v>
      </c>
    </row>
    <row r="842" spans="1:15" x14ac:dyDescent="0.3">
      <c r="A842" s="122" t="str">
        <f t="shared" si="483"/>
        <v>DECEMBRE</v>
      </c>
      <c r="B842" s="128" t="s">
        <v>113</v>
      </c>
      <c r="C842" s="32">
        <f t="shared" si="486"/>
        <v>9193</v>
      </c>
      <c r="D842" s="119"/>
      <c r="E842" s="32">
        <f t="shared" si="487"/>
        <v>1100180</v>
      </c>
      <c r="F842" s="51"/>
      <c r="G842" s="138"/>
      <c r="H842" s="55">
        <f t="shared" si="488"/>
        <v>650000</v>
      </c>
      <c r="I842" s="32">
        <f t="shared" si="489"/>
        <v>195700</v>
      </c>
      <c r="J842" s="30">
        <f t="shared" si="485"/>
        <v>263673</v>
      </c>
      <c r="K842" s="144" t="b">
        <f t="shared" si="484"/>
        <v>1</v>
      </c>
    </row>
    <row r="843" spans="1:15" x14ac:dyDescent="0.3">
      <c r="A843" s="34" t="s">
        <v>60</v>
      </c>
      <c r="B843" s="35"/>
      <c r="C843" s="35"/>
      <c r="D843" s="35"/>
      <c r="E843" s="35"/>
      <c r="F843" s="35"/>
      <c r="G843" s="35"/>
      <c r="H843" s="35"/>
      <c r="I843" s="35"/>
      <c r="J843" s="36"/>
      <c r="K843" s="143"/>
    </row>
    <row r="844" spans="1:15" x14ac:dyDescent="0.3">
      <c r="A844" s="122" t="str">
        <f>+A842</f>
        <v>DECEMBRE</v>
      </c>
      <c r="B844" s="37" t="s">
        <v>61</v>
      </c>
      <c r="C844" s="38">
        <f>+C809</f>
        <v>926369</v>
      </c>
      <c r="D844" s="49"/>
      <c r="E844" s="49">
        <f>D809</f>
        <v>10580357</v>
      </c>
      <c r="F844" s="49"/>
      <c r="G844" s="125"/>
      <c r="H844" s="51">
        <f>+F809</f>
        <v>6750500</v>
      </c>
      <c r="I844" s="126">
        <f>+E809</f>
        <v>3713706</v>
      </c>
      <c r="J844" s="30">
        <f>+SUM(C844:G844)-(H844+I844)</f>
        <v>1042520</v>
      </c>
      <c r="K844" s="144" t="b">
        <f>J844=I809</f>
        <v>1</v>
      </c>
    </row>
    <row r="845" spans="1:15" x14ac:dyDescent="0.3">
      <c r="A845" s="43" t="s">
        <v>62</v>
      </c>
      <c r="B845" s="24"/>
      <c r="C845" s="35"/>
      <c r="D845" s="24"/>
      <c r="E845" s="24"/>
      <c r="F845" s="24"/>
      <c r="G845" s="24"/>
      <c r="H845" s="24"/>
      <c r="I845" s="24"/>
      <c r="J845" s="36"/>
      <c r="K845" s="143"/>
    </row>
    <row r="846" spans="1:15" x14ac:dyDescent="0.3">
      <c r="A846" s="122" t="str">
        <f>+A844</f>
        <v>DECEMBRE</v>
      </c>
      <c r="B846" s="37" t="s">
        <v>163</v>
      </c>
      <c r="C846" s="125">
        <f>+C807</f>
        <v>5738718</v>
      </c>
      <c r="D846" s="132">
        <f>+G807</f>
        <v>0</v>
      </c>
      <c r="E846" s="49"/>
      <c r="F846" s="49"/>
      <c r="G846" s="49"/>
      <c r="H846" s="51">
        <f>+F807</f>
        <v>2000000</v>
      </c>
      <c r="I846" s="53">
        <f>+E807</f>
        <v>283345</v>
      </c>
      <c r="J846" s="30">
        <f>+SUM(C846:G846)-(H846+I846)</f>
        <v>3455373</v>
      </c>
      <c r="K846" s="144" t="b">
        <f>+J846=I807</f>
        <v>1</v>
      </c>
    </row>
    <row r="847" spans="1:15" x14ac:dyDescent="0.3">
      <c r="A847" s="122" t="str">
        <f t="shared" ref="A847" si="490">+A846</f>
        <v>DECEMBRE</v>
      </c>
      <c r="B847" s="37" t="s">
        <v>64</v>
      </c>
      <c r="C847" s="125">
        <f>+C808</f>
        <v>16087207</v>
      </c>
      <c r="D847" s="49">
        <f>+G808</f>
        <v>0</v>
      </c>
      <c r="E847" s="48"/>
      <c r="F847" s="48"/>
      <c r="G847" s="48"/>
      <c r="H847" s="32">
        <f>+F808</f>
        <v>8000000</v>
      </c>
      <c r="I847" s="50">
        <f>+E808</f>
        <v>3245592</v>
      </c>
      <c r="J847" s="30">
        <f>SUM(C847:G847)-(H847+I847)</f>
        <v>4841615</v>
      </c>
      <c r="K847" s="144" t="b">
        <f>+J847=I808</f>
        <v>1</v>
      </c>
    </row>
    <row r="848" spans="1:15" ht="15.6" x14ac:dyDescent="0.3">
      <c r="C848" s="141">
        <f>SUM(C832:C847)</f>
        <v>23338190</v>
      </c>
      <c r="I848" s="140">
        <f>SUM(I832:I847)</f>
        <v>12136053</v>
      </c>
      <c r="J848" s="105">
        <f>+SUM(J831:J847)</f>
        <v>10222494</v>
      </c>
      <c r="K848" s="5" t="b">
        <f>J848=I820</f>
        <v>1</v>
      </c>
    </row>
    <row r="849" spans="1:16" x14ac:dyDescent="0.3">
      <c r="G849" s="9"/>
    </row>
    <row r="850" spans="1:16" x14ac:dyDescent="0.3">
      <c r="A850" s="161"/>
      <c r="B850" s="161"/>
      <c r="C850" s="161"/>
      <c r="D850" s="161"/>
      <c r="E850" s="161"/>
      <c r="F850" s="161"/>
      <c r="G850" s="161"/>
      <c r="H850" s="161"/>
      <c r="I850" s="161"/>
      <c r="J850" s="161"/>
      <c r="K850" s="161"/>
      <c r="L850" s="165"/>
      <c r="M850" s="165"/>
      <c r="N850" s="165"/>
      <c r="O850" s="165"/>
      <c r="P850" s="161"/>
    </row>
    <row r="851" spans="1:16" x14ac:dyDescent="0.3">
      <c r="A851" s="4">
        <v>44530</v>
      </c>
    </row>
    <row r="852" spans="1:16" ht="15.6" x14ac:dyDescent="0.3">
      <c r="A852" s="6" t="s">
        <v>36</v>
      </c>
      <c r="B852" s="6" t="s">
        <v>1</v>
      </c>
      <c r="C852" s="6">
        <v>44501</v>
      </c>
      <c r="D852" s="7" t="s">
        <v>37</v>
      </c>
      <c r="E852" s="7" t="s">
        <v>38</v>
      </c>
      <c r="F852" s="7" t="s">
        <v>39</v>
      </c>
      <c r="G852" s="7" t="s">
        <v>40</v>
      </c>
      <c r="H852" s="6">
        <v>44530</v>
      </c>
      <c r="I852" s="7" t="s">
        <v>41</v>
      </c>
      <c r="K852" s="45"/>
      <c r="L852" s="45" t="s">
        <v>42</v>
      </c>
      <c r="M852" s="45" t="s">
        <v>43</v>
      </c>
      <c r="N852" s="45" t="s">
        <v>44</v>
      </c>
      <c r="O852" s="45" t="s">
        <v>45</v>
      </c>
    </row>
    <row r="853" spans="1:16" s="156" customFormat="1" ht="15.6" x14ac:dyDescent="0.3">
      <c r="A853" s="58" t="str">
        <f>+K853</f>
        <v>Axel</v>
      </c>
      <c r="B853" s="158" t="s">
        <v>161</v>
      </c>
      <c r="C853" s="60">
        <v>6757</v>
      </c>
      <c r="D853" s="61">
        <f t="shared" ref="D853:D866" si="491">+L853</f>
        <v>337000</v>
      </c>
      <c r="E853" s="61">
        <f>+N853</f>
        <v>314650</v>
      </c>
      <c r="F853" s="61">
        <f>+M853</f>
        <v>0</v>
      </c>
      <c r="G853" s="61">
        <f t="shared" ref="G853:G855" si="492">+O853</f>
        <v>0</v>
      </c>
      <c r="H853" s="61">
        <v>29107</v>
      </c>
      <c r="I853" s="61">
        <f>+C853+D853-E853-F853+G853</f>
        <v>29107</v>
      </c>
      <c r="J853" s="9">
        <f>I853-H853</f>
        <v>0</v>
      </c>
      <c r="K853" s="157" t="s">
        <v>160</v>
      </c>
      <c r="L853" s="157">
        <v>337000</v>
      </c>
      <c r="M853" s="157">
        <v>0</v>
      </c>
      <c r="N853" s="157">
        <v>314650</v>
      </c>
      <c r="O853" s="157">
        <v>0</v>
      </c>
    </row>
    <row r="854" spans="1:16" x14ac:dyDescent="0.3">
      <c r="A854" s="58" t="str">
        <f>+K854</f>
        <v>B52</v>
      </c>
      <c r="B854" s="59" t="s">
        <v>4</v>
      </c>
      <c r="C854" s="60">
        <v>0</v>
      </c>
      <c r="D854" s="61">
        <f t="shared" si="491"/>
        <v>118000</v>
      </c>
      <c r="E854" s="61">
        <f>+N854</f>
        <v>114000</v>
      </c>
      <c r="F854" s="61">
        <f>+M854</f>
        <v>0</v>
      </c>
      <c r="G854" s="61">
        <f t="shared" si="492"/>
        <v>0</v>
      </c>
      <c r="H854" s="61">
        <v>4000</v>
      </c>
      <c r="I854" s="61">
        <f>+C854+D854-E854-F854+G854</f>
        <v>4000</v>
      </c>
      <c r="J854" s="9">
        <f>I854-H854</f>
        <v>0</v>
      </c>
      <c r="K854" s="45" t="s">
        <v>169</v>
      </c>
      <c r="L854" s="47">
        <v>118000</v>
      </c>
      <c r="M854" s="47">
        <v>0</v>
      </c>
      <c r="N854" s="47">
        <v>114000</v>
      </c>
      <c r="O854" s="47">
        <v>0</v>
      </c>
    </row>
    <row r="855" spans="1:16" x14ac:dyDescent="0.3">
      <c r="A855" s="58" t="str">
        <f>+K855</f>
        <v>BCI</v>
      </c>
      <c r="B855" s="59" t="s">
        <v>46</v>
      </c>
      <c r="C855" s="60">
        <v>6762063</v>
      </c>
      <c r="D855" s="61">
        <f t="shared" si="491"/>
        <v>0</v>
      </c>
      <c r="E855" s="61">
        <f>+N855</f>
        <v>23345</v>
      </c>
      <c r="F855" s="61">
        <f>+M855</f>
        <v>1000000</v>
      </c>
      <c r="G855" s="61">
        <f t="shared" si="492"/>
        <v>0</v>
      </c>
      <c r="H855" s="61">
        <v>5738718</v>
      </c>
      <c r="I855" s="61">
        <f>+C855+D855-E855-F855+G855</f>
        <v>5738718</v>
      </c>
      <c r="J855" s="9">
        <f t="shared" ref="J855:J862" si="493">I855-H855</f>
        <v>0</v>
      </c>
      <c r="K855" s="45" t="s">
        <v>24</v>
      </c>
      <c r="L855" s="47">
        <v>0</v>
      </c>
      <c r="M855" s="47">
        <v>1000000</v>
      </c>
      <c r="N855" s="47">
        <v>23345</v>
      </c>
      <c r="O855" s="47">
        <v>0</v>
      </c>
    </row>
    <row r="856" spans="1:16" x14ac:dyDescent="0.3">
      <c r="A856" s="58" t="str">
        <f t="shared" ref="A856:A858" si="494">+K856</f>
        <v>BCI-Sous Compte</v>
      </c>
      <c r="B856" s="59" t="s">
        <v>46</v>
      </c>
      <c r="C856" s="60">
        <v>23107840</v>
      </c>
      <c r="D856" s="61">
        <f t="shared" si="491"/>
        <v>0</v>
      </c>
      <c r="E856" s="61">
        <f>+N856</f>
        <v>4020633</v>
      </c>
      <c r="F856" s="61">
        <f>+M856</f>
        <v>3000000</v>
      </c>
      <c r="G856" s="61">
        <f t="shared" ref="G856:G867" si="495">+O856</f>
        <v>0</v>
      </c>
      <c r="H856" s="61">
        <v>16087207</v>
      </c>
      <c r="I856" s="61">
        <f>+C856+D856-E856-F856+G856</f>
        <v>16087207</v>
      </c>
      <c r="J856" s="102">
        <f t="shared" si="493"/>
        <v>0</v>
      </c>
      <c r="K856" s="45" t="s">
        <v>155</v>
      </c>
      <c r="L856" s="47">
        <v>0</v>
      </c>
      <c r="M856" s="47">
        <v>3000000</v>
      </c>
      <c r="N856" s="47">
        <v>4020633</v>
      </c>
      <c r="O856" s="47">
        <v>0</v>
      </c>
    </row>
    <row r="857" spans="1:16" x14ac:dyDescent="0.3">
      <c r="A857" s="58" t="str">
        <f t="shared" si="494"/>
        <v>Caisse</v>
      </c>
      <c r="B857" s="59" t="s">
        <v>25</v>
      </c>
      <c r="C857" s="60">
        <v>1685107</v>
      </c>
      <c r="D857" s="61">
        <f t="shared" si="491"/>
        <v>4090000</v>
      </c>
      <c r="E857" s="61">
        <f t="shared" ref="E857" si="496">+N857</f>
        <v>2854238</v>
      </c>
      <c r="F857" s="61">
        <f t="shared" ref="F857:F864" si="497">+M857</f>
        <v>1994500</v>
      </c>
      <c r="G857" s="61">
        <f t="shared" si="495"/>
        <v>0</v>
      </c>
      <c r="H857" s="61">
        <v>926369</v>
      </c>
      <c r="I857" s="61">
        <f>+C857+D857-E857-F857+G857</f>
        <v>926369</v>
      </c>
      <c r="J857" s="9">
        <f t="shared" si="493"/>
        <v>0</v>
      </c>
      <c r="K857" s="45" t="s">
        <v>25</v>
      </c>
      <c r="L857" s="47">
        <v>4090000</v>
      </c>
      <c r="M857" s="47">
        <v>1994500</v>
      </c>
      <c r="N857" s="47">
        <v>2854238</v>
      </c>
      <c r="O857" s="47">
        <v>0</v>
      </c>
    </row>
    <row r="858" spans="1:16" x14ac:dyDescent="0.3">
      <c r="A858" s="58" t="str">
        <f t="shared" si="494"/>
        <v>Crépin</v>
      </c>
      <c r="B858" s="59" t="s">
        <v>161</v>
      </c>
      <c r="C858" s="60">
        <v>7200</v>
      </c>
      <c r="D858" s="61">
        <f t="shared" si="491"/>
        <v>286000</v>
      </c>
      <c r="E858" s="61">
        <f>+N858</f>
        <v>226875</v>
      </c>
      <c r="F858" s="61">
        <f t="shared" si="497"/>
        <v>70000</v>
      </c>
      <c r="G858" s="61">
        <f t="shared" si="495"/>
        <v>0</v>
      </c>
      <c r="H858" s="61">
        <v>-3675</v>
      </c>
      <c r="I858" s="61">
        <f t="shared" ref="I858" si="498">+C858+D858-E858-F858+G858</f>
        <v>-3675</v>
      </c>
      <c r="J858" s="9">
        <f t="shared" si="493"/>
        <v>0</v>
      </c>
      <c r="K858" s="45" t="s">
        <v>47</v>
      </c>
      <c r="L858" s="47">
        <v>286000</v>
      </c>
      <c r="M858" s="47">
        <v>70000</v>
      </c>
      <c r="N858" s="47">
        <v>226875</v>
      </c>
      <c r="O858" s="47">
        <v>0</v>
      </c>
    </row>
    <row r="859" spans="1:16" x14ac:dyDescent="0.3">
      <c r="A859" s="58" t="str">
        <f>K859</f>
        <v>Evariste</v>
      </c>
      <c r="B859" s="59" t="s">
        <v>162</v>
      </c>
      <c r="C859" s="60">
        <v>10095</v>
      </c>
      <c r="D859" s="61">
        <f t="shared" si="491"/>
        <v>70500</v>
      </c>
      <c r="E859" s="61">
        <f t="shared" ref="E859" si="499">+N859</f>
        <v>73000</v>
      </c>
      <c r="F859" s="61">
        <f t="shared" si="497"/>
        <v>0</v>
      </c>
      <c r="G859" s="61">
        <f t="shared" si="495"/>
        <v>0</v>
      </c>
      <c r="H859" s="61">
        <v>7595</v>
      </c>
      <c r="I859" s="61">
        <f>+C859+D859-E859-F859+G859</f>
        <v>7595</v>
      </c>
      <c r="J859" s="9">
        <f t="shared" si="493"/>
        <v>0</v>
      </c>
      <c r="K859" s="45" t="s">
        <v>31</v>
      </c>
      <c r="L859" s="47">
        <v>70500</v>
      </c>
      <c r="M859" s="47">
        <v>0</v>
      </c>
      <c r="N859" s="47">
        <v>73000</v>
      </c>
      <c r="O859" s="47">
        <v>0</v>
      </c>
    </row>
    <row r="860" spans="1:16" x14ac:dyDescent="0.3">
      <c r="A860" s="115" t="str">
        <f t="shared" ref="A860:A867" si="500">+K860</f>
        <v>I55S</v>
      </c>
      <c r="B860" s="116" t="s">
        <v>4</v>
      </c>
      <c r="C860" s="117">
        <v>233614</v>
      </c>
      <c r="D860" s="118">
        <f t="shared" si="491"/>
        <v>0</v>
      </c>
      <c r="E860" s="118">
        <f>+N860</f>
        <v>0</v>
      </c>
      <c r="F860" s="118">
        <f t="shared" si="497"/>
        <v>0</v>
      </c>
      <c r="G860" s="118">
        <f t="shared" si="495"/>
        <v>0</v>
      </c>
      <c r="H860" s="118">
        <v>233614</v>
      </c>
      <c r="I860" s="118">
        <f>+C860+D860-E860-F860+G860</f>
        <v>233614</v>
      </c>
      <c r="J860" s="9">
        <f t="shared" si="493"/>
        <v>0</v>
      </c>
      <c r="K860" s="45" t="s">
        <v>84</v>
      </c>
      <c r="L860" s="47">
        <v>0</v>
      </c>
      <c r="M860" s="47">
        <v>0</v>
      </c>
      <c r="N860" s="47">
        <v>0</v>
      </c>
      <c r="O860" s="47">
        <v>0</v>
      </c>
    </row>
    <row r="861" spans="1:16" x14ac:dyDescent="0.3">
      <c r="A861" s="115" t="str">
        <f t="shared" si="500"/>
        <v>I73X</v>
      </c>
      <c r="B861" s="116" t="s">
        <v>4</v>
      </c>
      <c r="C861" s="117">
        <v>249769</v>
      </c>
      <c r="D861" s="118">
        <f t="shared" si="491"/>
        <v>0</v>
      </c>
      <c r="E861" s="118">
        <f>+N861</f>
        <v>0</v>
      </c>
      <c r="F861" s="118">
        <f t="shared" si="497"/>
        <v>0</v>
      </c>
      <c r="G861" s="118">
        <f t="shared" si="495"/>
        <v>0</v>
      </c>
      <c r="H861" s="118">
        <v>249769</v>
      </c>
      <c r="I861" s="118">
        <f t="shared" ref="I861:I864" si="501">+C861+D861-E861-F861+G861</f>
        <v>249769</v>
      </c>
      <c r="J861" s="9">
        <f t="shared" si="493"/>
        <v>0</v>
      </c>
      <c r="K861" s="45" t="s">
        <v>83</v>
      </c>
      <c r="L861" s="47">
        <v>0</v>
      </c>
      <c r="M861" s="47">
        <v>0</v>
      </c>
      <c r="N861" s="47">
        <v>0</v>
      </c>
      <c r="O861" s="47">
        <v>0</v>
      </c>
    </row>
    <row r="862" spans="1:16" x14ac:dyDescent="0.3">
      <c r="A862" s="58" t="str">
        <f t="shared" si="500"/>
        <v>Godfré</v>
      </c>
      <c r="B862" s="98" t="s">
        <v>161</v>
      </c>
      <c r="C862" s="60">
        <v>3550</v>
      </c>
      <c r="D862" s="61">
        <f t="shared" si="491"/>
        <v>43000</v>
      </c>
      <c r="E862" s="154">
        <f t="shared" ref="E862:E867" si="502">+N862</f>
        <v>52550</v>
      </c>
      <c r="F862" s="61">
        <f t="shared" si="497"/>
        <v>0</v>
      </c>
      <c r="G862" s="61">
        <f t="shared" si="495"/>
        <v>0</v>
      </c>
      <c r="H862" s="61">
        <v>-6000</v>
      </c>
      <c r="I862" s="61">
        <f t="shared" si="501"/>
        <v>-6000</v>
      </c>
      <c r="J862" s="9">
        <f t="shared" si="493"/>
        <v>0</v>
      </c>
      <c r="K862" s="45" t="s">
        <v>151</v>
      </c>
      <c r="L862" s="47">
        <v>43000</v>
      </c>
      <c r="M862" s="47">
        <v>0</v>
      </c>
      <c r="N862" s="47">
        <v>52550</v>
      </c>
      <c r="O862" s="47">
        <v>0</v>
      </c>
    </row>
    <row r="863" spans="1:16" x14ac:dyDescent="0.3">
      <c r="A863" s="58" t="str">
        <f t="shared" si="500"/>
        <v>Grace</v>
      </c>
      <c r="B863" s="59" t="s">
        <v>2</v>
      </c>
      <c r="C863" s="60">
        <v>61300</v>
      </c>
      <c r="D863" s="61">
        <f t="shared" si="491"/>
        <v>53000</v>
      </c>
      <c r="E863" s="154">
        <f t="shared" si="502"/>
        <v>45900</v>
      </c>
      <c r="F863" s="61">
        <f t="shared" si="497"/>
        <v>20000</v>
      </c>
      <c r="G863" s="61">
        <f t="shared" si="495"/>
        <v>0</v>
      </c>
      <c r="H863" s="61">
        <v>48400</v>
      </c>
      <c r="I863" s="61">
        <f t="shared" si="501"/>
        <v>48400</v>
      </c>
      <c r="J863" s="9">
        <f>I863-H863</f>
        <v>0</v>
      </c>
      <c r="K863" s="45" t="s">
        <v>150</v>
      </c>
      <c r="L863" s="47">
        <v>53000</v>
      </c>
      <c r="M863" s="47">
        <v>20000</v>
      </c>
      <c r="N863" s="47">
        <v>45900</v>
      </c>
      <c r="O863" s="47">
        <v>0</v>
      </c>
    </row>
    <row r="864" spans="1:16" x14ac:dyDescent="0.3">
      <c r="A864" s="58" t="str">
        <f t="shared" si="500"/>
        <v>I23C</v>
      </c>
      <c r="B864" s="98" t="s">
        <v>4</v>
      </c>
      <c r="C864" s="60">
        <v>10800</v>
      </c>
      <c r="D864" s="61">
        <f t="shared" si="491"/>
        <v>488000</v>
      </c>
      <c r="E864" s="154">
        <f t="shared" si="502"/>
        <v>492000</v>
      </c>
      <c r="F864" s="61">
        <f t="shared" si="497"/>
        <v>0</v>
      </c>
      <c r="G864" s="61">
        <f t="shared" si="495"/>
        <v>0</v>
      </c>
      <c r="H864" s="61">
        <v>6800</v>
      </c>
      <c r="I864" s="61">
        <f t="shared" si="501"/>
        <v>6800</v>
      </c>
      <c r="J864" s="9">
        <f t="shared" ref="J864" si="503">I864-H864</f>
        <v>0</v>
      </c>
      <c r="K864" s="45" t="s">
        <v>30</v>
      </c>
      <c r="L864" s="47">
        <v>488000</v>
      </c>
      <c r="M864" s="47">
        <v>0</v>
      </c>
      <c r="N864" s="47">
        <v>492000</v>
      </c>
      <c r="O864" s="47">
        <v>0</v>
      </c>
    </row>
    <row r="865" spans="1:15" x14ac:dyDescent="0.3">
      <c r="A865" s="58" t="str">
        <f t="shared" si="500"/>
        <v>Merveille</v>
      </c>
      <c r="B865" s="59" t="s">
        <v>2</v>
      </c>
      <c r="C865" s="60">
        <v>9500</v>
      </c>
      <c r="D865" s="61">
        <f t="shared" si="491"/>
        <v>20000</v>
      </c>
      <c r="E865" s="154">
        <f t="shared" si="502"/>
        <v>24000</v>
      </c>
      <c r="F865" s="61">
        <f t="shared" ref="F865" si="504">+M865</f>
        <v>0</v>
      </c>
      <c r="G865" s="61">
        <f t="shared" ref="G865" si="505">+O865</f>
        <v>0</v>
      </c>
      <c r="H865" s="61">
        <v>5500</v>
      </c>
      <c r="I865" s="61">
        <f t="shared" ref="I865" si="506">+C865+D865-E865-F865+G865</f>
        <v>5500</v>
      </c>
      <c r="J865" s="9">
        <f t="shared" ref="J865" si="507">I865-H865</f>
        <v>0</v>
      </c>
      <c r="K865" s="45" t="s">
        <v>93</v>
      </c>
      <c r="L865" s="47">
        <v>20000</v>
      </c>
      <c r="M865" s="47">
        <v>0</v>
      </c>
      <c r="N865" s="47">
        <v>24000</v>
      </c>
      <c r="O865" s="47"/>
    </row>
    <row r="866" spans="1:15" x14ac:dyDescent="0.3">
      <c r="A866" s="58" t="str">
        <f t="shared" si="500"/>
        <v>P29</v>
      </c>
      <c r="B866" s="59" t="s">
        <v>4</v>
      </c>
      <c r="C866" s="60">
        <v>21200</v>
      </c>
      <c r="D866" s="61">
        <f t="shared" si="491"/>
        <v>543000</v>
      </c>
      <c r="E866" s="154">
        <f t="shared" si="502"/>
        <v>533500</v>
      </c>
      <c r="F866" s="61">
        <f>+M866</f>
        <v>0</v>
      </c>
      <c r="G866" s="61">
        <f>+O866</f>
        <v>0</v>
      </c>
      <c r="H866" s="61">
        <v>30700</v>
      </c>
      <c r="I866" s="61">
        <f>+C866+D866-E866-F866+G866</f>
        <v>30700</v>
      </c>
      <c r="J866" s="9">
        <f>I866-H866</f>
        <v>0</v>
      </c>
      <c r="K866" s="45" t="s">
        <v>29</v>
      </c>
      <c r="L866" s="47">
        <v>543000</v>
      </c>
      <c r="M866" s="47">
        <v>0</v>
      </c>
      <c r="N866" s="47">
        <v>533500</v>
      </c>
      <c r="O866" s="47">
        <v>0</v>
      </c>
    </row>
    <row r="867" spans="1:15" x14ac:dyDescent="0.3">
      <c r="A867" s="58" t="str">
        <f t="shared" si="500"/>
        <v>Tiffany</v>
      </c>
      <c r="B867" s="59" t="s">
        <v>2</v>
      </c>
      <c r="C867" s="60">
        <v>26193</v>
      </c>
      <c r="D867" s="61">
        <f t="shared" ref="D867" si="508">+L867</f>
        <v>36000</v>
      </c>
      <c r="E867" s="154">
        <f t="shared" si="502"/>
        <v>53000</v>
      </c>
      <c r="F867" s="61">
        <f t="shared" ref="F867" si="509">+M867</f>
        <v>0</v>
      </c>
      <c r="G867" s="61">
        <f t="shared" si="495"/>
        <v>0</v>
      </c>
      <c r="H867" s="61">
        <v>9193</v>
      </c>
      <c r="I867" s="61">
        <f t="shared" ref="I867" si="510">+C867+D867-E867-F867+G867</f>
        <v>9193</v>
      </c>
      <c r="J867" s="9">
        <f t="shared" ref="J867" si="511">I867-H867</f>
        <v>0</v>
      </c>
      <c r="K867" s="45" t="s">
        <v>113</v>
      </c>
      <c r="L867" s="47">
        <v>36000</v>
      </c>
      <c r="M867" s="47">
        <v>0</v>
      </c>
      <c r="N867" s="47">
        <v>53000</v>
      </c>
      <c r="O867" s="47">
        <v>0</v>
      </c>
    </row>
    <row r="868" spans="1:15" x14ac:dyDescent="0.3">
      <c r="A868" s="10" t="s">
        <v>50</v>
      </c>
      <c r="B868" s="11"/>
      <c r="C868" s="12">
        <f>SUM(C853:C867)</f>
        <v>32194988</v>
      </c>
      <c r="D868" s="57">
        <f t="shared" ref="D868:G868" si="512">SUM(D853:D867)</f>
        <v>6084500</v>
      </c>
      <c r="E868" s="57">
        <f t="shared" si="512"/>
        <v>8827691</v>
      </c>
      <c r="F868" s="57">
        <f t="shared" si="512"/>
        <v>6084500</v>
      </c>
      <c r="G868" s="57">
        <f t="shared" si="512"/>
        <v>0</v>
      </c>
      <c r="H868" s="57">
        <f>SUM(H853:H867)</f>
        <v>23367297</v>
      </c>
      <c r="I868" s="57">
        <f>SUM(I853:I867)</f>
        <v>23367297</v>
      </c>
      <c r="J868" s="9">
        <f>I868-H868</f>
        <v>0</v>
      </c>
      <c r="K868" s="3"/>
      <c r="L868" s="47">
        <v>6084500</v>
      </c>
      <c r="M868" s="47">
        <v>6084500</v>
      </c>
      <c r="N868" s="47">
        <v>8828291</v>
      </c>
      <c r="O868" s="47">
        <v>0</v>
      </c>
    </row>
    <row r="869" spans="1:15" x14ac:dyDescent="0.3">
      <c r="A869" s="10"/>
      <c r="B869" s="11"/>
      <c r="C869" s="12"/>
      <c r="D869" s="13"/>
      <c r="E869" s="12"/>
      <c r="F869" s="13"/>
      <c r="G869" s="12"/>
      <c r="H869" s="12"/>
      <c r="I869" s="134" t="b">
        <f>I868=D871</f>
        <v>1</v>
      </c>
      <c r="L869" s="5"/>
      <c r="M869" s="5"/>
      <c r="N869" s="5"/>
      <c r="O869" s="5"/>
    </row>
    <row r="870" spans="1:15" x14ac:dyDescent="0.3">
      <c r="A870" s="10" t="s">
        <v>165</v>
      </c>
      <c r="B870" s="11" t="s">
        <v>167</v>
      </c>
      <c r="C870" s="12" t="s">
        <v>170</v>
      </c>
      <c r="D870" s="12" t="s">
        <v>164</v>
      </c>
      <c r="E870" s="12" t="s">
        <v>51</v>
      </c>
      <c r="F870" s="12"/>
      <c r="G870" s="12">
        <f>+D868-F868</f>
        <v>0</v>
      </c>
      <c r="H870" s="12"/>
      <c r="I870" s="12"/>
    </row>
    <row r="871" spans="1:15" x14ac:dyDescent="0.3">
      <c r="A871" s="14">
        <f>C868</f>
        <v>32194988</v>
      </c>
      <c r="B871" s="15">
        <f>G868</f>
        <v>0</v>
      </c>
      <c r="C871" s="12">
        <f>E868</f>
        <v>8827691</v>
      </c>
      <c r="D871" s="12">
        <f>A871+B871-C871</f>
        <v>23367297</v>
      </c>
      <c r="E871" s="13">
        <f>I868-D871</f>
        <v>0</v>
      </c>
      <c r="F871" s="12"/>
      <c r="G871" s="12"/>
      <c r="H871" s="12"/>
      <c r="I871" s="12"/>
      <c r="L871" s="5"/>
      <c r="M871" s="5"/>
      <c r="N871" s="5"/>
      <c r="O871" s="5"/>
    </row>
    <row r="872" spans="1:15" x14ac:dyDescent="0.3">
      <c r="A872" s="14"/>
      <c r="B872" s="15"/>
      <c r="C872" s="12"/>
      <c r="D872" s="12"/>
      <c r="E872" s="13"/>
      <c r="F872" s="12"/>
      <c r="G872" s="12"/>
      <c r="H872" s="12"/>
      <c r="I872" s="12"/>
      <c r="L872" s="5"/>
      <c r="M872" s="5"/>
      <c r="N872" s="5"/>
      <c r="O872" s="5"/>
    </row>
    <row r="873" spans="1:15" x14ac:dyDescent="0.3">
      <c r="A873" s="16" t="s">
        <v>52</v>
      </c>
      <c r="B873" s="16"/>
      <c r="C873" s="16"/>
      <c r="D873" s="17"/>
      <c r="E873" s="17"/>
      <c r="F873" s="17"/>
      <c r="G873" s="17"/>
      <c r="H873" s="17"/>
      <c r="I873" s="17"/>
      <c r="L873" s="5"/>
      <c r="M873" s="5"/>
      <c r="N873" s="5"/>
      <c r="O873" s="5"/>
    </row>
    <row r="874" spans="1:15" x14ac:dyDescent="0.3">
      <c r="A874" s="18" t="s">
        <v>166</v>
      </c>
      <c r="B874" s="18"/>
      <c r="C874" s="18"/>
      <c r="D874" s="18"/>
      <c r="E874" s="18"/>
      <c r="F874" s="18"/>
      <c r="G874" s="18"/>
      <c r="H874" s="18"/>
      <c r="I874" s="18"/>
      <c r="J874" s="18"/>
      <c r="L874" s="5"/>
      <c r="M874" s="5"/>
      <c r="N874" s="5"/>
      <c r="O874" s="5"/>
    </row>
    <row r="875" spans="1:15" x14ac:dyDescent="0.3">
      <c r="A875" s="19"/>
      <c r="B875" s="17"/>
      <c r="C875" s="20"/>
      <c r="D875" s="20"/>
      <c r="E875" s="20"/>
      <c r="F875" s="20"/>
      <c r="G875" s="20"/>
      <c r="H875" s="17"/>
      <c r="I875" s="17"/>
      <c r="L875" s="5"/>
      <c r="M875" s="5"/>
      <c r="N875" s="5"/>
      <c r="O875" s="5"/>
    </row>
    <row r="876" spans="1:15" x14ac:dyDescent="0.3">
      <c r="A876" s="315" t="s">
        <v>53</v>
      </c>
      <c r="B876" s="317" t="s">
        <v>54</v>
      </c>
      <c r="C876" s="319" t="s">
        <v>168</v>
      </c>
      <c r="D876" s="321" t="s">
        <v>55</v>
      </c>
      <c r="E876" s="322"/>
      <c r="F876" s="322"/>
      <c r="G876" s="323"/>
      <c r="H876" s="324" t="s">
        <v>56</v>
      </c>
      <c r="I876" s="311" t="s">
        <v>57</v>
      </c>
      <c r="J876" s="17"/>
      <c r="L876" s="5"/>
      <c r="M876" s="5"/>
      <c r="N876" s="5"/>
      <c r="O876" s="5"/>
    </row>
    <row r="877" spans="1:15" ht="28.5" customHeight="1" x14ac:dyDescent="0.3">
      <c r="A877" s="316"/>
      <c r="B877" s="318"/>
      <c r="C877" s="320"/>
      <c r="D877" s="21" t="s">
        <v>24</v>
      </c>
      <c r="E877" s="21" t="s">
        <v>25</v>
      </c>
      <c r="F877" s="22" t="s">
        <v>123</v>
      </c>
      <c r="G877" s="21" t="s">
        <v>58</v>
      </c>
      <c r="H877" s="325"/>
      <c r="I877" s="312"/>
      <c r="J877" s="313" t="s">
        <v>176</v>
      </c>
      <c r="K877" s="143"/>
      <c r="L877" s="5"/>
      <c r="M877" s="5"/>
      <c r="N877" s="5"/>
      <c r="O877" s="5"/>
    </row>
    <row r="878" spans="1:15" x14ac:dyDescent="0.3">
      <c r="A878" s="23"/>
      <c r="B878" s="24" t="s">
        <v>59</v>
      </c>
      <c r="C878" s="25"/>
      <c r="D878" s="25"/>
      <c r="E878" s="25"/>
      <c r="F878" s="25"/>
      <c r="G878" s="25"/>
      <c r="H878" s="25"/>
      <c r="I878" s="26"/>
      <c r="J878" s="314"/>
      <c r="K878" s="143"/>
      <c r="L878" s="5"/>
      <c r="M878" s="5"/>
      <c r="N878" s="5"/>
      <c r="O878" s="5"/>
    </row>
    <row r="879" spans="1:15" x14ac:dyDescent="0.3">
      <c r="A879" s="122" t="s">
        <v>98</v>
      </c>
      <c r="B879" s="127" t="s">
        <v>160</v>
      </c>
      <c r="C879" s="32">
        <f>+C853</f>
        <v>6757</v>
      </c>
      <c r="D879" s="31"/>
      <c r="E879" s="32">
        <f>D853</f>
        <v>337000</v>
      </c>
      <c r="F879" s="32"/>
      <c r="G879" s="32"/>
      <c r="H879" s="55">
        <f>+F853</f>
        <v>0</v>
      </c>
      <c r="I879" s="32">
        <f>+E853</f>
        <v>314650</v>
      </c>
      <c r="J879" s="30">
        <f>+SUM(C879:G879)-(H879+I879)</f>
        <v>29107</v>
      </c>
      <c r="K879" s="144" t="b">
        <f>J879=I853</f>
        <v>1</v>
      </c>
      <c r="L879" s="5"/>
      <c r="M879" s="5"/>
      <c r="N879" s="5"/>
      <c r="O879" s="5"/>
    </row>
    <row r="880" spans="1:15" x14ac:dyDescent="0.3">
      <c r="A880" s="122" t="str">
        <f>A879</f>
        <v>NOVEMBRE</v>
      </c>
      <c r="B880" s="127" t="s">
        <v>169</v>
      </c>
      <c r="C880" s="32">
        <f>+C854</f>
        <v>0</v>
      </c>
      <c r="D880" s="31"/>
      <c r="E880" s="32">
        <f>+D854</f>
        <v>118000</v>
      </c>
      <c r="F880" s="32"/>
      <c r="G880" s="32"/>
      <c r="H880" s="55">
        <f>+F854</f>
        <v>0</v>
      </c>
      <c r="I880" s="32">
        <f>+E854</f>
        <v>114000</v>
      </c>
      <c r="J880" s="30">
        <f t="shared" ref="J880:J881" si="513">+SUM(C880:G880)-(H880+I880)</f>
        <v>4000</v>
      </c>
      <c r="K880" s="144" t="b">
        <f>J880=I854</f>
        <v>1</v>
      </c>
      <c r="L880" s="5"/>
      <c r="M880" s="5"/>
      <c r="N880" s="5"/>
      <c r="O880" s="5"/>
    </row>
    <row r="881" spans="1:15" x14ac:dyDescent="0.3">
      <c r="A881" s="122" t="str">
        <f>+A880</f>
        <v>NOVEMBRE</v>
      </c>
      <c r="B881" s="127" t="s">
        <v>47</v>
      </c>
      <c r="C881" s="32">
        <f>+C858</f>
        <v>7200</v>
      </c>
      <c r="D881" s="31"/>
      <c r="E881" s="32">
        <f>+D858</f>
        <v>286000</v>
      </c>
      <c r="F881" s="32"/>
      <c r="G881" s="32"/>
      <c r="H881" s="55">
        <f>+F858</f>
        <v>70000</v>
      </c>
      <c r="I881" s="32">
        <f>+E858</f>
        <v>226875</v>
      </c>
      <c r="J881" s="101">
        <f t="shared" si="513"/>
        <v>-3675</v>
      </c>
      <c r="K881" s="144" t="b">
        <f>J881=I858</f>
        <v>1</v>
      </c>
      <c r="L881" s="5"/>
      <c r="M881" s="5"/>
      <c r="N881" s="5"/>
      <c r="O881" s="5"/>
    </row>
    <row r="882" spans="1:15" x14ac:dyDescent="0.3">
      <c r="A882" s="122" t="str">
        <f t="shared" ref="A882:A890" si="514">+A881</f>
        <v>NOVEMBRE</v>
      </c>
      <c r="B882" s="128" t="s">
        <v>31</v>
      </c>
      <c r="C882" s="32">
        <f>+C859</f>
        <v>10095</v>
      </c>
      <c r="D882" s="119"/>
      <c r="E882" s="32">
        <f>+D859</f>
        <v>70500</v>
      </c>
      <c r="F882" s="51"/>
      <c r="G882" s="51"/>
      <c r="H882" s="55">
        <f>+F859</f>
        <v>0</v>
      </c>
      <c r="I882" s="32">
        <f>+E859</f>
        <v>73000</v>
      </c>
      <c r="J882" s="124">
        <f>+SUM(C882:G882)-(H882+I882)</f>
        <v>7595</v>
      </c>
      <c r="K882" s="144" t="b">
        <f t="shared" ref="K882:K890" si="515">J882=I859</f>
        <v>1</v>
      </c>
      <c r="L882" s="5"/>
      <c r="M882" s="5"/>
      <c r="N882" s="5"/>
      <c r="O882" s="5"/>
    </row>
    <row r="883" spans="1:15" x14ac:dyDescent="0.3">
      <c r="A883" s="122" t="str">
        <f t="shared" si="514"/>
        <v>NOVEMBRE</v>
      </c>
      <c r="B883" s="129" t="s">
        <v>84</v>
      </c>
      <c r="C883" s="120">
        <f>+C860</f>
        <v>233614</v>
      </c>
      <c r="D883" s="123"/>
      <c r="E883" s="120">
        <f>+D860</f>
        <v>0</v>
      </c>
      <c r="F883" s="137"/>
      <c r="G883" s="137"/>
      <c r="H883" s="155">
        <f>+F860</f>
        <v>0</v>
      </c>
      <c r="I883" s="120">
        <f>+E860</f>
        <v>0</v>
      </c>
      <c r="J883" s="121">
        <f>+SUM(C883:G883)-(H883+I883)</f>
        <v>233614</v>
      </c>
      <c r="K883" s="144" t="b">
        <f t="shared" si="515"/>
        <v>1</v>
      </c>
      <c r="L883" s="5"/>
      <c r="M883" s="5"/>
      <c r="N883" s="5"/>
      <c r="O883" s="5"/>
    </row>
    <row r="884" spans="1:15" x14ac:dyDescent="0.3">
      <c r="A884" s="122" t="str">
        <f t="shared" si="514"/>
        <v>NOVEMBRE</v>
      </c>
      <c r="B884" s="129" t="s">
        <v>83</v>
      </c>
      <c r="C884" s="120">
        <f>+C861</f>
        <v>249769</v>
      </c>
      <c r="D884" s="123"/>
      <c r="E884" s="120">
        <f>+D861</f>
        <v>0</v>
      </c>
      <c r="F884" s="137"/>
      <c r="G884" s="137"/>
      <c r="H884" s="155">
        <f>+F861</f>
        <v>0</v>
      </c>
      <c r="I884" s="120">
        <f>+E861</f>
        <v>0</v>
      </c>
      <c r="J884" s="121">
        <f t="shared" ref="J884:J890" si="516">+SUM(C884:G884)-(H884+I884)</f>
        <v>249769</v>
      </c>
      <c r="K884" s="144" t="b">
        <f t="shared" si="515"/>
        <v>1</v>
      </c>
      <c r="L884" s="5"/>
      <c r="M884" s="5"/>
      <c r="N884" s="5"/>
      <c r="O884" s="5"/>
    </row>
    <row r="885" spans="1:15" x14ac:dyDescent="0.3">
      <c r="A885" s="122" t="str">
        <f t="shared" si="514"/>
        <v>NOVEMBRE</v>
      </c>
      <c r="B885" s="127" t="s">
        <v>151</v>
      </c>
      <c r="C885" s="32">
        <f>+C862</f>
        <v>3550</v>
      </c>
      <c r="D885" s="31"/>
      <c r="E885" s="32">
        <f>+D862</f>
        <v>43000</v>
      </c>
      <c r="F885" s="32"/>
      <c r="G885" s="104"/>
      <c r="H885" s="55">
        <f>+F862</f>
        <v>0</v>
      </c>
      <c r="I885" s="32">
        <f>+E862</f>
        <v>52550</v>
      </c>
      <c r="J885" s="30">
        <f t="shared" si="516"/>
        <v>-6000</v>
      </c>
      <c r="K885" s="144" t="b">
        <f t="shared" si="515"/>
        <v>1</v>
      </c>
      <c r="L885" s="5"/>
      <c r="M885" s="5"/>
      <c r="N885" s="5"/>
      <c r="O885" s="5"/>
    </row>
    <row r="886" spans="1:15" x14ac:dyDescent="0.3">
      <c r="A886" s="122" t="str">
        <f t="shared" si="514"/>
        <v>NOVEMBRE</v>
      </c>
      <c r="B886" s="127" t="s">
        <v>150</v>
      </c>
      <c r="C886" s="32">
        <f t="shared" ref="C886:C890" si="517">+C863</f>
        <v>61300</v>
      </c>
      <c r="D886" s="31"/>
      <c r="E886" s="32">
        <f t="shared" ref="E886:E890" si="518">+D863</f>
        <v>53000</v>
      </c>
      <c r="F886" s="32"/>
      <c r="G886" s="104"/>
      <c r="H886" s="55">
        <f t="shared" ref="H886:H890" si="519">+F863</f>
        <v>20000</v>
      </c>
      <c r="I886" s="32">
        <f t="shared" ref="I886:I890" si="520">+E863</f>
        <v>45900</v>
      </c>
      <c r="J886" s="30">
        <f t="shared" si="516"/>
        <v>48400</v>
      </c>
      <c r="K886" s="144" t="b">
        <f t="shared" si="515"/>
        <v>1</v>
      </c>
      <c r="L886" s="5"/>
      <c r="M886" s="5"/>
      <c r="N886" s="5"/>
      <c r="O886" s="5"/>
    </row>
    <row r="887" spans="1:15" x14ac:dyDescent="0.3">
      <c r="A887" s="122" t="str">
        <f t="shared" si="514"/>
        <v>NOVEMBRE</v>
      </c>
      <c r="B887" s="127" t="s">
        <v>30</v>
      </c>
      <c r="C887" s="32">
        <f t="shared" si="517"/>
        <v>10800</v>
      </c>
      <c r="D887" s="31"/>
      <c r="E887" s="32">
        <f t="shared" si="518"/>
        <v>488000</v>
      </c>
      <c r="F887" s="32"/>
      <c r="G887" s="104"/>
      <c r="H887" s="55">
        <f t="shared" si="519"/>
        <v>0</v>
      </c>
      <c r="I887" s="32">
        <f t="shared" si="520"/>
        <v>492000</v>
      </c>
      <c r="J887" s="30">
        <f t="shared" si="516"/>
        <v>6800</v>
      </c>
      <c r="K887" s="144" t="b">
        <f t="shared" si="515"/>
        <v>1</v>
      </c>
      <c r="L887" s="5"/>
      <c r="M887" s="5"/>
      <c r="N887" s="5"/>
      <c r="O887" s="5"/>
    </row>
    <row r="888" spans="1:15" x14ac:dyDescent="0.3">
      <c r="A888" s="122" t="str">
        <f>+A886</f>
        <v>NOVEMBRE</v>
      </c>
      <c r="B888" s="127" t="s">
        <v>93</v>
      </c>
      <c r="C888" s="32">
        <f t="shared" si="517"/>
        <v>9500</v>
      </c>
      <c r="D888" s="31"/>
      <c r="E888" s="32">
        <f t="shared" si="518"/>
        <v>20000</v>
      </c>
      <c r="F888" s="32"/>
      <c r="G888" s="104"/>
      <c r="H888" s="55">
        <f t="shared" si="519"/>
        <v>0</v>
      </c>
      <c r="I888" s="32">
        <f t="shared" si="520"/>
        <v>24000</v>
      </c>
      <c r="J888" s="30">
        <f t="shared" si="516"/>
        <v>5500</v>
      </c>
      <c r="K888" s="144" t="b">
        <f t="shared" si="515"/>
        <v>1</v>
      </c>
      <c r="L888" s="5"/>
      <c r="M888" s="5"/>
      <c r="N888" s="5"/>
      <c r="O888" s="5"/>
    </row>
    <row r="889" spans="1:15" x14ac:dyDescent="0.3">
      <c r="A889" s="122" t="str">
        <f>+A887</f>
        <v>NOVEMBRE</v>
      </c>
      <c r="B889" s="127" t="s">
        <v>29</v>
      </c>
      <c r="C889" s="32">
        <f t="shared" si="517"/>
        <v>21200</v>
      </c>
      <c r="D889" s="31"/>
      <c r="E889" s="32">
        <f t="shared" si="518"/>
        <v>543000</v>
      </c>
      <c r="F889" s="32"/>
      <c r="G889" s="104"/>
      <c r="H889" s="55">
        <f t="shared" si="519"/>
        <v>0</v>
      </c>
      <c r="I889" s="32">
        <f t="shared" si="520"/>
        <v>533500</v>
      </c>
      <c r="J889" s="30">
        <f t="shared" si="516"/>
        <v>30700</v>
      </c>
      <c r="K889" s="144" t="b">
        <f t="shared" si="515"/>
        <v>1</v>
      </c>
      <c r="L889" s="5"/>
      <c r="M889" s="5"/>
      <c r="N889" s="5"/>
      <c r="O889" s="5"/>
    </row>
    <row r="890" spans="1:15" x14ac:dyDescent="0.3">
      <c r="A890" s="122" t="str">
        <f t="shared" si="514"/>
        <v>NOVEMBRE</v>
      </c>
      <c r="B890" s="128" t="s">
        <v>113</v>
      </c>
      <c r="C890" s="32">
        <f t="shared" si="517"/>
        <v>26193</v>
      </c>
      <c r="D890" s="119"/>
      <c r="E890" s="32">
        <f t="shared" si="518"/>
        <v>36000</v>
      </c>
      <c r="F890" s="51"/>
      <c r="G890" s="138"/>
      <c r="H890" s="55">
        <f t="shared" si="519"/>
        <v>0</v>
      </c>
      <c r="I890" s="32">
        <f t="shared" si="520"/>
        <v>53000</v>
      </c>
      <c r="J890" s="30">
        <f t="shared" si="516"/>
        <v>9193</v>
      </c>
      <c r="K890" s="144" t="b">
        <f t="shared" si="515"/>
        <v>1</v>
      </c>
      <c r="L890" s="5"/>
      <c r="M890" s="5"/>
      <c r="N890" s="5"/>
      <c r="O890" s="5"/>
    </row>
    <row r="891" spans="1:15" x14ac:dyDescent="0.3">
      <c r="A891" s="34" t="s">
        <v>60</v>
      </c>
      <c r="B891" s="35"/>
      <c r="C891" s="35"/>
      <c r="D891" s="35"/>
      <c r="E891" s="35"/>
      <c r="F891" s="35"/>
      <c r="G891" s="35"/>
      <c r="H891" s="35"/>
      <c r="I891" s="35"/>
      <c r="J891" s="36"/>
      <c r="K891" s="143"/>
      <c r="L891" s="5"/>
      <c r="M891" s="5"/>
      <c r="N891" s="5"/>
      <c r="O891" s="5"/>
    </row>
    <row r="892" spans="1:15" x14ac:dyDescent="0.3">
      <c r="A892" s="122" t="str">
        <f>+A890</f>
        <v>NOVEMBRE</v>
      </c>
      <c r="B892" s="37" t="s">
        <v>61</v>
      </c>
      <c r="C892" s="38">
        <f>+C857</f>
        <v>1685107</v>
      </c>
      <c r="D892" s="49"/>
      <c r="E892" s="49">
        <f>D857</f>
        <v>4090000</v>
      </c>
      <c r="F892" s="49"/>
      <c r="G892" s="125"/>
      <c r="H892" s="51">
        <f>+F857</f>
        <v>1994500</v>
      </c>
      <c r="I892" s="126">
        <f>+E857</f>
        <v>2854238</v>
      </c>
      <c r="J892" s="30">
        <f>+SUM(C892:G892)-(H892+I892)</f>
        <v>926369</v>
      </c>
      <c r="K892" s="144" t="b">
        <f>J892=I857</f>
        <v>1</v>
      </c>
      <c r="L892" s="5"/>
      <c r="M892" s="5"/>
      <c r="N892" s="5"/>
      <c r="O892" s="5"/>
    </row>
    <row r="893" spans="1:15" x14ac:dyDescent="0.3">
      <c r="A893" s="43" t="s">
        <v>62</v>
      </c>
      <c r="B893" s="24"/>
      <c r="C893" s="35"/>
      <c r="D893" s="24"/>
      <c r="E893" s="24"/>
      <c r="F893" s="24"/>
      <c r="G893" s="24"/>
      <c r="H893" s="24"/>
      <c r="I893" s="24"/>
      <c r="J893" s="36"/>
      <c r="K893" s="143"/>
      <c r="L893" s="5"/>
      <c r="M893" s="5"/>
      <c r="N893" s="5"/>
      <c r="O893" s="5"/>
    </row>
    <row r="894" spans="1:15" x14ac:dyDescent="0.3">
      <c r="A894" s="122" t="str">
        <f>+A892</f>
        <v>NOVEMBRE</v>
      </c>
      <c r="B894" s="37" t="s">
        <v>163</v>
      </c>
      <c r="C894" s="125">
        <f>+C855</f>
        <v>6762063</v>
      </c>
      <c r="D894" s="132">
        <f>+G855</f>
        <v>0</v>
      </c>
      <c r="E894" s="49"/>
      <c r="F894" s="49"/>
      <c r="G894" s="49"/>
      <c r="H894" s="51">
        <f>+F855</f>
        <v>1000000</v>
      </c>
      <c r="I894" s="53">
        <f>+E855</f>
        <v>23345</v>
      </c>
      <c r="J894" s="30">
        <f>+SUM(C894:G894)-(H894+I894)</f>
        <v>5738718</v>
      </c>
      <c r="K894" s="144" t="b">
        <f>+J894=I855</f>
        <v>1</v>
      </c>
      <c r="L894" s="5"/>
      <c r="M894" s="5"/>
      <c r="N894" s="5"/>
      <c r="O894" s="5"/>
    </row>
    <row r="895" spans="1:15" x14ac:dyDescent="0.3">
      <c r="A895" s="122" t="str">
        <f t="shared" ref="A895" si="521">+A894</f>
        <v>NOVEMBRE</v>
      </c>
      <c r="B895" s="37" t="s">
        <v>64</v>
      </c>
      <c r="C895" s="125">
        <f>+C856</f>
        <v>23107840</v>
      </c>
      <c r="D895" s="49">
        <f>+G856</f>
        <v>0</v>
      </c>
      <c r="E895" s="48"/>
      <c r="F895" s="48"/>
      <c r="G895" s="48"/>
      <c r="H895" s="32">
        <f>+F856</f>
        <v>3000000</v>
      </c>
      <c r="I895" s="50">
        <f>+E856</f>
        <v>4020633</v>
      </c>
      <c r="J895" s="30">
        <f>SUM(C895:G895)-(H895+I895)</f>
        <v>16087207</v>
      </c>
      <c r="K895" s="144" t="b">
        <f>+J895=I856</f>
        <v>1</v>
      </c>
      <c r="L895" s="5"/>
      <c r="M895" s="5"/>
      <c r="N895" s="5"/>
      <c r="O895" s="5"/>
    </row>
    <row r="896" spans="1:15" ht="15.6" x14ac:dyDescent="0.3">
      <c r="C896" s="141">
        <f>SUM(C880:C895)</f>
        <v>32188231</v>
      </c>
      <c r="I896" s="140">
        <f>SUM(I880:I895)</f>
        <v>8513041</v>
      </c>
      <c r="J896" s="105">
        <f>+SUM(J879:J895)</f>
        <v>23367297</v>
      </c>
      <c r="K896" s="5" t="b">
        <f>J896=I868</f>
        <v>1</v>
      </c>
      <c r="L896" s="5"/>
      <c r="M896" s="5"/>
      <c r="N896" s="5"/>
      <c r="O896" s="5"/>
    </row>
    <row r="897" spans="1:15" x14ac:dyDescent="0.3">
      <c r="G897" s="9"/>
      <c r="L897" s="5"/>
      <c r="M897" s="5"/>
      <c r="N897" s="5"/>
      <c r="O897" s="5"/>
    </row>
    <row r="898" spans="1:15" x14ac:dyDescent="0.3">
      <c r="A898" s="16" t="s">
        <v>52</v>
      </c>
      <c r="B898" s="16"/>
      <c r="C898" s="16"/>
      <c r="D898" s="17"/>
      <c r="E898" s="17"/>
      <c r="F898" s="17"/>
      <c r="G898" s="17"/>
      <c r="H898" s="17"/>
      <c r="I898" s="17"/>
      <c r="L898" s="5"/>
      <c r="M898" s="5"/>
      <c r="N898" s="5"/>
      <c r="O898" s="5"/>
    </row>
    <row r="899" spans="1:15" x14ac:dyDescent="0.3">
      <c r="A899" s="18" t="s">
        <v>159</v>
      </c>
      <c r="B899" s="18"/>
      <c r="C899" s="18"/>
      <c r="D899" s="18"/>
      <c r="E899" s="18"/>
      <c r="F899" s="18"/>
      <c r="G899" s="18"/>
      <c r="H899" s="18"/>
      <c r="I899" s="18"/>
      <c r="J899" s="18"/>
      <c r="L899" s="5"/>
      <c r="M899" s="5"/>
      <c r="N899" s="5"/>
      <c r="O899" s="5"/>
    </row>
    <row r="900" spans="1:15" x14ac:dyDescent="0.3">
      <c r="A900" s="19"/>
      <c r="B900" s="17"/>
      <c r="C900" s="20"/>
      <c r="D900" s="20"/>
      <c r="E900" s="20"/>
      <c r="F900" s="20"/>
      <c r="G900" s="20"/>
      <c r="H900" s="17"/>
      <c r="I900" s="17"/>
      <c r="L900" s="5"/>
      <c r="M900" s="5"/>
      <c r="N900" s="5"/>
      <c r="O900" s="5"/>
    </row>
    <row r="901" spans="1:15" x14ac:dyDescent="0.3">
      <c r="A901" s="315" t="s">
        <v>53</v>
      </c>
      <c r="B901" s="317" t="s">
        <v>54</v>
      </c>
      <c r="C901" s="319" t="s">
        <v>156</v>
      </c>
      <c r="D901" s="321" t="s">
        <v>55</v>
      </c>
      <c r="E901" s="322"/>
      <c r="F901" s="322"/>
      <c r="G901" s="323"/>
      <c r="H901" s="324" t="s">
        <v>56</v>
      </c>
      <c r="I901" s="311" t="s">
        <v>57</v>
      </c>
      <c r="J901" s="17"/>
      <c r="L901" s="5"/>
      <c r="M901" s="5"/>
      <c r="N901" s="5"/>
      <c r="O901" s="5"/>
    </row>
    <row r="902" spans="1:15" x14ac:dyDescent="0.3">
      <c r="A902" s="316"/>
      <c r="B902" s="318"/>
      <c r="C902" s="320"/>
      <c r="D902" s="21" t="s">
        <v>24</v>
      </c>
      <c r="E902" s="21" t="s">
        <v>25</v>
      </c>
      <c r="F902" s="22" t="s">
        <v>123</v>
      </c>
      <c r="G902" s="21" t="s">
        <v>58</v>
      </c>
      <c r="H902" s="325"/>
      <c r="I902" s="312"/>
      <c r="J902" s="313" t="s">
        <v>157</v>
      </c>
      <c r="K902" s="143"/>
      <c r="L902" s="5"/>
      <c r="M902" s="5"/>
      <c r="N902" s="5"/>
      <c r="O902" s="5"/>
    </row>
    <row r="903" spans="1:15" x14ac:dyDescent="0.3">
      <c r="A903" s="23"/>
      <c r="B903" s="24" t="s">
        <v>59</v>
      </c>
      <c r="C903" s="25"/>
      <c r="D903" s="25"/>
      <c r="E903" s="25"/>
      <c r="F903" s="25"/>
      <c r="G903" s="25"/>
      <c r="H903" s="25"/>
      <c r="I903" s="26"/>
      <c r="J903" s="314"/>
      <c r="K903" s="143"/>
      <c r="L903" s="5"/>
      <c r="M903" s="5"/>
      <c r="N903" s="5"/>
      <c r="O903" s="5"/>
    </row>
    <row r="904" spans="1:15" x14ac:dyDescent="0.3">
      <c r="A904" s="122" t="s">
        <v>90</v>
      </c>
      <c r="B904" s="127" t="s">
        <v>160</v>
      </c>
      <c r="C904" s="32">
        <f>+C853</f>
        <v>6757</v>
      </c>
      <c r="D904" s="31"/>
      <c r="E904" s="32">
        <f>+D853</f>
        <v>337000</v>
      </c>
      <c r="F904" s="32"/>
      <c r="G904" s="32"/>
      <c r="H904" s="55">
        <f>+F853</f>
        <v>0</v>
      </c>
      <c r="I904" s="32">
        <f>+E853</f>
        <v>314650</v>
      </c>
      <c r="J904" s="30">
        <f>+SUM(C904:G904)-(H904+I904)</f>
        <v>29107</v>
      </c>
      <c r="K904" s="144" t="b">
        <f>J904=I853</f>
        <v>1</v>
      </c>
      <c r="L904" s="5"/>
      <c r="M904" s="5"/>
      <c r="N904" s="5"/>
      <c r="O904" s="5"/>
    </row>
    <row r="905" spans="1:15" x14ac:dyDescent="0.3">
      <c r="A905" s="122" t="s">
        <v>90</v>
      </c>
      <c r="B905" s="127" t="s">
        <v>47</v>
      </c>
      <c r="C905" s="32">
        <f t="shared" ref="C905:C914" si="522">C857</f>
        <v>1685107</v>
      </c>
      <c r="D905" s="31"/>
      <c r="E905" s="32">
        <f>+D857</f>
        <v>4090000</v>
      </c>
      <c r="F905" s="32"/>
      <c r="G905" s="32"/>
      <c r="H905" s="55">
        <f t="shared" ref="H905:H914" si="523">+F857</f>
        <v>1994500</v>
      </c>
      <c r="I905" s="32">
        <f t="shared" ref="I905:I914" si="524">+E857</f>
        <v>2854238</v>
      </c>
      <c r="J905" s="30">
        <f t="shared" ref="J905:J906" si="525">+SUM(C905:G905)-(H905+I905)</f>
        <v>926369</v>
      </c>
      <c r="K905" s="144" t="b">
        <f t="shared" ref="K905:K915" si="526">J905=I857</f>
        <v>1</v>
      </c>
      <c r="L905" s="5"/>
      <c r="M905" s="5"/>
      <c r="N905" s="5"/>
      <c r="O905" s="5"/>
    </row>
    <row r="906" spans="1:15" x14ac:dyDescent="0.3">
      <c r="A906" s="122" t="str">
        <f>+A905</f>
        <v>OCTOBRE</v>
      </c>
      <c r="B906" s="127" t="s">
        <v>31</v>
      </c>
      <c r="C906" s="32">
        <f t="shared" si="522"/>
        <v>7200</v>
      </c>
      <c r="D906" s="31"/>
      <c r="E906" s="32">
        <f>+D858</f>
        <v>286000</v>
      </c>
      <c r="F906" s="32"/>
      <c r="G906" s="32"/>
      <c r="H906" s="55">
        <f t="shared" si="523"/>
        <v>70000</v>
      </c>
      <c r="I906" s="32">
        <f t="shared" si="524"/>
        <v>226875</v>
      </c>
      <c r="J906" s="101">
        <f t="shared" si="525"/>
        <v>-3675</v>
      </c>
      <c r="K906" s="144" t="b">
        <f t="shared" si="526"/>
        <v>1</v>
      </c>
      <c r="L906" s="5"/>
      <c r="M906" s="5"/>
      <c r="N906" s="5"/>
      <c r="O906" s="5"/>
    </row>
    <row r="907" spans="1:15" x14ac:dyDescent="0.3">
      <c r="A907" s="122" t="str">
        <f t="shared" ref="A907:A915" si="527">+A906</f>
        <v>OCTOBRE</v>
      </c>
      <c r="B907" s="128" t="s">
        <v>151</v>
      </c>
      <c r="C907" s="32">
        <f t="shared" si="522"/>
        <v>10095</v>
      </c>
      <c r="D907" s="119"/>
      <c r="E907" s="32">
        <f>D859</f>
        <v>70500</v>
      </c>
      <c r="F907" s="51"/>
      <c r="G907" s="51"/>
      <c r="H907" s="55">
        <f t="shared" si="523"/>
        <v>0</v>
      </c>
      <c r="I907" s="32">
        <f t="shared" si="524"/>
        <v>73000</v>
      </c>
      <c r="J907" s="124">
        <f>+SUM(C907:G907)-(H907+I907)</f>
        <v>7595</v>
      </c>
      <c r="K907" s="144" t="b">
        <f t="shared" si="526"/>
        <v>1</v>
      </c>
      <c r="L907" s="5"/>
      <c r="M907" s="5"/>
      <c r="N907" s="5"/>
      <c r="O907" s="5"/>
    </row>
    <row r="908" spans="1:15" x14ac:dyDescent="0.3">
      <c r="A908" s="122" t="str">
        <f t="shared" si="527"/>
        <v>OCTOBRE</v>
      </c>
      <c r="B908" s="129" t="s">
        <v>84</v>
      </c>
      <c r="C908" s="120">
        <f t="shared" si="522"/>
        <v>233614</v>
      </c>
      <c r="D908" s="123"/>
      <c r="E908" s="120">
        <f t="shared" ref="E908:E912" si="528">+D860</f>
        <v>0</v>
      </c>
      <c r="F908" s="137"/>
      <c r="G908" s="137"/>
      <c r="H908" s="155">
        <f t="shared" si="523"/>
        <v>0</v>
      </c>
      <c r="I908" s="120">
        <f t="shared" si="524"/>
        <v>0</v>
      </c>
      <c r="J908" s="121">
        <f>+SUM(C908:G908)-(H908+I908)</f>
        <v>233614</v>
      </c>
      <c r="K908" s="144" t="b">
        <f t="shared" si="526"/>
        <v>1</v>
      </c>
      <c r="L908" s="5"/>
      <c r="M908" s="5"/>
      <c r="N908" s="5"/>
      <c r="O908" s="5"/>
    </row>
    <row r="909" spans="1:15" x14ac:dyDescent="0.3">
      <c r="A909" s="122" t="str">
        <f t="shared" si="527"/>
        <v>OCTOBRE</v>
      </c>
      <c r="B909" s="129" t="s">
        <v>83</v>
      </c>
      <c r="C909" s="120">
        <f t="shared" si="522"/>
        <v>249769</v>
      </c>
      <c r="D909" s="123"/>
      <c r="E909" s="120">
        <f t="shared" si="528"/>
        <v>0</v>
      </c>
      <c r="F909" s="137"/>
      <c r="G909" s="137"/>
      <c r="H909" s="155">
        <f t="shared" si="523"/>
        <v>0</v>
      </c>
      <c r="I909" s="120">
        <f t="shared" si="524"/>
        <v>0</v>
      </c>
      <c r="J909" s="121">
        <f t="shared" ref="J909:J915" si="529">+SUM(C909:G909)-(H909+I909)</f>
        <v>249769</v>
      </c>
      <c r="K909" s="144" t="b">
        <f t="shared" si="526"/>
        <v>1</v>
      </c>
      <c r="L909" s="5"/>
      <c r="M909" s="5"/>
      <c r="N909" s="5"/>
      <c r="O909" s="5"/>
    </row>
    <row r="910" spans="1:15" x14ac:dyDescent="0.3">
      <c r="A910" s="122" t="str">
        <f t="shared" si="527"/>
        <v>OCTOBRE</v>
      </c>
      <c r="B910" s="127" t="s">
        <v>150</v>
      </c>
      <c r="C910" s="32">
        <f t="shared" si="522"/>
        <v>3550</v>
      </c>
      <c r="D910" s="31"/>
      <c r="E910" s="32">
        <f t="shared" si="528"/>
        <v>43000</v>
      </c>
      <c r="F910" s="32"/>
      <c r="G910" s="104"/>
      <c r="H910" s="55">
        <f t="shared" si="523"/>
        <v>0</v>
      </c>
      <c r="I910" s="32">
        <f t="shared" si="524"/>
        <v>52550</v>
      </c>
      <c r="J910" s="30">
        <f t="shared" si="529"/>
        <v>-6000</v>
      </c>
      <c r="K910" s="144" t="b">
        <f t="shared" si="526"/>
        <v>1</v>
      </c>
      <c r="L910" s="5"/>
      <c r="M910" s="5"/>
      <c r="N910" s="5"/>
      <c r="O910" s="5"/>
    </row>
    <row r="911" spans="1:15" x14ac:dyDescent="0.3">
      <c r="A911" s="122" t="str">
        <f t="shared" si="527"/>
        <v>OCTOBRE</v>
      </c>
      <c r="B911" s="127" t="s">
        <v>30</v>
      </c>
      <c r="C911" s="32">
        <f t="shared" si="522"/>
        <v>61300</v>
      </c>
      <c r="D911" s="31"/>
      <c r="E911" s="32">
        <f t="shared" si="528"/>
        <v>53000</v>
      </c>
      <c r="F911" s="32"/>
      <c r="G911" s="104"/>
      <c r="H911" s="55">
        <f t="shared" si="523"/>
        <v>20000</v>
      </c>
      <c r="I911" s="32">
        <f t="shared" si="524"/>
        <v>45900</v>
      </c>
      <c r="J911" s="30">
        <f t="shared" si="529"/>
        <v>48400</v>
      </c>
      <c r="K911" s="144" t="b">
        <f t="shared" si="526"/>
        <v>1</v>
      </c>
      <c r="L911" s="5"/>
      <c r="M911" s="5"/>
      <c r="N911" s="5"/>
      <c r="O911" s="5"/>
    </row>
    <row r="912" spans="1:15" x14ac:dyDescent="0.3">
      <c r="A912" s="122" t="str">
        <f t="shared" si="527"/>
        <v>OCTOBRE</v>
      </c>
      <c r="B912" s="127" t="s">
        <v>93</v>
      </c>
      <c r="C912" s="32">
        <f t="shared" si="522"/>
        <v>10800</v>
      </c>
      <c r="D912" s="31"/>
      <c r="E912" s="32">
        <f t="shared" si="528"/>
        <v>488000</v>
      </c>
      <c r="F912" s="32"/>
      <c r="G912" s="104"/>
      <c r="H912" s="55">
        <f t="shared" si="523"/>
        <v>0</v>
      </c>
      <c r="I912" s="32">
        <f t="shared" si="524"/>
        <v>492000</v>
      </c>
      <c r="J912" s="30">
        <f t="shared" si="529"/>
        <v>6800</v>
      </c>
      <c r="K912" s="144" t="b">
        <f t="shared" si="526"/>
        <v>1</v>
      </c>
      <c r="L912" s="5"/>
      <c r="M912" s="5"/>
      <c r="N912" s="5"/>
      <c r="O912" s="5"/>
    </row>
    <row r="913" spans="1:15" x14ac:dyDescent="0.3">
      <c r="A913" s="122" t="str">
        <f>+A911</f>
        <v>OCTOBRE</v>
      </c>
      <c r="B913" s="127" t="s">
        <v>29</v>
      </c>
      <c r="C913" s="32">
        <f t="shared" si="522"/>
        <v>9500</v>
      </c>
      <c r="D913" s="31"/>
      <c r="E913" s="32">
        <f>+D865</f>
        <v>20000</v>
      </c>
      <c r="F913" s="32"/>
      <c r="G913" s="104"/>
      <c r="H913" s="55">
        <f t="shared" si="523"/>
        <v>0</v>
      </c>
      <c r="I913" s="32">
        <f t="shared" si="524"/>
        <v>24000</v>
      </c>
      <c r="J913" s="30">
        <f t="shared" ref="J913" si="530">+SUM(C913:G913)-(H913+I913)</f>
        <v>5500</v>
      </c>
      <c r="K913" s="144" t="b">
        <f t="shared" si="526"/>
        <v>1</v>
      </c>
      <c r="L913" s="5"/>
      <c r="M913" s="5"/>
      <c r="N913" s="5"/>
      <c r="O913" s="5"/>
    </row>
    <row r="914" spans="1:15" x14ac:dyDescent="0.3">
      <c r="A914" s="122" t="str">
        <f>+A912</f>
        <v>OCTOBRE</v>
      </c>
      <c r="B914" s="127" t="s">
        <v>154</v>
      </c>
      <c r="C914" s="32">
        <f t="shared" si="522"/>
        <v>21200</v>
      </c>
      <c r="D914" s="31"/>
      <c r="E914" s="32">
        <f>+D866</f>
        <v>543000</v>
      </c>
      <c r="F914" s="32"/>
      <c r="G914" s="104"/>
      <c r="H914" s="55">
        <f t="shared" si="523"/>
        <v>0</v>
      </c>
      <c r="I914" s="32">
        <f t="shared" si="524"/>
        <v>533500</v>
      </c>
      <c r="J914" s="30">
        <f t="shared" si="529"/>
        <v>30700</v>
      </c>
      <c r="K914" s="144" t="b">
        <f t="shared" si="526"/>
        <v>1</v>
      </c>
      <c r="L914" s="5"/>
      <c r="M914" s="5"/>
      <c r="N914" s="5"/>
      <c r="O914" s="5"/>
    </row>
    <row r="915" spans="1:15" x14ac:dyDescent="0.3">
      <c r="A915" s="122" t="str">
        <f t="shared" si="527"/>
        <v>OCTOBRE</v>
      </c>
      <c r="B915" s="128" t="s">
        <v>113</v>
      </c>
      <c r="C915" s="32">
        <f t="shared" ref="C915" si="531">C867</f>
        <v>26193</v>
      </c>
      <c r="D915" s="119"/>
      <c r="E915" s="32">
        <f t="shared" ref="E915" si="532">+D867</f>
        <v>36000</v>
      </c>
      <c r="F915" s="51"/>
      <c r="G915" s="138"/>
      <c r="H915" s="55">
        <f t="shared" ref="H915" si="533">+F867</f>
        <v>0</v>
      </c>
      <c r="I915" s="32">
        <f t="shared" ref="I915" si="534">+E867</f>
        <v>53000</v>
      </c>
      <c r="J915" s="30">
        <f t="shared" si="529"/>
        <v>9193</v>
      </c>
      <c r="K915" s="144" t="b">
        <f t="shared" si="526"/>
        <v>1</v>
      </c>
      <c r="L915" s="5"/>
      <c r="M915" s="5"/>
      <c r="N915" s="5"/>
      <c r="O915" s="5"/>
    </row>
    <row r="916" spans="1:15" x14ac:dyDescent="0.3">
      <c r="A916" s="34" t="s">
        <v>60</v>
      </c>
      <c r="B916" s="35"/>
      <c r="C916" s="35"/>
      <c r="D916" s="35"/>
      <c r="E916" s="35"/>
      <c r="F916" s="35"/>
      <c r="G916" s="35"/>
      <c r="H916" s="35"/>
      <c r="I916" s="35"/>
      <c r="J916" s="36"/>
      <c r="K916" s="143"/>
      <c r="L916" s="5"/>
      <c r="M916" s="5"/>
      <c r="N916" s="5"/>
      <c r="O916" s="5"/>
    </row>
    <row r="917" spans="1:15" x14ac:dyDescent="0.3">
      <c r="A917" s="122" t="str">
        <f>+A915</f>
        <v>OCTOBRE</v>
      </c>
      <c r="B917" s="37" t="s">
        <v>61</v>
      </c>
      <c r="C917" s="38">
        <f>C856</f>
        <v>23107840</v>
      </c>
      <c r="D917" s="49"/>
      <c r="E917" s="49">
        <f>D856</f>
        <v>0</v>
      </c>
      <c r="F917" s="49"/>
      <c r="G917" s="125"/>
      <c r="H917" s="51">
        <f>+F856</f>
        <v>3000000</v>
      </c>
      <c r="I917" s="126">
        <f>+E856</f>
        <v>4020633</v>
      </c>
      <c r="J917" s="30">
        <f>+SUM(C917:G917)-(H917+I917)</f>
        <v>16087207</v>
      </c>
      <c r="K917" s="144" t="b">
        <f>J917=I856</f>
        <v>1</v>
      </c>
      <c r="L917" s="5"/>
      <c r="M917" s="5"/>
      <c r="N917" s="5"/>
      <c r="O917" s="5"/>
    </row>
    <row r="918" spans="1:15" x14ac:dyDescent="0.3">
      <c r="A918" s="43" t="s">
        <v>62</v>
      </c>
      <c r="B918" s="24"/>
      <c r="C918" s="35"/>
      <c r="D918" s="24"/>
      <c r="E918" s="24"/>
      <c r="F918" s="24"/>
      <c r="G918" s="24"/>
      <c r="H918" s="24"/>
      <c r="I918" s="24"/>
      <c r="J918" s="36"/>
      <c r="K918" s="143"/>
      <c r="L918" s="5"/>
      <c r="M918" s="5"/>
      <c r="N918" s="5"/>
      <c r="O918" s="5"/>
    </row>
    <row r="919" spans="1:15" x14ac:dyDescent="0.3">
      <c r="A919" s="122" t="str">
        <f>+A917</f>
        <v>OCTOBRE</v>
      </c>
      <c r="B919" s="37" t="s">
        <v>163</v>
      </c>
      <c r="C919" s="125">
        <f>C854</f>
        <v>0</v>
      </c>
      <c r="D919" s="132">
        <f>G854</f>
        <v>0</v>
      </c>
      <c r="E919" s="49"/>
      <c r="F919" s="49"/>
      <c r="G919" s="49"/>
      <c r="H919" s="51">
        <f>+F854</f>
        <v>0</v>
      </c>
      <c r="I919" s="53">
        <f>+E854</f>
        <v>114000</v>
      </c>
      <c r="J919" s="30">
        <f>+SUM(C919:G919)-(H919+I919)</f>
        <v>-114000</v>
      </c>
      <c r="K919" s="144" t="b">
        <f>+J919=I854</f>
        <v>0</v>
      </c>
      <c r="L919" s="5"/>
      <c r="M919" s="5"/>
      <c r="N919" s="5"/>
      <c r="O919" s="5"/>
    </row>
    <row r="920" spans="1:15" x14ac:dyDescent="0.3">
      <c r="A920" s="122" t="str">
        <f t="shared" ref="A920" si="535">+A919</f>
        <v>OCTOBRE</v>
      </c>
      <c r="B920" s="37" t="s">
        <v>64</v>
      </c>
      <c r="C920" s="125">
        <f>C855</f>
        <v>6762063</v>
      </c>
      <c r="D920" s="49">
        <f>G855</f>
        <v>0</v>
      </c>
      <c r="E920" s="48"/>
      <c r="F920" s="48"/>
      <c r="G920" s="48"/>
      <c r="H920" s="32">
        <f>+F855</f>
        <v>1000000</v>
      </c>
      <c r="I920" s="50">
        <f>+E855</f>
        <v>23345</v>
      </c>
      <c r="J920" s="30">
        <f>SUM(C920:G920)-(H920+I920)</f>
        <v>5738718</v>
      </c>
      <c r="K920" s="144" t="b">
        <f>+J920=I855</f>
        <v>1</v>
      </c>
      <c r="L920" s="5"/>
      <c r="M920" s="5"/>
      <c r="N920" s="5"/>
      <c r="O920" s="5"/>
    </row>
    <row r="921" spans="1:15" ht="15.6" x14ac:dyDescent="0.3">
      <c r="C921" s="141">
        <f>SUM(C905:C920)</f>
        <v>32188231</v>
      </c>
      <c r="I921" s="140">
        <f>SUM(I905:I920)</f>
        <v>8513041</v>
      </c>
      <c r="J921" s="105">
        <f>+SUM(J904:J920)</f>
        <v>23249297</v>
      </c>
      <c r="K921" s="5" t="b">
        <f>J921=I868</f>
        <v>0</v>
      </c>
      <c r="L921" s="5"/>
      <c r="M921" s="5"/>
      <c r="N921" s="5"/>
      <c r="O921" s="5"/>
    </row>
    <row r="922" spans="1:15" x14ac:dyDescent="0.3">
      <c r="G922" s="9"/>
      <c r="L922" s="5"/>
      <c r="M922" s="5"/>
      <c r="N922" s="5"/>
      <c r="O922" s="5"/>
    </row>
    <row r="923" spans="1:15" x14ac:dyDescent="0.3">
      <c r="A923" s="16" t="s">
        <v>52</v>
      </c>
      <c r="B923" s="16"/>
      <c r="C923" s="16"/>
      <c r="D923" s="17"/>
      <c r="E923" s="17"/>
      <c r="F923" s="17"/>
      <c r="G923" s="17"/>
      <c r="H923" s="17"/>
      <c r="I923" s="17"/>
      <c r="L923" s="5"/>
      <c r="M923" s="5"/>
      <c r="N923" s="5"/>
      <c r="O923" s="5"/>
    </row>
    <row r="924" spans="1:15" x14ac:dyDescent="0.3">
      <c r="A924" s="18" t="s">
        <v>152</v>
      </c>
      <c r="B924" s="18"/>
      <c r="C924" s="18"/>
      <c r="D924" s="18"/>
      <c r="E924" s="18"/>
      <c r="F924" s="18"/>
      <c r="G924" s="18"/>
      <c r="H924" s="18"/>
      <c r="I924" s="18"/>
      <c r="J924" s="18"/>
      <c r="L924" s="5"/>
      <c r="M924" s="5"/>
      <c r="N924" s="5"/>
      <c r="O924" s="5"/>
    </row>
    <row r="925" spans="1:15" x14ac:dyDescent="0.3">
      <c r="A925" s="19"/>
      <c r="B925" s="17"/>
      <c r="C925" s="20"/>
      <c r="D925" s="20"/>
      <c r="E925" s="20"/>
      <c r="F925" s="20"/>
      <c r="G925" s="20"/>
      <c r="H925" s="17"/>
      <c r="I925" s="17"/>
      <c r="L925" s="5"/>
      <c r="M925" s="5"/>
      <c r="N925" s="5"/>
      <c r="O925" s="5"/>
    </row>
    <row r="926" spans="1:15" x14ac:dyDescent="0.3">
      <c r="A926" s="315" t="s">
        <v>53</v>
      </c>
      <c r="B926" s="317" t="s">
        <v>54</v>
      </c>
      <c r="C926" s="319" t="s">
        <v>153</v>
      </c>
      <c r="D926" s="321" t="s">
        <v>55</v>
      </c>
      <c r="E926" s="322"/>
      <c r="F926" s="322"/>
      <c r="G926" s="323"/>
      <c r="H926" s="324" t="s">
        <v>56</v>
      </c>
      <c r="I926" s="311" t="s">
        <v>57</v>
      </c>
      <c r="J926" s="17"/>
      <c r="L926" s="5"/>
      <c r="M926" s="5"/>
      <c r="N926" s="5"/>
      <c r="O926" s="5"/>
    </row>
    <row r="927" spans="1:15" x14ac:dyDescent="0.3">
      <c r="A927" s="316"/>
      <c r="B927" s="318"/>
      <c r="C927" s="320"/>
      <c r="D927" s="21" t="s">
        <v>24</v>
      </c>
      <c r="E927" s="21" t="s">
        <v>25</v>
      </c>
      <c r="F927" s="22" t="s">
        <v>123</v>
      </c>
      <c r="G927" s="21" t="s">
        <v>58</v>
      </c>
      <c r="H927" s="325"/>
      <c r="I927" s="312"/>
      <c r="J927" s="313" t="s">
        <v>158</v>
      </c>
      <c r="K927" s="143"/>
      <c r="L927" s="5"/>
      <c r="M927" s="5"/>
      <c r="N927" s="5"/>
      <c r="O927" s="5"/>
    </row>
    <row r="928" spans="1:15" x14ac:dyDescent="0.3">
      <c r="A928" s="23"/>
      <c r="B928" s="24" t="s">
        <v>59</v>
      </c>
      <c r="C928" s="25"/>
      <c r="D928" s="25"/>
      <c r="E928" s="25"/>
      <c r="F928" s="25"/>
      <c r="G928" s="25"/>
      <c r="H928" s="25"/>
      <c r="I928" s="26"/>
      <c r="J928" s="314"/>
      <c r="K928" s="143"/>
      <c r="L928" s="5"/>
      <c r="M928" s="5"/>
      <c r="N928" s="5"/>
      <c r="O928" s="5"/>
    </row>
    <row r="929" spans="1:15" x14ac:dyDescent="0.3">
      <c r="A929" s="122" t="s">
        <v>79</v>
      </c>
      <c r="B929" s="127" t="s">
        <v>47</v>
      </c>
      <c r="C929" s="32" t="e">
        <f>#REF!</f>
        <v>#REF!</v>
      </c>
      <c r="D929" s="31"/>
      <c r="E929" s="32" t="e">
        <f>+#REF!</f>
        <v>#REF!</v>
      </c>
      <c r="F929" s="32"/>
      <c r="G929" s="32"/>
      <c r="H929" s="55" t="e">
        <f>+#REF!</f>
        <v>#REF!</v>
      </c>
      <c r="I929" s="32" t="e">
        <f>+#REF!</f>
        <v>#REF!</v>
      </c>
      <c r="J929" s="30" t="e">
        <f t="shared" ref="J929:J930" si="536">+SUM(C929:G929)-(H929+I929)</f>
        <v>#REF!</v>
      </c>
      <c r="K929" s="144" t="e">
        <f>J929=#REF!</f>
        <v>#REF!</v>
      </c>
      <c r="L929" s="5"/>
      <c r="M929" s="5"/>
      <c r="N929" s="5"/>
      <c r="O929" s="5"/>
    </row>
    <row r="930" spans="1:15" x14ac:dyDescent="0.3">
      <c r="A930" s="122" t="str">
        <f>+A929</f>
        <v>SEPTEMBRE</v>
      </c>
      <c r="B930" s="127" t="s">
        <v>31</v>
      </c>
      <c r="C930" s="32" t="e">
        <f>#REF!</f>
        <v>#REF!</v>
      </c>
      <c r="D930" s="31"/>
      <c r="E930" s="32" t="e">
        <f>+#REF!</f>
        <v>#REF!</v>
      </c>
      <c r="F930" s="32"/>
      <c r="G930" s="32"/>
      <c r="H930" s="55" t="e">
        <f>+#REF!</f>
        <v>#REF!</v>
      </c>
      <c r="I930" s="32" t="e">
        <f>+#REF!</f>
        <v>#REF!</v>
      </c>
      <c r="J930" s="101" t="e">
        <f t="shared" si="536"/>
        <v>#REF!</v>
      </c>
      <c r="K930" s="144" t="e">
        <f>J930=#REF!</f>
        <v>#REF!</v>
      </c>
      <c r="L930" s="5"/>
      <c r="M930" s="5"/>
      <c r="N930" s="5"/>
      <c r="O930" s="5"/>
    </row>
    <row r="931" spans="1:15" x14ac:dyDescent="0.3">
      <c r="A931" s="122" t="str">
        <f t="shared" ref="A931:A938" si="537">+A930</f>
        <v>SEPTEMBRE</v>
      </c>
      <c r="B931" s="128" t="s">
        <v>151</v>
      </c>
      <c r="C931" s="32" t="e">
        <f>#REF!</f>
        <v>#REF!</v>
      </c>
      <c r="D931" s="119"/>
      <c r="E931" s="32" t="e">
        <f>#REF!</f>
        <v>#REF!</v>
      </c>
      <c r="F931" s="51"/>
      <c r="G931" s="51"/>
      <c r="H931" s="55" t="e">
        <f>+#REF!</f>
        <v>#REF!</v>
      </c>
      <c r="I931" s="32" t="e">
        <f>+#REF!</f>
        <v>#REF!</v>
      </c>
      <c r="J931" s="124" t="e">
        <f>+SUM(C931:G931)-(H931+I931)</f>
        <v>#REF!</v>
      </c>
      <c r="K931" s="144" t="e">
        <f>J931=#REF!</f>
        <v>#REF!</v>
      </c>
      <c r="L931" s="5"/>
      <c r="M931" s="5"/>
      <c r="N931" s="5"/>
      <c r="O931" s="5"/>
    </row>
    <row r="932" spans="1:15" x14ac:dyDescent="0.3">
      <c r="A932" s="122" t="str">
        <f t="shared" si="537"/>
        <v>SEPTEMBRE</v>
      </c>
      <c r="B932" s="129" t="s">
        <v>84</v>
      </c>
      <c r="C932" s="120" t="e">
        <f>#REF!</f>
        <v>#REF!</v>
      </c>
      <c r="D932" s="123"/>
      <c r="E932" s="120" t="e">
        <f>+#REF!</f>
        <v>#REF!</v>
      </c>
      <c r="F932" s="137"/>
      <c r="G932" s="137"/>
      <c r="H932" s="155" t="e">
        <f>+#REF!</f>
        <v>#REF!</v>
      </c>
      <c r="I932" s="120" t="e">
        <f>+#REF!</f>
        <v>#REF!</v>
      </c>
      <c r="J932" s="121" t="e">
        <f>+SUM(C932:G932)-(H932+I932)</f>
        <v>#REF!</v>
      </c>
      <c r="K932" s="144" t="e">
        <f>J932=#REF!</f>
        <v>#REF!</v>
      </c>
      <c r="L932" s="5"/>
      <c r="M932" s="5"/>
      <c r="N932" s="5"/>
      <c r="O932" s="5"/>
    </row>
    <row r="933" spans="1:15" x14ac:dyDescent="0.3">
      <c r="A933" s="122" t="str">
        <f t="shared" si="537"/>
        <v>SEPTEMBRE</v>
      </c>
      <c r="B933" s="129" t="s">
        <v>83</v>
      </c>
      <c r="C933" s="120" t="e">
        <f>#REF!</f>
        <v>#REF!</v>
      </c>
      <c r="D933" s="123"/>
      <c r="E933" s="120" t="e">
        <f>+#REF!</f>
        <v>#REF!</v>
      </c>
      <c r="F933" s="137"/>
      <c r="G933" s="137"/>
      <c r="H933" s="155" t="e">
        <f>+#REF!</f>
        <v>#REF!</v>
      </c>
      <c r="I933" s="120" t="e">
        <f>+#REF!</f>
        <v>#REF!</v>
      </c>
      <c r="J933" s="121" t="e">
        <f t="shared" ref="J933:J938" si="538">+SUM(C933:G933)-(H933+I933)</f>
        <v>#REF!</v>
      </c>
      <c r="K933" s="144" t="e">
        <f>J933=#REF!</f>
        <v>#REF!</v>
      </c>
      <c r="L933" s="5"/>
      <c r="M933" s="5"/>
      <c r="N933" s="5"/>
      <c r="O933" s="5"/>
    </row>
    <row r="934" spans="1:15" x14ac:dyDescent="0.3">
      <c r="A934" s="122" t="str">
        <f t="shared" si="537"/>
        <v>SEPTEMBRE</v>
      </c>
      <c r="B934" s="127" t="s">
        <v>150</v>
      </c>
      <c r="C934" s="32" t="e">
        <f>#REF!</f>
        <v>#REF!</v>
      </c>
      <c r="D934" s="31"/>
      <c r="E934" s="32" t="e">
        <f>+#REF!</f>
        <v>#REF!</v>
      </c>
      <c r="F934" s="32"/>
      <c r="G934" s="104"/>
      <c r="H934" s="55" t="e">
        <f>+#REF!</f>
        <v>#REF!</v>
      </c>
      <c r="I934" s="32" t="e">
        <f>+#REF!</f>
        <v>#REF!</v>
      </c>
      <c r="J934" s="30" t="e">
        <f t="shared" si="538"/>
        <v>#REF!</v>
      </c>
      <c r="K934" s="144" t="e">
        <f>J934=#REF!</f>
        <v>#REF!</v>
      </c>
      <c r="L934" s="5"/>
      <c r="M934" s="5"/>
      <c r="N934" s="5"/>
      <c r="O934" s="5"/>
    </row>
    <row r="935" spans="1:15" x14ac:dyDescent="0.3">
      <c r="A935" s="122" t="str">
        <f t="shared" si="537"/>
        <v>SEPTEMBRE</v>
      </c>
      <c r="B935" s="127" t="s">
        <v>30</v>
      </c>
      <c r="C935" s="32" t="e">
        <f>#REF!</f>
        <v>#REF!</v>
      </c>
      <c r="D935" s="31"/>
      <c r="E935" s="32" t="e">
        <f>+#REF!</f>
        <v>#REF!</v>
      </c>
      <c r="F935" s="32"/>
      <c r="G935" s="104"/>
      <c r="H935" s="55" t="e">
        <f>+#REF!</f>
        <v>#REF!</v>
      </c>
      <c r="I935" s="32" t="e">
        <f>+#REF!</f>
        <v>#REF!</v>
      </c>
      <c r="J935" s="30" t="e">
        <f t="shared" si="538"/>
        <v>#REF!</v>
      </c>
      <c r="K935" s="144" t="e">
        <f>J935=#REF!</f>
        <v>#REF!</v>
      </c>
      <c r="L935" s="5"/>
      <c r="M935" s="5"/>
      <c r="N935" s="5"/>
      <c r="O935" s="5"/>
    </row>
    <row r="936" spans="1:15" x14ac:dyDescent="0.3">
      <c r="A936" s="122" t="str">
        <f t="shared" si="537"/>
        <v>SEPTEMBRE</v>
      </c>
      <c r="B936" s="127" t="s">
        <v>93</v>
      </c>
      <c r="C936" s="32" t="e">
        <f>#REF!</f>
        <v>#REF!</v>
      </c>
      <c r="D936" s="31"/>
      <c r="E936" s="32" t="e">
        <f>+#REF!</f>
        <v>#REF!</v>
      </c>
      <c r="F936" s="32"/>
      <c r="G936" s="104"/>
      <c r="H936" s="55" t="e">
        <f>+#REF!</f>
        <v>#REF!</v>
      </c>
      <c r="I936" s="32" t="e">
        <f>+#REF!</f>
        <v>#REF!</v>
      </c>
      <c r="J936" s="30" t="e">
        <f t="shared" si="538"/>
        <v>#REF!</v>
      </c>
      <c r="K936" s="144" t="e">
        <f>J936=#REF!</f>
        <v>#REF!</v>
      </c>
      <c r="L936" s="5"/>
      <c r="M936" s="5"/>
      <c r="N936" s="5"/>
      <c r="O936" s="5"/>
    </row>
    <row r="937" spans="1:15" x14ac:dyDescent="0.3">
      <c r="A937" s="122" t="str">
        <f t="shared" si="537"/>
        <v>SEPTEMBRE</v>
      </c>
      <c r="B937" s="127" t="s">
        <v>154</v>
      </c>
      <c r="C937" s="32" t="e">
        <f>#REF!</f>
        <v>#REF!</v>
      </c>
      <c r="D937" s="31"/>
      <c r="E937" s="32" t="e">
        <f>+#REF!</f>
        <v>#REF!</v>
      </c>
      <c r="F937" s="32"/>
      <c r="G937" s="104"/>
      <c r="H937" s="55" t="e">
        <f>+#REF!</f>
        <v>#REF!</v>
      </c>
      <c r="I937" s="32" t="e">
        <f>+#REF!</f>
        <v>#REF!</v>
      </c>
      <c r="J937" s="30" t="e">
        <f t="shared" si="538"/>
        <v>#REF!</v>
      </c>
      <c r="K937" s="144" t="e">
        <f>J937=#REF!</f>
        <v>#REF!</v>
      </c>
      <c r="L937" s="5"/>
      <c r="M937" s="5"/>
      <c r="N937" s="5"/>
      <c r="O937" s="5"/>
    </row>
    <row r="938" spans="1:15" x14ac:dyDescent="0.3">
      <c r="A938" s="122" t="str">
        <f t="shared" si="537"/>
        <v>SEPTEMBRE</v>
      </c>
      <c r="B938" s="128" t="s">
        <v>113</v>
      </c>
      <c r="C938" s="32" t="e">
        <f>#REF!</f>
        <v>#REF!</v>
      </c>
      <c r="D938" s="119"/>
      <c r="E938" s="32" t="e">
        <f>+#REF!</f>
        <v>#REF!</v>
      </c>
      <c r="F938" s="51"/>
      <c r="G938" s="138"/>
      <c r="H938" s="55" t="e">
        <f>+#REF!</f>
        <v>#REF!</v>
      </c>
      <c r="I938" s="32" t="e">
        <f>+#REF!</f>
        <v>#REF!</v>
      </c>
      <c r="J938" s="30" t="e">
        <f t="shared" si="538"/>
        <v>#REF!</v>
      </c>
      <c r="K938" s="144" t="e">
        <f>J938=#REF!</f>
        <v>#REF!</v>
      </c>
      <c r="L938" s="5"/>
      <c r="M938" s="5"/>
      <c r="N938" s="5"/>
      <c r="O938" s="5"/>
    </row>
    <row r="939" spans="1:15" x14ac:dyDescent="0.3">
      <c r="A939" s="34" t="s">
        <v>60</v>
      </c>
      <c r="B939" s="35"/>
      <c r="C939" s="35"/>
      <c r="D939" s="35"/>
      <c r="E939" s="35"/>
      <c r="F939" s="35"/>
      <c r="G939" s="35"/>
      <c r="H939" s="35"/>
      <c r="I939" s="35"/>
      <c r="J939" s="36"/>
      <c r="K939" s="143"/>
      <c r="L939" s="5"/>
      <c r="M939" s="5"/>
      <c r="N939" s="5"/>
      <c r="O939" s="5"/>
    </row>
    <row r="940" spans="1:15" x14ac:dyDescent="0.3">
      <c r="A940" s="122" t="str">
        <f>+A938</f>
        <v>SEPTEMBRE</v>
      </c>
      <c r="B940" s="37" t="s">
        <v>61</v>
      </c>
      <c r="C940" s="38" t="e">
        <f>#REF!</f>
        <v>#REF!</v>
      </c>
      <c r="D940" s="49"/>
      <c r="E940" s="49" t="e">
        <f>#REF!</f>
        <v>#REF!</v>
      </c>
      <c r="F940" s="49"/>
      <c r="G940" s="125"/>
      <c r="H940" s="51" t="e">
        <f>+#REF!</f>
        <v>#REF!</v>
      </c>
      <c r="I940" s="126" t="e">
        <f>+#REF!</f>
        <v>#REF!</v>
      </c>
      <c r="J940" s="30" t="e">
        <f>+SUM(C940:G940)-(H940+I940)</f>
        <v>#REF!</v>
      </c>
      <c r="K940" s="144" t="e">
        <f>J940=#REF!</f>
        <v>#REF!</v>
      </c>
      <c r="L940" s="5"/>
      <c r="M940" s="5"/>
      <c r="N940" s="5"/>
      <c r="O940" s="5"/>
    </row>
    <row r="941" spans="1:15" x14ac:dyDescent="0.3">
      <c r="A941" s="43" t="s">
        <v>62</v>
      </c>
      <c r="B941" s="24"/>
      <c r="C941" s="35"/>
      <c r="D941" s="24"/>
      <c r="E941" s="24"/>
      <c r="F941" s="24"/>
      <c r="G941" s="24"/>
      <c r="H941" s="24"/>
      <c r="I941" s="24"/>
      <c r="J941" s="36"/>
      <c r="K941" s="143"/>
      <c r="L941" s="5"/>
      <c r="M941" s="5"/>
      <c r="N941" s="5"/>
      <c r="O941" s="5"/>
    </row>
    <row r="942" spans="1:15" x14ac:dyDescent="0.3">
      <c r="A942" s="122" t="str">
        <f>+A940</f>
        <v>SEPTEMBRE</v>
      </c>
      <c r="B942" s="37" t="s">
        <v>63</v>
      </c>
      <c r="C942" s="125" t="e">
        <f>#REF!</f>
        <v>#REF!</v>
      </c>
      <c r="D942" s="132"/>
      <c r="E942" s="49"/>
      <c r="F942" s="49"/>
      <c r="G942" s="49"/>
      <c r="H942" s="51" t="e">
        <f>+#REF!</f>
        <v>#REF!</v>
      </c>
      <c r="I942" s="53" t="e">
        <f>+#REF!</f>
        <v>#REF!</v>
      </c>
      <c r="J942" s="30" t="e">
        <f>+SUM(C942:G942)-(H942+I942)</f>
        <v>#REF!</v>
      </c>
      <c r="K942" s="144" t="e">
        <f>+J942=#REF!</f>
        <v>#REF!</v>
      </c>
      <c r="L942" s="5"/>
      <c r="M942" s="5"/>
      <c r="N942" s="5"/>
      <c r="O942" s="5"/>
    </row>
    <row r="943" spans="1:15" x14ac:dyDescent="0.3">
      <c r="A943" s="122" t="str">
        <f t="shared" ref="A943" si="539">+A942</f>
        <v>SEPTEMBRE</v>
      </c>
      <c r="B943" s="37" t="s">
        <v>64</v>
      </c>
      <c r="C943" s="125" t="e">
        <f>#REF!</f>
        <v>#REF!</v>
      </c>
      <c r="D943" s="49"/>
      <c r="E943" s="48"/>
      <c r="F943" s="48"/>
      <c r="G943" s="48"/>
      <c r="H943" s="32" t="e">
        <f>+#REF!</f>
        <v>#REF!</v>
      </c>
      <c r="I943" s="50" t="e">
        <f>+#REF!</f>
        <v>#REF!</v>
      </c>
      <c r="J943" s="30" t="e">
        <f>SUM(C943:G943)-(H943+I943)</f>
        <v>#REF!</v>
      </c>
      <c r="K943" s="144" t="e">
        <f>+J943=#REF!</f>
        <v>#REF!</v>
      </c>
      <c r="L943" s="5"/>
      <c r="M943" s="5"/>
      <c r="N943" s="5"/>
      <c r="O943" s="5"/>
    </row>
    <row r="944" spans="1:15" ht="15.6" x14ac:dyDescent="0.3">
      <c r="C944" s="141" t="e">
        <f>SUM(C929:C943)</f>
        <v>#REF!</v>
      </c>
      <c r="I944" s="140" t="e">
        <f>SUM(I929:I943)</f>
        <v>#REF!</v>
      </c>
      <c r="J944" s="105" t="e">
        <f>+SUM(J929:J943)</f>
        <v>#REF!</v>
      </c>
      <c r="K944" s="5" t="e">
        <f>J944=#REF!</f>
        <v>#REF!</v>
      </c>
      <c r="L944" s="5"/>
      <c r="M944" s="5"/>
      <c r="N944" s="5"/>
      <c r="O944" s="5"/>
    </row>
    <row r="945" spans="1:15" x14ac:dyDescent="0.3">
      <c r="G945" s="9"/>
      <c r="L945" s="5"/>
      <c r="M945" s="5"/>
      <c r="N945" s="5"/>
      <c r="O945" s="5"/>
    </row>
    <row r="946" spans="1:15" x14ac:dyDescent="0.3">
      <c r="A946" s="16" t="s">
        <v>52</v>
      </c>
      <c r="B946" s="16"/>
      <c r="C946" s="16"/>
      <c r="D946" s="17"/>
      <c r="E946" s="17"/>
      <c r="F946" s="17"/>
      <c r="G946" s="17"/>
      <c r="H946" s="17"/>
      <c r="I946" s="17"/>
      <c r="L946" s="5"/>
      <c r="M946" s="5"/>
      <c r="N946" s="5"/>
      <c r="O946" s="5"/>
    </row>
    <row r="947" spans="1:15" x14ac:dyDescent="0.3">
      <c r="A947" s="18" t="s">
        <v>148</v>
      </c>
      <c r="B947" s="18"/>
      <c r="C947" s="18"/>
      <c r="D947" s="18"/>
      <c r="E947" s="18"/>
      <c r="F947" s="18"/>
      <c r="G947" s="18"/>
      <c r="H947" s="18"/>
      <c r="I947" s="18"/>
      <c r="J947" s="17"/>
      <c r="L947" s="5"/>
      <c r="M947" s="5"/>
      <c r="N947" s="5"/>
      <c r="O947" s="5"/>
    </row>
    <row r="948" spans="1:15" x14ac:dyDescent="0.3">
      <c r="A948" s="19"/>
      <c r="B948" s="17"/>
      <c r="C948" s="20"/>
      <c r="D948" s="20"/>
      <c r="E948" s="20"/>
      <c r="F948" s="20"/>
      <c r="G948" s="20"/>
      <c r="H948" s="17"/>
      <c r="I948" s="17"/>
      <c r="J948" s="18"/>
      <c r="L948" s="5"/>
      <c r="M948" s="5"/>
      <c r="N948" s="5"/>
      <c r="O948" s="5"/>
    </row>
    <row r="949" spans="1:15" x14ac:dyDescent="0.3">
      <c r="A949" s="315" t="s">
        <v>53</v>
      </c>
      <c r="B949" s="317" t="s">
        <v>54</v>
      </c>
      <c r="C949" s="319" t="s">
        <v>147</v>
      </c>
      <c r="D949" s="321" t="s">
        <v>55</v>
      </c>
      <c r="E949" s="322"/>
      <c r="F949" s="322"/>
      <c r="G949" s="323"/>
      <c r="H949" s="324" t="s">
        <v>56</v>
      </c>
      <c r="I949" s="311" t="s">
        <v>57</v>
      </c>
      <c r="J949" s="17"/>
      <c r="L949" s="5"/>
      <c r="M949" s="5"/>
      <c r="N949" s="5"/>
      <c r="O949" s="5"/>
    </row>
    <row r="950" spans="1:15" x14ac:dyDescent="0.3">
      <c r="A950" s="316"/>
      <c r="B950" s="318"/>
      <c r="C950" s="320"/>
      <c r="D950" s="21" t="s">
        <v>24</v>
      </c>
      <c r="E950" s="21" t="s">
        <v>25</v>
      </c>
      <c r="F950" s="22" t="s">
        <v>123</v>
      </c>
      <c r="G950" s="21" t="s">
        <v>58</v>
      </c>
      <c r="H950" s="325"/>
      <c r="I950" s="312"/>
      <c r="J950" s="313" t="s">
        <v>149</v>
      </c>
      <c r="K950" s="143"/>
      <c r="L950" s="5"/>
      <c r="M950" s="5"/>
      <c r="N950" s="5"/>
      <c r="O950" s="5"/>
    </row>
    <row r="951" spans="1:15" x14ac:dyDescent="0.3">
      <c r="A951" s="23"/>
      <c r="B951" s="24" t="s">
        <v>59</v>
      </c>
      <c r="C951" s="25"/>
      <c r="D951" s="25"/>
      <c r="E951" s="25"/>
      <c r="F951" s="25"/>
      <c r="G951" s="25"/>
      <c r="H951" s="25"/>
      <c r="I951" s="26"/>
      <c r="J951" s="314"/>
      <c r="K951" s="143"/>
      <c r="L951" s="5"/>
      <c r="M951" s="5"/>
      <c r="N951" s="5"/>
      <c r="O951" s="5"/>
    </row>
    <row r="952" spans="1:15" x14ac:dyDescent="0.3">
      <c r="A952" s="122" t="s">
        <v>146</v>
      </c>
      <c r="B952" s="127" t="s">
        <v>47</v>
      </c>
      <c r="C952" s="32" t="e">
        <f>#REF!</f>
        <v>#REF!</v>
      </c>
      <c r="D952" s="31"/>
      <c r="E952" s="32" t="e">
        <f>+#REF!</f>
        <v>#REF!</v>
      </c>
      <c r="F952" s="32"/>
      <c r="G952" s="32"/>
      <c r="H952" s="55" t="e">
        <f>+#REF!</f>
        <v>#REF!</v>
      </c>
      <c r="I952" s="32" t="e">
        <f>+#REF!</f>
        <v>#REF!</v>
      </c>
      <c r="J952" s="30" t="e">
        <f t="shared" ref="J952:J953" si="540">+SUM(C952:G952)-(H952+I952)</f>
        <v>#REF!</v>
      </c>
      <c r="K952" s="144" t="e">
        <f>J952=#REF!</f>
        <v>#REF!</v>
      </c>
      <c r="L952" s="5"/>
      <c r="M952" s="5"/>
      <c r="N952" s="5"/>
      <c r="O952" s="5"/>
    </row>
    <row r="953" spans="1:15" x14ac:dyDescent="0.3">
      <c r="A953" s="122" t="s">
        <v>146</v>
      </c>
      <c r="B953" s="127" t="s">
        <v>31</v>
      </c>
      <c r="C953" s="32" t="e">
        <f>#REF!</f>
        <v>#REF!</v>
      </c>
      <c r="D953" s="31"/>
      <c r="E953" s="32" t="e">
        <f>+#REF!</f>
        <v>#REF!</v>
      </c>
      <c r="F953" s="32"/>
      <c r="G953" s="32"/>
      <c r="H953" s="55" t="e">
        <f>+#REF!</f>
        <v>#REF!</v>
      </c>
      <c r="I953" s="32" t="e">
        <f>+#REF!</f>
        <v>#REF!</v>
      </c>
      <c r="J953" s="101" t="e">
        <f t="shared" si="540"/>
        <v>#REF!</v>
      </c>
      <c r="K953" s="144" t="e">
        <f>J953=#REF!</f>
        <v>#REF!</v>
      </c>
      <c r="L953" s="5"/>
      <c r="M953" s="5"/>
      <c r="N953" s="5"/>
      <c r="O953" s="5"/>
    </row>
    <row r="954" spans="1:15" x14ac:dyDescent="0.3">
      <c r="A954" s="122" t="s">
        <v>146</v>
      </c>
      <c r="B954" s="128" t="s">
        <v>151</v>
      </c>
      <c r="C954" s="32" t="e">
        <f>#REF!</f>
        <v>#REF!</v>
      </c>
      <c r="D954" s="119"/>
      <c r="E954" s="32">
        <v>30000</v>
      </c>
      <c r="F954" s="51">
        <v>240000</v>
      </c>
      <c r="G954" s="51"/>
      <c r="H954" s="55" t="e">
        <f>+#REF!</f>
        <v>#REF!</v>
      </c>
      <c r="I954" s="32" t="e">
        <f>+#REF!</f>
        <v>#REF!</v>
      </c>
      <c r="J954" s="124" t="e">
        <f>+SUM(C954:G954)-(H954+I954)</f>
        <v>#REF!</v>
      </c>
      <c r="K954" s="144" t="e">
        <f>J954=#REF!</f>
        <v>#REF!</v>
      </c>
      <c r="L954" s="5"/>
      <c r="M954" s="5"/>
      <c r="N954" s="5"/>
      <c r="O954" s="5"/>
    </row>
    <row r="955" spans="1:15" x14ac:dyDescent="0.3">
      <c r="A955" s="122" t="s">
        <v>146</v>
      </c>
      <c r="B955" s="129" t="s">
        <v>84</v>
      </c>
      <c r="C955" s="120" t="e">
        <f>#REF!</f>
        <v>#REF!</v>
      </c>
      <c r="D955" s="123"/>
      <c r="E955" s="120" t="e">
        <f>+#REF!</f>
        <v>#REF!</v>
      </c>
      <c r="F955" s="137"/>
      <c r="G955" s="137"/>
      <c r="H955" s="155" t="e">
        <f>+#REF!</f>
        <v>#REF!</v>
      </c>
      <c r="I955" s="120" t="e">
        <f>+#REF!</f>
        <v>#REF!</v>
      </c>
      <c r="J955" s="121" t="e">
        <f>+SUM(C955:G955)-(H955+I955)</f>
        <v>#REF!</v>
      </c>
      <c r="K955" s="144" t="e">
        <f>J955=#REF!</f>
        <v>#REF!</v>
      </c>
      <c r="L955" s="5"/>
      <c r="M955" s="5"/>
      <c r="N955" s="5"/>
      <c r="O955" s="5"/>
    </row>
    <row r="956" spans="1:15" x14ac:dyDescent="0.3">
      <c r="A956" s="122" t="s">
        <v>146</v>
      </c>
      <c r="B956" s="129" t="s">
        <v>83</v>
      </c>
      <c r="C956" s="120" t="e">
        <f>#REF!</f>
        <v>#REF!</v>
      </c>
      <c r="D956" s="123"/>
      <c r="E956" s="120" t="e">
        <f>+#REF!</f>
        <v>#REF!</v>
      </c>
      <c r="F956" s="137"/>
      <c r="G956" s="137"/>
      <c r="H956" s="155" t="e">
        <f>+#REF!</f>
        <v>#REF!</v>
      </c>
      <c r="I956" s="120" t="e">
        <f>+#REF!</f>
        <v>#REF!</v>
      </c>
      <c r="J956" s="121" t="e">
        <f t="shared" ref="J956:J962" si="541">+SUM(C956:G956)-(H956+I956)</f>
        <v>#REF!</v>
      </c>
      <c r="K956" s="144" t="e">
        <f>J956=#REF!</f>
        <v>#REF!</v>
      </c>
      <c r="L956" s="5"/>
      <c r="M956" s="5"/>
      <c r="N956" s="5"/>
      <c r="O956" s="5"/>
    </row>
    <row r="957" spans="1:15" x14ac:dyDescent="0.3">
      <c r="A957" s="122" t="s">
        <v>146</v>
      </c>
      <c r="B957" s="127" t="s">
        <v>150</v>
      </c>
      <c r="C957" s="32" t="e">
        <f>#REF!</f>
        <v>#REF!</v>
      </c>
      <c r="D957" s="31"/>
      <c r="E957" s="32" t="e">
        <f>+#REF!</f>
        <v>#REF!</v>
      </c>
      <c r="F957" s="32"/>
      <c r="G957" s="104"/>
      <c r="H957" s="55" t="e">
        <f>+#REF!</f>
        <v>#REF!</v>
      </c>
      <c r="I957" s="32" t="e">
        <f>+#REF!</f>
        <v>#REF!</v>
      </c>
      <c r="J957" s="30" t="e">
        <f t="shared" si="541"/>
        <v>#REF!</v>
      </c>
      <c r="K957" s="144" t="e">
        <f>J957=#REF!</f>
        <v>#REF!</v>
      </c>
      <c r="L957" s="5"/>
      <c r="M957" s="5"/>
      <c r="N957" s="5"/>
      <c r="O957" s="5"/>
    </row>
    <row r="958" spans="1:15" x14ac:dyDescent="0.3">
      <c r="A958" s="122" t="s">
        <v>146</v>
      </c>
      <c r="B958" s="127" t="s">
        <v>30</v>
      </c>
      <c r="C958" s="32" t="e">
        <f>#REF!</f>
        <v>#REF!</v>
      </c>
      <c r="D958" s="31"/>
      <c r="E958" s="32" t="e">
        <f>+#REF!</f>
        <v>#REF!</v>
      </c>
      <c r="F958" s="32"/>
      <c r="G958" s="104"/>
      <c r="H958" s="55" t="e">
        <f>+#REF!</f>
        <v>#REF!</v>
      </c>
      <c r="I958" s="32" t="e">
        <f>+#REF!</f>
        <v>#REF!</v>
      </c>
      <c r="J958" s="30" t="e">
        <f t="shared" si="541"/>
        <v>#REF!</v>
      </c>
      <c r="K958" s="144" t="e">
        <f>J958=#REF!</f>
        <v>#REF!</v>
      </c>
      <c r="L958" s="5"/>
      <c r="M958" s="5"/>
      <c r="N958" s="5"/>
      <c r="O958" s="5"/>
    </row>
    <row r="959" spans="1:15" x14ac:dyDescent="0.3">
      <c r="A959" s="122" t="s">
        <v>146</v>
      </c>
      <c r="B959" s="127" t="s">
        <v>35</v>
      </c>
      <c r="C959" s="32" t="e">
        <f>#REF!</f>
        <v>#REF!</v>
      </c>
      <c r="D959" s="31"/>
      <c r="E959" s="32">
        <v>15000</v>
      </c>
      <c r="F959" s="32">
        <v>496625</v>
      </c>
      <c r="G959" s="104"/>
      <c r="H959" s="55" t="e">
        <f>+#REF!</f>
        <v>#REF!</v>
      </c>
      <c r="I959" s="32" t="e">
        <f>+#REF!</f>
        <v>#REF!</v>
      </c>
      <c r="J959" s="30" t="e">
        <f t="shared" si="541"/>
        <v>#REF!</v>
      </c>
      <c r="K959" s="144" t="e">
        <f>J959=#REF!</f>
        <v>#REF!</v>
      </c>
      <c r="L959" s="5"/>
      <c r="M959" s="5"/>
      <c r="N959" s="5"/>
      <c r="O959" s="5"/>
    </row>
    <row r="960" spans="1:15" x14ac:dyDescent="0.3">
      <c r="A960" s="122" t="s">
        <v>146</v>
      </c>
      <c r="B960" s="127" t="s">
        <v>93</v>
      </c>
      <c r="C960" s="32" t="e">
        <f>#REF!</f>
        <v>#REF!</v>
      </c>
      <c r="D960" s="31"/>
      <c r="E960" s="32" t="e">
        <f>+#REF!</f>
        <v>#REF!</v>
      </c>
      <c r="F960" s="32"/>
      <c r="G960" s="104"/>
      <c r="H960" s="55" t="e">
        <f>+#REF!</f>
        <v>#REF!</v>
      </c>
      <c r="I960" s="32" t="e">
        <f>+#REF!</f>
        <v>#REF!</v>
      </c>
      <c r="J960" s="30" t="e">
        <f t="shared" si="541"/>
        <v>#REF!</v>
      </c>
      <c r="K960" s="144" t="e">
        <f>J960=#REF!</f>
        <v>#REF!</v>
      </c>
      <c r="L960" s="5"/>
      <c r="M960" s="5"/>
      <c r="N960" s="5"/>
      <c r="O960" s="5"/>
    </row>
    <row r="961" spans="1:15" x14ac:dyDescent="0.3">
      <c r="A961" s="122" t="s">
        <v>146</v>
      </c>
      <c r="B961" s="127" t="s">
        <v>29</v>
      </c>
      <c r="C961" s="32" t="e">
        <f>#REF!</f>
        <v>#REF!</v>
      </c>
      <c r="D961" s="31"/>
      <c r="E961" s="32" t="e">
        <f>+#REF!</f>
        <v>#REF!</v>
      </c>
      <c r="F961" s="32"/>
      <c r="G961" s="104"/>
      <c r="H961" s="55" t="e">
        <f>+#REF!</f>
        <v>#REF!</v>
      </c>
      <c r="I961" s="32" t="e">
        <f>+#REF!</f>
        <v>#REF!</v>
      </c>
      <c r="J961" s="30" t="e">
        <f t="shared" ref="J961" si="542">+SUM(C961:G961)-(H961+I961)</f>
        <v>#REF!</v>
      </c>
      <c r="K961" s="144" t="e">
        <f>J961=#REF!</f>
        <v>#REF!</v>
      </c>
      <c r="L961" s="5"/>
      <c r="M961" s="5"/>
      <c r="N961" s="5"/>
      <c r="O961" s="5"/>
    </row>
    <row r="962" spans="1:15" x14ac:dyDescent="0.3">
      <c r="A962" s="122" t="s">
        <v>146</v>
      </c>
      <c r="B962" s="128" t="s">
        <v>113</v>
      </c>
      <c r="C962" s="32" t="e">
        <f>#REF!</f>
        <v>#REF!</v>
      </c>
      <c r="D962" s="119"/>
      <c r="E962" s="32" t="e">
        <f>+#REF!</f>
        <v>#REF!</v>
      </c>
      <c r="F962" s="51"/>
      <c r="G962" s="138"/>
      <c r="H962" s="55" t="e">
        <f>+#REF!</f>
        <v>#REF!</v>
      </c>
      <c r="I962" s="32" t="e">
        <f>+#REF!</f>
        <v>#REF!</v>
      </c>
      <c r="J962" s="30" t="e">
        <f t="shared" si="541"/>
        <v>#REF!</v>
      </c>
      <c r="K962" s="144" t="e">
        <f>J962=#REF!</f>
        <v>#REF!</v>
      </c>
      <c r="L962" s="5"/>
      <c r="M962" s="5"/>
      <c r="N962" s="5"/>
      <c r="O962" s="5"/>
    </row>
    <row r="963" spans="1:15" x14ac:dyDescent="0.3">
      <c r="A963" s="34" t="s">
        <v>60</v>
      </c>
      <c r="B963" s="35"/>
      <c r="C963" s="35"/>
      <c r="D963" s="35"/>
      <c r="E963" s="35"/>
      <c r="F963" s="35"/>
      <c r="G963" s="35"/>
      <c r="H963" s="35"/>
      <c r="I963" s="35"/>
      <c r="J963" s="36"/>
      <c r="K963" s="143"/>
      <c r="L963" s="5"/>
      <c r="M963" s="5"/>
      <c r="N963" s="5"/>
      <c r="O963" s="5"/>
    </row>
    <row r="964" spans="1:15" x14ac:dyDescent="0.3">
      <c r="A964" s="122" t="s">
        <v>146</v>
      </c>
      <c r="B964" s="37" t="s">
        <v>61</v>
      </c>
      <c r="C964" s="38" t="e">
        <f>#REF!</f>
        <v>#REF!</v>
      </c>
      <c r="D964" s="49">
        <v>4000000</v>
      </c>
      <c r="E964" s="103"/>
      <c r="F964" s="49"/>
      <c r="G964" s="125">
        <v>15000</v>
      </c>
      <c r="H964" s="51" t="e">
        <f>+#REF!</f>
        <v>#REF!</v>
      </c>
      <c r="I964" s="126" t="e">
        <f>+#REF!</f>
        <v>#REF!</v>
      </c>
      <c r="J964" s="30" t="e">
        <f>+SUM(C964:G964)-(H964+I964)</f>
        <v>#REF!</v>
      </c>
      <c r="K964" s="144" t="e">
        <f>J964=#REF!</f>
        <v>#REF!</v>
      </c>
      <c r="L964" s="5"/>
      <c r="M964" s="5"/>
      <c r="N964" s="5"/>
      <c r="O964" s="5"/>
    </row>
    <row r="965" spans="1:15" x14ac:dyDescent="0.3">
      <c r="A965" s="43" t="s">
        <v>62</v>
      </c>
      <c r="B965" s="24"/>
      <c r="C965" s="35"/>
      <c r="D965" s="24"/>
      <c r="E965" s="24"/>
      <c r="F965" s="24"/>
      <c r="G965" s="24"/>
      <c r="H965" s="24"/>
      <c r="I965" s="24"/>
      <c r="J965" s="36"/>
      <c r="K965" s="143"/>
      <c r="L965" s="5"/>
      <c r="M965" s="5"/>
      <c r="N965" s="5"/>
      <c r="O965" s="5"/>
    </row>
    <row r="966" spans="1:15" x14ac:dyDescent="0.3">
      <c r="A966" s="122" t="s">
        <v>146</v>
      </c>
      <c r="B966" s="37" t="s">
        <v>63</v>
      </c>
      <c r="C966" s="125" t="e">
        <f>#REF!</f>
        <v>#REF!</v>
      </c>
      <c r="D966" s="132"/>
      <c r="E966" s="49"/>
      <c r="F966" s="49"/>
      <c r="G966" s="49"/>
      <c r="H966" s="51" t="e">
        <f>+#REF!</f>
        <v>#REF!</v>
      </c>
      <c r="I966" s="53" t="e">
        <f>+#REF!</f>
        <v>#REF!</v>
      </c>
      <c r="J966" s="30" t="e">
        <f>+SUM(C966:G966)-(H966+I966)</f>
        <v>#REF!</v>
      </c>
      <c r="K966" s="144" t="e">
        <f>+J966=#REF!</f>
        <v>#REF!</v>
      </c>
      <c r="L966" s="5"/>
      <c r="M966" s="5"/>
      <c r="N966" s="5"/>
      <c r="O966" s="5"/>
    </row>
    <row r="967" spans="1:15" x14ac:dyDescent="0.3">
      <c r="A967" s="122" t="s">
        <v>146</v>
      </c>
      <c r="B967" s="37" t="s">
        <v>64</v>
      </c>
      <c r="C967" s="125" t="e">
        <f>#REF!</f>
        <v>#REF!</v>
      </c>
      <c r="D967" s="49"/>
      <c r="E967" s="48"/>
      <c r="F967" s="48"/>
      <c r="G967" s="48"/>
      <c r="H967" s="32" t="e">
        <f>+#REF!</f>
        <v>#REF!</v>
      </c>
      <c r="I967" s="50" t="e">
        <f>+#REF!</f>
        <v>#REF!</v>
      </c>
      <c r="J967" s="30" t="e">
        <f>SUM(C967:G967)-(H967+I967)</f>
        <v>#REF!</v>
      </c>
      <c r="K967" s="144" t="e">
        <f>+J967=#REF!</f>
        <v>#REF!</v>
      </c>
    </row>
    <row r="968" spans="1:15" ht="15.6" x14ac:dyDescent="0.3">
      <c r="C968" s="141" t="e">
        <f>SUM(C952:C967)</f>
        <v>#REF!</v>
      </c>
      <c r="I968" s="140" t="e">
        <f>SUM(I952:I967)</f>
        <v>#REF!</v>
      </c>
      <c r="J968" s="105" t="e">
        <f>+SUM(J952:J967)</f>
        <v>#REF!</v>
      </c>
      <c r="K968" s="5" t="e">
        <f>J968=#REF!</f>
        <v>#REF!</v>
      </c>
    </row>
    <row r="969" spans="1:15" x14ac:dyDescent="0.3">
      <c r="A969" s="14"/>
      <c r="B969" s="15"/>
      <c r="C969" s="153"/>
      <c r="D969" s="153"/>
      <c r="E969" s="152"/>
      <c r="F969" s="153"/>
      <c r="G969" s="153" t="e">
        <f>+#REF!-J968</f>
        <v>#REF!</v>
      </c>
      <c r="H969" s="153"/>
      <c r="I969" s="153"/>
    </row>
    <row r="970" spans="1:15" x14ac:dyDescent="0.3">
      <c r="A970" s="16" t="s">
        <v>52</v>
      </c>
      <c r="B970" s="16"/>
      <c r="C970" s="16"/>
      <c r="D970" s="17"/>
      <c r="E970" s="17"/>
      <c r="F970" s="17"/>
      <c r="G970" s="17"/>
      <c r="H970" s="17"/>
      <c r="I970" s="17"/>
    </row>
    <row r="971" spans="1:15" x14ac:dyDescent="0.3">
      <c r="A971" s="18" t="s">
        <v>143</v>
      </c>
      <c r="B971" s="18"/>
      <c r="C971" s="18"/>
      <c r="D971" s="18"/>
      <c r="E971" s="18"/>
      <c r="F971" s="18"/>
      <c r="G971" s="18"/>
      <c r="H971" s="18"/>
      <c r="I971" s="18"/>
      <c r="J971" s="17"/>
    </row>
    <row r="972" spans="1:15" x14ac:dyDescent="0.3">
      <c r="A972" s="19"/>
      <c r="B972" s="17"/>
      <c r="C972" s="20"/>
      <c r="D972" s="20"/>
      <c r="E972" s="20"/>
      <c r="F972" s="20"/>
      <c r="G972" s="20"/>
      <c r="H972" s="17"/>
      <c r="I972" s="17"/>
      <c r="J972" s="18"/>
    </row>
    <row r="973" spans="1:15" x14ac:dyDescent="0.3">
      <c r="A973" s="315" t="s">
        <v>53</v>
      </c>
      <c r="B973" s="317" t="s">
        <v>54</v>
      </c>
      <c r="C973" s="319" t="s">
        <v>144</v>
      </c>
      <c r="D973" s="321" t="s">
        <v>55</v>
      </c>
      <c r="E973" s="322"/>
      <c r="F973" s="322"/>
      <c r="G973" s="323"/>
      <c r="H973" s="324" t="s">
        <v>56</v>
      </c>
      <c r="I973" s="311" t="s">
        <v>57</v>
      </c>
      <c r="J973" s="17"/>
    </row>
    <row r="974" spans="1:15" x14ac:dyDescent="0.3">
      <c r="A974" s="316"/>
      <c r="B974" s="318"/>
      <c r="C974" s="320"/>
      <c r="D974" s="21" t="s">
        <v>24</v>
      </c>
      <c r="E974" s="21" t="s">
        <v>25</v>
      </c>
      <c r="F974" s="22" t="s">
        <v>123</v>
      </c>
      <c r="G974" s="21" t="s">
        <v>58</v>
      </c>
      <c r="H974" s="325"/>
      <c r="I974" s="312"/>
      <c r="J974" s="313" t="s">
        <v>145</v>
      </c>
      <c r="K974" s="143"/>
    </row>
    <row r="975" spans="1:15" x14ac:dyDescent="0.3">
      <c r="A975" s="23"/>
      <c r="B975" s="24" t="s">
        <v>59</v>
      </c>
      <c r="C975" s="25"/>
      <c r="D975" s="25"/>
      <c r="E975" s="25"/>
      <c r="F975" s="25"/>
      <c r="G975" s="25"/>
      <c r="H975" s="25"/>
      <c r="I975" s="26"/>
      <c r="J975" s="314"/>
      <c r="K975" s="143"/>
    </row>
    <row r="976" spans="1:15" x14ac:dyDescent="0.3">
      <c r="A976" s="122" t="s">
        <v>72</v>
      </c>
      <c r="B976" s="127" t="s">
        <v>47</v>
      </c>
      <c r="C976" s="32" t="e">
        <f>#REF!</f>
        <v>#REF!</v>
      </c>
      <c r="D976" s="31"/>
      <c r="E976" s="32">
        <v>970765</v>
      </c>
      <c r="F976" s="32"/>
      <c r="G976" s="32"/>
      <c r="H976" s="55">
        <v>0</v>
      </c>
      <c r="I976" s="32">
        <v>980165</v>
      </c>
      <c r="J976" s="30" t="e">
        <f t="shared" ref="J976:J977" si="543">+SUM(C976:G976)-(H976+I976)</f>
        <v>#REF!</v>
      </c>
      <c r="K976" s="144" t="e">
        <f>J976=#REF!</f>
        <v>#REF!</v>
      </c>
    </row>
    <row r="977" spans="1:11" x14ac:dyDescent="0.3">
      <c r="A977" s="122" t="s">
        <v>72</v>
      </c>
      <c r="B977" s="127" t="s">
        <v>31</v>
      </c>
      <c r="C977" s="32" t="e">
        <f>#REF!</f>
        <v>#REF!</v>
      </c>
      <c r="D977" s="31"/>
      <c r="E977" s="32">
        <v>58000</v>
      </c>
      <c r="F977" s="32"/>
      <c r="G977" s="32"/>
      <c r="H977" s="32">
        <v>0</v>
      </c>
      <c r="I977" s="32">
        <v>59500</v>
      </c>
      <c r="J977" s="101" t="e">
        <f t="shared" si="543"/>
        <v>#REF!</v>
      </c>
      <c r="K977" s="144" t="e">
        <f>J977=#REF!</f>
        <v>#REF!</v>
      </c>
    </row>
    <row r="978" spans="1:11" x14ac:dyDescent="0.3">
      <c r="A978" s="122" t="s">
        <v>72</v>
      </c>
      <c r="B978" s="128" t="s">
        <v>30</v>
      </c>
      <c r="C978" s="32" t="e">
        <f>#REF!</f>
        <v>#REF!</v>
      </c>
      <c r="D978" s="119"/>
      <c r="E978" s="51">
        <v>557150</v>
      </c>
      <c r="F978" s="51"/>
      <c r="G978" s="51"/>
      <c r="H978" s="51">
        <v>0</v>
      </c>
      <c r="I978" s="51">
        <v>556650</v>
      </c>
      <c r="J978" s="124" t="e">
        <f>+SUM(C978:G978)-(H978+I978)</f>
        <v>#REF!</v>
      </c>
      <c r="K978" s="144" t="e">
        <f>J978=#REF!</f>
        <v>#REF!</v>
      </c>
    </row>
    <row r="979" spans="1:11" x14ac:dyDescent="0.3">
      <c r="A979" s="122" t="s">
        <v>72</v>
      </c>
      <c r="B979" s="129" t="s">
        <v>84</v>
      </c>
      <c r="C979" s="120" t="e">
        <f>#REF!</f>
        <v>#REF!</v>
      </c>
      <c r="D979" s="123"/>
      <c r="E979" s="137"/>
      <c r="F979" s="137"/>
      <c r="G979" s="137"/>
      <c r="H979" s="137">
        <v>0</v>
      </c>
      <c r="I979" s="137">
        <v>0</v>
      </c>
      <c r="J979" s="121" t="e">
        <f>+SUM(C979:G979)-(H979+I979)</f>
        <v>#REF!</v>
      </c>
      <c r="K979" s="144" t="e">
        <f>J979=#REF!</f>
        <v>#REF!</v>
      </c>
    </row>
    <row r="980" spans="1:11" x14ac:dyDescent="0.3">
      <c r="A980" s="122" t="s">
        <v>72</v>
      </c>
      <c r="B980" s="129" t="s">
        <v>83</v>
      </c>
      <c r="C980" s="120" t="e">
        <f>#REF!</f>
        <v>#REF!</v>
      </c>
      <c r="D980" s="123"/>
      <c r="E980" s="137"/>
      <c r="F980" s="137"/>
      <c r="G980" s="137"/>
      <c r="H980" s="137">
        <v>0</v>
      </c>
      <c r="I980" s="137">
        <v>0</v>
      </c>
      <c r="J980" s="121" t="e">
        <f t="shared" ref="J980:J985" si="544">+SUM(C980:G980)-(H980+I980)</f>
        <v>#REF!</v>
      </c>
      <c r="K980" s="144" t="e">
        <f>J980=#REF!</f>
        <v>#REF!</v>
      </c>
    </row>
    <row r="981" spans="1:11" x14ac:dyDescent="0.3">
      <c r="A981" s="122" t="s">
        <v>72</v>
      </c>
      <c r="B981" s="127" t="s">
        <v>35</v>
      </c>
      <c r="C981" s="32" t="e">
        <f>#REF!</f>
        <v>#REF!</v>
      </c>
      <c r="D981" s="31"/>
      <c r="E981" s="32">
        <v>941000</v>
      </c>
      <c r="F981" s="32"/>
      <c r="G981" s="104"/>
      <c r="H981" s="104">
        <v>0</v>
      </c>
      <c r="I981" s="32">
        <v>1084725</v>
      </c>
      <c r="J981" s="30" t="e">
        <f t="shared" si="544"/>
        <v>#REF!</v>
      </c>
      <c r="K981" s="144" t="e">
        <f>J981=#REF!</f>
        <v>#REF!</v>
      </c>
    </row>
    <row r="982" spans="1:11" x14ac:dyDescent="0.3">
      <c r="A982" s="122" t="s">
        <v>72</v>
      </c>
      <c r="B982" s="127" t="s">
        <v>93</v>
      </c>
      <c r="C982" s="32" t="e">
        <f>#REF!</f>
        <v>#REF!</v>
      </c>
      <c r="D982" s="31"/>
      <c r="E982" s="32">
        <v>52000</v>
      </c>
      <c r="F982" s="104"/>
      <c r="G982" s="104"/>
      <c r="H982" s="104">
        <v>0</v>
      </c>
      <c r="I982" s="32">
        <v>67000</v>
      </c>
      <c r="J982" s="30" t="e">
        <f t="shared" si="544"/>
        <v>#REF!</v>
      </c>
      <c r="K982" s="144" t="e">
        <f>J982=#REF!</f>
        <v>#REF!</v>
      </c>
    </row>
    <row r="983" spans="1:11" x14ac:dyDescent="0.3">
      <c r="A983" s="122" t="s">
        <v>72</v>
      </c>
      <c r="B983" s="127" t="s">
        <v>29</v>
      </c>
      <c r="C983" s="32" t="e">
        <f>#REF!</f>
        <v>#REF!</v>
      </c>
      <c r="D983" s="31"/>
      <c r="E983" s="32">
        <v>515000</v>
      </c>
      <c r="F983" s="104"/>
      <c r="G983" s="104"/>
      <c r="H983" s="104">
        <v>0</v>
      </c>
      <c r="I983" s="32">
        <v>655500</v>
      </c>
      <c r="J983" s="30" t="e">
        <f t="shared" si="544"/>
        <v>#REF!</v>
      </c>
      <c r="K983" s="144" t="e">
        <f>J983=#REF!</f>
        <v>#REF!</v>
      </c>
    </row>
    <row r="984" spans="1:11" x14ac:dyDescent="0.3">
      <c r="A984" s="122" t="s">
        <v>72</v>
      </c>
      <c r="B984" s="127" t="s">
        <v>32</v>
      </c>
      <c r="C984" s="32" t="e">
        <f>#REF!</f>
        <v>#REF!</v>
      </c>
      <c r="D984" s="31"/>
      <c r="E984" s="32">
        <v>10000</v>
      </c>
      <c r="F984" s="104"/>
      <c r="G984" s="104"/>
      <c r="H984" s="32">
        <v>500</v>
      </c>
      <c r="I984" s="32">
        <v>15300</v>
      </c>
      <c r="J984" s="30" t="e">
        <f t="shared" si="544"/>
        <v>#REF!</v>
      </c>
      <c r="K984" s="144" t="e">
        <f>J984=#REF!</f>
        <v>#REF!</v>
      </c>
    </row>
    <row r="985" spans="1:11" x14ac:dyDescent="0.3">
      <c r="A985" s="122" t="s">
        <v>72</v>
      </c>
      <c r="B985" s="128" t="s">
        <v>113</v>
      </c>
      <c r="C985" s="32" t="e">
        <f>#REF!</f>
        <v>#REF!</v>
      </c>
      <c r="D985" s="119"/>
      <c r="E985" s="51">
        <v>20000</v>
      </c>
      <c r="F985" s="51"/>
      <c r="G985" s="138"/>
      <c r="H985" s="51">
        <v>0</v>
      </c>
      <c r="I985" s="51">
        <v>28000</v>
      </c>
      <c r="J985" s="30" t="e">
        <f t="shared" si="544"/>
        <v>#REF!</v>
      </c>
      <c r="K985" s="144" t="e">
        <f>J985=#REF!</f>
        <v>#REF!</v>
      </c>
    </row>
    <row r="986" spans="1:11" x14ac:dyDescent="0.3">
      <c r="A986" s="34" t="s">
        <v>60</v>
      </c>
      <c r="B986" s="35"/>
      <c r="C986" s="35"/>
      <c r="D986" s="35"/>
      <c r="E986" s="35"/>
      <c r="F986" s="35"/>
      <c r="G986" s="35"/>
      <c r="H986" s="35"/>
      <c r="I986" s="35"/>
      <c r="J986" s="36"/>
      <c r="K986" s="143"/>
    </row>
    <row r="987" spans="1:11" x14ac:dyDescent="0.3">
      <c r="A987" s="122" t="s">
        <v>72</v>
      </c>
      <c r="B987" s="37" t="s">
        <v>61</v>
      </c>
      <c r="C987" s="38" t="e">
        <f>#REF!</f>
        <v>#REF!</v>
      </c>
      <c r="D987" s="49">
        <v>6000500</v>
      </c>
      <c r="E987" s="103"/>
      <c r="F987" s="49"/>
      <c r="G987" s="139"/>
      <c r="H987" s="51">
        <v>3123915</v>
      </c>
      <c r="I987" s="126">
        <v>3367697</v>
      </c>
      <c r="J987" s="30" t="e">
        <f>+SUM(C987:G987)-(H987+I987)</f>
        <v>#REF!</v>
      </c>
      <c r="K987" s="144" t="e">
        <f>J987=#REF!</f>
        <v>#REF!</v>
      </c>
    </row>
    <row r="988" spans="1:11" x14ac:dyDescent="0.3">
      <c r="A988" s="43" t="s">
        <v>62</v>
      </c>
      <c r="B988" s="24"/>
      <c r="C988" s="35"/>
      <c r="D988" s="24"/>
      <c r="E988" s="24"/>
      <c r="F988" s="24"/>
      <c r="G988" s="24"/>
      <c r="H988" s="24"/>
      <c r="I988" s="24"/>
      <c r="J988" s="36"/>
      <c r="K988" s="143"/>
    </row>
    <row r="989" spans="1:11" x14ac:dyDescent="0.3">
      <c r="A989" s="122" t="s">
        <v>72</v>
      </c>
      <c r="B989" s="37" t="s">
        <v>63</v>
      </c>
      <c r="C989" s="125" t="e">
        <f>#REF!</f>
        <v>#REF!</v>
      </c>
      <c r="D989" s="132"/>
      <c r="E989" s="49"/>
      <c r="F989" s="49"/>
      <c r="G989" s="49"/>
      <c r="H989" s="51">
        <v>2000000</v>
      </c>
      <c r="I989" s="53">
        <v>271244</v>
      </c>
      <c r="J989" s="30" t="e">
        <f>+SUM(C989:G989)-(H989+I989)</f>
        <v>#REF!</v>
      </c>
      <c r="K989" s="144" t="e">
        <f>+J989=#REF!</f>
        <v>#REF!</v>
      </c>
    </row>
    <row r="990" spans="1:11" x14ac:dyDescent="0.3">
      <c r="A990" s="122" t="s">
        <v>72</v>
      </c>
      <c r="B990" s="37" t="s">
        <v>64</v>
      </c>
      <c r="C990" s="125" t="e">
        <f>#REF!</f>
        <v>#REF!</v>
      </c>
      <c r="D990" s="49">
        <v>31201251</v>
      </c>
      <c r="E990" s="48"/>
      <c r="F990" s="48"/>
      <c r="G990" s="48"/>
      <c r="H990" s="32">
        <v>4000000</v>
      </c>
      <c r="I990" s="50">
        <v>6204544</v>
      </c>
      <c r="J990" s="30" t="e">
        <f>SUM(C990:G990)-(H990+I990)</f>
        <v>#REF!</v>
      </c>
      <c r="K990" s="144" t="e">
        <f>+J990=#REF!</f>
        <v>#REF!</v>
      </c>
    </row>
    <row r="991" spans="1:11" ht="15.6" x14ac:dyDescent="0.3">
      <c r="C991" s="141" t="e">
        <f>SUM(C976:C990)</f>
        <v>#REF!</v>
      </c>
      <c r="I991" s="140">
        <f>SUM(I976:I990)</f>
        <v>13290325</v>
      </c>
      <c r="J991" s="105" t="e">
        <f>+SUM(J976:J990)</f>
        <v>#REF!</v>
      </c>
      <c r="K991" s="5" t="e">
        <f>J991=#REF!</f>
        <v>#REF!</v>
      </c>
    </row>
    <row r="992" spans="1:11" x14ac:dyDescent="0.3">
      <c r="A992" s="14"/>
      <c r="B992" s="15"/>
      <c r="C992" s="153"/>
      <c r="D992" s="153"/>
      <c r="E992" s="152"/>
      <c r="F992" s="153"/>
      <c r="G992" s="153" t="e">
        <f>+#REF!-J991</f>
        <v>#REF!</v>
      </c>
      <c r="H992" s="153"/>
      <c r="I992" s="153"/>
    </row>
    <row r="993" spans="1:15" x14ac:dyDescent="0.3">
      <c r="A993" s="14"/>
      <c r="B993" s="15"/>
      <c r="C993" s="12"/>
      <c r="D993" s="12"/>
      <c r="E993" s="13"/>
      <c r="F993" s="12"/>
      <c r="G993" s="12"/>
      <c r="H993" s="12"/>
      <c r="I993" s="12"/>
    </row>
    <row r="994" spans="1:15" x14ac:dyDescent="0.3">
      <c r="A994" s="16" t="s">
        <v>52</v>
      </c>
      <c r="B994" s="16"/>
      <c r="C994" s="16"/>
      <c r="D994" s="17"/>
      <c r="E994" s="17"/>
      <c r="F994" s="17"/>
      <c r="G994" s="17"/>
      <c r="H994" s="17"/>
      <c r="I994" s="17"/>
    </row>
    <row r="995" spans="1:15" x14ac:dyDescent="0.3">
      <c r="A995" s="18" t="s">
        <v>139</v>
      </c>
      <c r="B995" s="18"/>
      <c r="C995" s="18"/>
      <c r="D995" s="18"/>
      <c r="E995" s="18"/>
      <c r="F995" s="18"/>
      <c r="G995" s="18"/>
      <c r="H995" s="18"/>
      <c r="I995" s="18"/>
      <c r="J995" s="17"/>
    </row>
    <row r="996" spans="1:15" x14ac:dyDescent="0.3">
      <c r="A996" s="19"/>
      <c r="B996" s="17"/>
      <c r="C996" s="20"/>
      <c r="D996" s="20"/>
      <c r="E996" s="20"/>
      <c r="F996" s="20"/>
      <c r="G996" s="20"/>
      <c r="H996" s="17"/>
      <c r="I996" s="17"/>
      <c r="J996" s="18"/>
    </row>
    <row r="997" spans="1:15" x14ac:dyDescent="0.3">
      <c r="A997" s="315" t="s">
        <v>53</v>
      </c>
      <c r="B997" s="317" t="s">
        <v>54</v>
      </c>
      <c r="C997" s="319" t="s">
        <v>141</v>
      </c>
      <c r="D997" s="321" t="s">
        <v>55</v>
      </c>
      <c r="E997" s="322"/>
      <c r="F997" s="322"/>
      <c r="G997" s="323"/>
      <c r="H997" s="324" t="s">
        <v>56</v>
      </c>
      <c r="I997" s="311" t="s">
        <v>57</v>
      </c>
      <c r="J997" s="17"/>
    </row>
    <row r="998" spans="1:15" x14ac:dyDescent="0.3">
      <c r="A998" s="316"/>
      <c r="B998" s="318"/>
      <c r="C998" s="320"/>
      <c r="D998" s="21" t="s">
        <v>24</v>
      </c>
      <c r="E998" s="21" t="s">
        <v>25</v>
      </c>
      <c r="F998" s="22" t="s">
        <v>123</v>
      </c>
      <c r="G998" s="21" t="s">
        <v>58</v>
      </c>
      <c r="H998" s="325"/>
      <c r="I998" s="312"/>
      <c r="J998" s="313" t="s">
        <v>140</v>
      </c>
      <c r="K998" s="143"/>
    </row>
    <row r="999" spans="1:15" x14ac:dyDescent="0.3">
      <c r="A999" s="23"/>
      <c r="B999" s="24" t="s">
        <v>59</v>
      </c>
      <c r="C999" s="25"/>
      <c r="D999" s="25"/>
      <c r="E999" s="25"/>
      <c r="F999" s="25"/>
      <c r="G999" s="25"/>
      <c r="H999" s="25"/>
      <c r="I999" s="26"/>
      <c r="J999" s="314"/>
      <c r="K999" s="143"/>
      <c r="L999" s="5"/>
      <c r="M999" s="5"/>
      <c r="N999" s="5"/>
      <c r="O999" s="5"/>
    </row>
    <row r="1000" spans="1:15" x14ac:dyDescent="0.3">
      <c r="A1000" s="122" t="s">
        <v>142</v>
      </c>
      <c r="B1000" s="127" t="s">
        <v>76</v>
      </c>
      <c r="C1000" s="32" t="e">
        <f>+#REF!</f>
        <v>#REF!</v>
      </c>
      <c r="D1000" s="31"/>
      <c r="E1000" s="32">
        <v>114000</v>
      </c>
      <c r="F1000" s="32"/>
      <c r="G1000" s="32"/>
      <c r="H1000" s="55">
        <v>11050</v>
      </c>
      <c r="I1000" s="32">
        <v>112000</v>
      </c>
      <c r="J1000" s="30" t="e">
        <f>+SUM(C1000:G1000)-(H1000+I1000)</f>
        <v>#REF!</v>
      </c>
      <c r="K1000" s="144" t="e">
        <f>J1000=#REF!</f>
        <v>#REF!</v>
      </c>
      <c r="L1000" s="5"/>
      <c r="M1000" s="5"/>
      <c r="N1000" s="5"/>
      <c r="O1000" s="5"/>
    </row>
    <row r="1001" spans="1:15" x14ac:dyDescent="0.3">
      <c r="A1001" s="122" t="s">
        <v>142</v>
      </c>
      <c r="B1001" s="127" t="s">
        <v>47</v>
      </c>
      <c r="C1001" s="32" t="e">
        <f t="shared" ref="C1001:C1011" si="545">+C978</f>
        <v>#REF!</v>
      </c>
      <c r="D1001" s="31"/>
      <c r="E1001" s="32">
        <v>87350</v>
      </c>
      <c r="F1001" s="32">
        <f>60000+62000</f>
        <v>122000</v>
      </c>
      <c r="G1001" s="32"/>
      <c r="H1001" s="55">
        <v>161395</v>
      </c>
      <c r="I1001" s="32">
        <v>281200</v>
      </c>
      <c r="J1001" s="30" t="e">
        <f t="shared" ref="J1001:J1002" si="546">+SUM(C1001:G1001)-(H1001+I1001)</f>
        <v>#REF!</v>
      </c>
      <c r="K1001" s="144" t="e">
        <f t="shared" ref="K1001:K1011" si="547">J1001=I978</f>
        <v>#REF!</v>
      </c>
      <c r="L1001" s="5"/>
      <c r="M1001" s="5"/>
      <c r="N1001" s="5"/>
      <c r="O1001" s="5"/>
    </row>
    <row r="1002" spans="1:15" x14ac:dyDescent="0.3">
      <c r="A1002" s="122" t="s">
        <v>142</v>
      </c>
      <c r="B1002" s="127" t="s">
        <v>31</v>
      </c>
      <c r="C1002" s="32" t="e">
        <f t="shared" si="545"/>
        <v>#REF!</v>
      </c>
      <c r="D1002" s="31"/>
      <c r="E1002" s="32">
        <v>371500</v>
      </c>
      <c r="F1002" s="32"/>
      <c r="G1002" s="32"/>
      <c r="H1002" s="32">
        <f>62000+81500+137000</f>
        <v>280500</v>
      </c>
      <c r="I1002" s="32">
        <v>177000</v>
      </c>
      <c r="J1002" s="101" t="e">
        <f t="shared" si="546"/>
        <v>#REF!</v>
      </c>
      <c r="K1002" s="144" t="e">
        <f t="shared" si="547"/>
        <v>#REF!</v>
      </c>
      <c r="L1002" s="5"/>
      <c r="M1002" s="5"/>
      <c r="N1002" s="5"/>
      <c r="O1002" s="5"/>
    </row>
    <row r="1003" spans="1:15" x14ac:dyDescent="0.3">
      <c r="A1003" s="122" t="s">
        <v>142</v>
      </c>
      <c r="B1003" s="127" t="s">
        <v>77</v>
      </c>
      <c r="C1003" s="32" t="e">
        <f t="shared" si="545"/>
        <v>#REF!</v>
      </c>
      <c r="D1003" s="104"/>
      <c r="E1003" s="32">
        <v>35560</v>
      </c>
      <c r="F1003" s="32">
        <f>10000+81500</f>
        <v>91500</v>
      </c>
      <c r="G1003" s="32"/>
      <c r="H1003" s="32">
        <v>35000</v>
      </c>
      <c r="I1003" s="32">
        <v>159750</v>
      </c>
      <c r="J1003" s="101" t="e">
        <f>+SUM(C1003:G1003)-(H1003+I1003)</f>
        <v>#REF!</v>
      </c>
      <c r="K1003" s="144" t="e">
        <f t="shared" si="547"/>
        <v>#REF!</v>
      </c>
      <c r="L1003" s="5"/>
      <c r="M1003" s="5"/>
      <c r="N1003" s="5"/>
      <c r="O1003" s="5"/>
    </row>
    <row r="1004" spans="1:15" x14ac:dyDescent="0.3">
      <c r="A1004" s="122" t="s">
        <v>142</v>
      </c>
      <c r="B1004" s="128" t="s">
        <v>30</v>
      </c>
      <c r="C1004" s="32" t="e">
        <f t="shared" si="545"/>
        <v>#REF!</v>
      </c>
      <c r="D1004" s="119"/>
      <c r="E1004" s="51">
        <v>372085</v>
      </c>
      <c r="F1004" s="51"/>
      <c r="G1004" s="51"/>
      <c r="H1004" s="51"/>
      <c r="I1004" s="51">
        <v>336400</v>
      </c>
      <c r="J1004" s="124" t="e">
        <f>+SUM(C1004:G1004)-(H1004+I1004)</f>
        <v>#REF!</v>
      </c>
      <c r="K1004" s="144" t="e">
        <f t="shared" si="547"/>
        <v>#REF!</v>
      </c>
      <c r="L1004" s="5"/>
      <c r="M1004" s="5"/>
      <c r="N1004" s="5"/>
      <c r="O1004" s="5"/>
    </row>
    <row r="1005" spans="1:15" x14ac:dyDescent="0.3">
      <c r="A1005" s="122" t="s">
        <v>142</v>
      </c>
      <c r="B1005" s="129" t="s">
        <v>84</v>
      </c>
      <c r="C1005" s="120" t="e">
        <f t="shared" si="545"/>
        <v>#REF!</v>
      </c>
      <c r="D1005" s="123"/>
      <c r="E1005" s="137"/>
      <c r="F1005" s="137"/>
      <c r="G1005" s="137"/>
      <c r="H1005" s="137"/>
      <c r="I1005" s="137"/>
      <c r="J1005" s="121" t="e">
        <f>+SUM(C1005:G1005)-(H1005+I1005)</f>
        <v>#REF!</v>
      </c>
      <c r="K1005" s="144" t="e">
        <f t="shared" si="547"/>
        <v>#REF!</v>
      </c>
      <c r="L1005" s="5"/>
      <c r="M1005" s="5"/>
      <c r="N1005" s="5"/>
      <c r="O1005" s="5"/>
    </row>
    <row r="1006" spans="1:15" x14ac:dyDescent="0.3">
      <c r="A1006" s="122" t="s">
        <v>142</v>
      </c>
      <c r="B1006" s="129" t="s">
        <v>83</v>
      </c>
      <c r="C1006" s="120" t="e">
        <f t="shared" si="545"/>
        <v>#REF!</v>
      </c>
      <c r="D1006" s="123"/>
      <c r="E1006" s="137"/>
      <c r="F1006" s="137"/>
      <c r="G1006" s="137"/>
      <c r="H1006" s="137"/>
      <c r="I1006" s="137"/>
      <c r="J1006" s="121" t="e">
        <f t="shared" ref="J1006:J1011" si="548">+SUM(C1006:G1006)-(H1006+I1006)</f>
        <v>#REF!</v>
      </c>
      <c r="K1006" s="144" t="e">
        <f t="shared" si="547"/>
        <v>#REF!</v>
      </c>
      <c r="L1006" s="5"/>
      <c r="M1006" s="5"/>
      <c r="N1006" s="5"/>
      <c r="O1006" s="5"/>
    </row>
    <row r="1007" spans="1:15" x14ac:dyDescent="0.3">
      <c r="A1007" s="122" t="s">
        <v>142</v>
      </c>
      <c r="B1007" s="127" t="s">
        <v>35</v>
      </c>
      <c r="C1007" s="32" t="e">
        <f t="shared" si="545"/>
        <v>#REF!</v>
      </c>
      <c r="D1007" s="31"/>
      <c r="E1007" s="32">
        <v>400000</v>
      </c>
      <c r="F1007" s="32">
        <v>137000</v>
      </c>
      <c r="G1007" s="104"/>
      <c r="H1007" s="104"/>
      <c r="I1007" s="32">
        <v>563500</v>
      </c>
      <c r="J1007" s="30" t="e">
        <f t="shared" si="548"/>
        <v>#REF!</v>
      </c>
      <c r="K1007" s="144" t="e">
        <f t="shared" si="547"/>
        <v>#REF!</v>
      </c>
      <c r="L1007" s="5"/>
      <c r="M1007" s="5"/>
      <c r="N1007" s="5"/>
      <c r="O1007" s="5"/>
    </row>
    <row r="1008" spans="1:15" x14ac:dyDescent="0.3">
      <c r="A1008" s="122" t="s">
        <v>142</v>
      </c>
      <c r="B1008" s="127" t="s">
        <v>93</v>
      </c>
      <c r="C1008" s="32" t="e">
        <f t="shared" si="545"/>
        <v>#REF!</v>
      </c>
      <c r="D1008" s="31"/>
      <c r="E1008" s="32">
        <v>35000</v>
      </c>
      <c r="F1008" s="104"/>
      <c r="G1008" s="104"/>
      <c r="H1008" s="104"/>
      <c r="I1008" s="32">
        <v>23500</v>
      </c>
      <c r="J1008" s="30" t="e">
        <f t="shared" si="548"/>
        <v>#REF!</v>
      </c>
      <c r="K1008" s="144" t="e">
        <f t="shared" si="547"/>
        <v>#REF!</v>
      </c>
      <c r="L1008" s="5"/>
      <c r="M1008" s="5"/>
      <c r="N1008" s="5"/>
      <c r="O1008" s="5"/>
    </row>
    <row r="1009" spans="1:15" x14ac:dyDescent="0.3">
      <c r="A1009" s="122" t="s">
        <v>142</v>
      </c>
      <c r="B1009" s="127" t="s">
        <v>29</v>
      </c>
      <c r="C1009" s="32">
        <f t="shared" si="545"/>
        <v>0</v>
      </c>
      <c r="D1009" s="31"/>
      <c r="E1009" s="32">
        <v>454000</v>
      </c>
      <c r="F1009" s="104"/>
      <c r="G1009" s="104"/>
      <c r="H1009" s="104"/>
      <c r="I1009" s="32">
        <v>329100</v>
      </c>
      <c r="J1009" s="30">
        <f t="shared" si="548"/>
        <v>124900</v>
      </c>
      <c r="K1009" s="144" t="b">
        <f t="shared" si="547"/>
        <v>0</v>
      </c>
      <c r="L1009" s="5"/>
      <c r="M1009" s="5"/>
      <c r="N1009" s="5"/>
      <c r="O1009" s="5"/>
    </row>
    <row r="1010" spans="1:15" x14ac:dyDescent="0.3">
      <c r="A1010" s="122" t="s">
        <v>142</v>
      </c>
      <c r="B1010" s="127" t="s">
        <v>32</v>
      </c>
      <c r="C1010" s="32" t="e">
        <f t="shared" si="545"/>
        <v>#REF!</v>
      </c>
      <c r="D1010" s="31"/>
      <c r="E1010" s="32"/>
      <c r="F1010" s="104"/>
      <c r="G1010" s="104"/>
      <c r="H1010" s="32">
        <v>20000</v>
      </c>
      <c r="I1010" s="32">
        <v>5000</v>
      </c>
      <c r="J1010" s="30" t="e">
        <f t="shared" si="548"/>
        <v>#REF!</v>
      </c>
      <c r="K1010" s="144" t="e">
        <f t="shared" si="547"/>
        <v>#REF!</v>
      </c>
      <c r="L1010" s="5"/>
      <c r="M1010" s="5"/>
      <c r="N1010" s="5"/>
      <c r="O1010" s="5"/>
    </row>
    <row r="1011" spans="1:15" x14ac:dyDescent="0.3">
      <c r="A1011" s="122" t="s">
        <v>142</v>
      </c>
      <c r="B1011" s="128" t="s">
        <v>113</v>
      </c>
      <c r="C1011" s="32">
        <f t="shared" si="545"/>
        <v>0</v>
      </c>
      <c r="D1011" s="119"/>
      <c r="E1011" s="51">
        <v>231000</v>
      </c>
      <c r="F1011" s="51"/>
      <c r="G1011" s="138"/>
      <c r="H1011" s="51">
        <v>90000</v>
      </c>
      <c r="I1011" s="51">
        <v>180000</v>
      </c>
      <c r="J1011" s="30">
        <f t="shared" si="548"/>
        <v>-39000</v>
      </c>
      <c r="K1011" s="144" t="b">
        <f t="shared" si="547"/>
        <v>0</v>
      </c>
      <c r="L1011" s="5"/>
      <c r="M1011" s="5"/>
      <c r="N1011" s="5"/>
      <c r="O1011" s="5"/>
    </row>
    <row r="1012" spans="1:15" x14ac:dyDescent="0.3">
      <c r="A1012" s="34" t="s">
        <v>60</v>
      </c>
      <c r="B1012" s="35"/>
      <c r="C1012" s="35"/>
      <c r="D1012" s="35"/>
      <c r="E1012" s="35"/>
      <c r="F1012" s="35"/>
      <c r="G1012" s="35"/>
      <c r="H1012" s="35"/>
      <c r="I1012" s="35"/>
      <c r="J1012" s="36"/>
      <c r="K1012" s="143"/>
      <c r="L1012" s="5"/>
      <c r="M1012" s="5"/>
      <c r="N1012" s="5"/>
      <c r="O1012" s="5"/>
    </row>
    <row r="1013" spans="1:15" x14ac:dyDescent="0.3">
      <c r="A1013" s="122" t="s">
        <v>142</v>
      </c>
      <c r="B1013" s="37" t="s">
        <v>61</v>
      </c>
      <c r="C1013" s="38" t="e">
        <f>+C977</f>
        <v>#REF!</v>
      </c>
      <c r="D1013" s="49">
        <v>5000000</v>
      </c>
      <c r="E1013" s="103"/>
      <c r="F1013" s="49">
        <v>217445</v>
      </c>
      <c r="G1013" s="139"/>
      <c r="H1013" s="131">
        <v>2070495</v>
      </c>
      <c r="I1013" s="126">
        <v>3286349</v>
      </c>
      <c r="J1013" s="30" t="e">
        <f>+SUM(C1013:G1013)-(H1013+I1013)</f>
        <v>#REF!</v>
      </c>
      <c r="K1013" s="144" t="e">
        <f>J1013=I977</f>
        <v>#REF!</v>
      </c>
      <c r="L1013" s="5"/>
      <c r="M1013" s="5"/>
      <c r="N1013" s="5"/>
      <c r="O1013" s="5"/>
    </row>
    <row r="1014" spans="1:15" x14ac:dyDescent="0.3">
      <c r="A1014" s="43" t="s">
        <v>62</v>
      </c>
      <c r="B1014" s="24"/>
      <c r="C1014" s="35"/>
      <c r="D1014" s="24"/>
      <c r="E1014" s="24"/>
      <c r="F1014" s="24"/>
      <c r="G1014" s="24"/>
      <c r="H1014" s="24"/>
      <c r="I1014" s="24"/>
      <c r="J1014" s="36"/>
      <c r="K1014" s="143"/>
      <c r="L1014" s="5"/>
      <c r="M1014" s="5"/>
      <c r="N1014" s="5"/>
      <c r="O1014" s="5"/>
    </row>
    <row r="1015" spans="1:15" x14ac:dyDescent="0.3">
      <c r="A1015" s="122" t="s">
        <v>142</v>
      </c>
      <c r="B1015" s="37" t="s">
        <v>63</v>
      </c>
      <c r="C1015" s="125" t="e">
        <f>+#REF!</f>
        <v>#REF!</v>
      </c>
      <c r="D1015" s="132">
        <v>7900099</v>
      </c>
      <c r="E1015" s="49"/>
      <c r="F1015" s="49"/>
      <c r="G1015" s="49"/>
      <c r="H1015" s="51">
        <v>3000000</v>
      </c>
      <c r="I1015" s="53">
        <v>379529</v>
      </c>
      <c r="J1015" s="30" t="e">
        <f>+SUM(C1015:G1015)-(H1015+I1015)</f>
        <v>#REF!</v>
      </c>
      <c r="K1015" s="144" t="e">
        <f>+J1015=#REF!</f>
        <v>#REF!</v>
      </c>
      <c r="L1015" s="5"/>
      <c r="M1015" s="5"/>
      <c r="N1015" s="5"/>
      <c r="O1015" s="5"/>
    </row>
    <row r="1016" spans="1:15" x14ac:dyDescent="0.3">
      <c r="A1016" s="122" t="s">
        <v>142</v>
      </c>
      <c r="B1016" s="37" t="s">
        <v>64</v>
      </c>
      <c r="C1016" s="125" t="e">
        <f>+C976</f>
        <v>#REF!</v>
      </c>
      <c r="D1016" s="49"/>
      <c r="E1016" s="48"/>
      <c r="F1016" s="48"/>
      <c r="G1016" s="48"/>
      <c r="H1016" s="32">
        <v>2000000</v>
      </c>
      <c r="I1016" s="50">
        <v>5392233</v>
      </c>
      <c r="J1016" s="30" t="e">
        <f>SUM(C1016:G1016)-(H1016+I1016)</f>
        <v>#REF!</v>
      </c>
      <c r="K1016" s="144" t="e">
        <f>+J1016=I976</f>
        <v>#REF!</v>
      </c>
      <c r="L1016" s="5"/>
      <c r="M1016" s="5"/>
      <c r="N1016" s="5"/>
      <c r="O1016" s="5"/>
    </row>
    <row r="1017" spans="1:15" ht="15.6" x14ac:dyDescent="0.3">
      <c r="C1017" s="141" t="e">
        <f>SUM(C1000:C1016)</f>
        <v>#REF!</v>
      </c>
      <c r="I1017" s="140">
        <f>SUM(I1000:I1016)</f>
        <v>11225561</v>
      </c>
      <c r="J1017" s="105" t="e">
        <f>+SUM(J1000:J1016)</f>
        <v>#REF!</v>
      </c>
      <c r="K1017" s="5" t="e">
        <f>J1017=I989</f>
        <v>#REF!</v>
      </c>
      <c r="L1017" s="5"/>
      <c r="M1017" s="5"/>
      <c r="N1017" s="5"/>
      <c r="O1017" s="5"/>
    </row>
    <row r="1018" spans="1:15" x14ac:dyDescent="0.3">
      <c r="A1018" s="14"/>
      <c r="B1018" s="15"/>
      <c r="C1018" s="12"/>
      <c r="D1018" s="12"/>
      <c r="E1018" s="13"/>
      <c r="F1018" s="12"/>
      <c r="G1018" s="12"/>
      <c r="H1018" s="12"/>
      <c r="I1018" s="12"/>
      <c r="L1018" s="5"/>
      <c r="M1018" s="5"/>
      <c r="N1018" s="5"/>
      <c r="O1018" s="5"/>
    </row>
    <row r="1019" spans="1:15" x14ac:dyDescent="0.3">
      <c r="A1019" s="16" t="s">
        <v>52</v>
      </c>
      <c r="B1019" s="16"/>
      <c r="C1019" s="16"/>
      <c r="D1019" s="17"/>
      <c r="E1019" s="17"/>
      <c r="F1019" s="17"/>
      <c r="G1019" s="17"/>
      <c r="H1019" s="17"/>
      <c r="I1019" s="17"/>
      <c r="L1019" s="5"/>
      <c r="M1019" s="5"/>
      <c r="N1019" s="5"/>
      <c r="O1019" s="5"/>
    </row>
    <row r="1020" spans="1:15" x14ac:dyDescent="0.3">
      <c r="A1020" s="18" t="s">
        <v>131</v>
      </c>
      <c r="B1020" s="18"/>
      <c r="C1020" s="18"/>
      <c r="D1020" s="18"/>
      <c r="E1020" s="18"/>
      <c r="F1020" s="18"/>
      <c r="G1020" s="18"/>
      <c r="H1020" s="18"/>
      <c r="I1020" s="18"/>
      <c r="J1020" s="17"/>
      <c r="L1020" s="5"/>
      <c r="M1020" s="5"/>
      <c r="N1020" s="5"/>
      <c r="O1020" s="5"/>
    </row>
    <row r="1021" spans="1:15" x14ac:dyDescent="0.3">
      <c r="A1021" s="19"/>
      <c r="B1021" s="17"/>
      <c r="C1021" s="20"/>
      <c r="D1021" s="20"/>
      <c r="E1021" s="20"/>
      <c r="F1021" s="20"/>
      <c r="G1021" s="20"/>
      <c r="H1021" s="17"/>
      <c r="I1021" s="17"/>
      <c r="J1021" s="18"/>
      <c r="L1021" s="5"/>
      <c r="M1021" s="5"/>
      <c r="N1021" s="5"/>
      <c r="O1021" s="5"/>
    </row>
    <row r="1022" spans="1:15" x14ac:dyDescent="0.3">
      <c r="A1022" s="315" t="s">
        <v>53</v>
      </c>
      <c r="B1022" s="317" t="s">
        <v>54</v>
      </c>
      <c r="C1022" s="319" t="s">
        <v>132</v>
      </c>
      <c r="D1022" s="321" t="s">
        <v>55</v>
      </c>
      <c r="E1022" s="322"/>
      <c r="F1022" s="322"/>
      <c r="G1022" s="323"/>
      <c r="H1022" s="324" t="s">
        <v>56</v>
      </c>
      <c r="I1022" s="311" t="s">
        <v>57</v>
      </c>
      <c r="J1022" s="17"/>
      <c r="L1022" s="5"/>
      <c r="M1022" s="5"/>
      <c r="N1022" s="5"/>
      <c r="O1022" s="5"/>
    </row>
    <row r="1023" spans="1:15" x14ac:dyDescent="0.3">
      <c r="A1023" s="316"/>
      <c r="B1023" s="318"/>
      <c r="C1023" s="320"/>
      <c r="D1023" s="21" t="s">
        <v>24</v>
      </c>
      <c r="E1023" s="21" t="s">
        <v>25</v>
      </c>
      <c r="F1023" s="22" t="s">
        <v>123</v>
      </c>
      <c r="G1023" s="21" t="s">
        <v>58</v>
      </c>
      <c r="H1023" s="325"/>
      <c r="I1023" s="312"/>
      <c r="J1023" s="313" t="s">
        <v>133</v>
      </c>
      <c r="K1023" s="143"/>
      <c r="L1023" s="5"/>
      <c r="M1023" s="5"/>
      <c r="N1023" s="5"/>
      <c r="O1023" s="5"/>
    </row>
    <row r="1024" spans="1:15" x14ac:dyDescent="0.3">
      <c r="A1024" s="23"/>
      <c r="B1024" s="24" t="s">
        <v>59</v>
      </c>
      <c r="C1024" s="25"/>
      <c r="D1024" s="25"/>
      <c r="E1024" s="25"/>
      <c r="F1024" s="25"/>
      <c r="G1024" s="25"/>
      <c r="H1024" s="25"/>
      <c r="I1024" s="26"/>
      <c r="J1024" s="314"/>
      <c r="K1024" s="143"/>
      <c r="L1024" s="5"/>
      <c r="M1024" s="5"/>
      <c r="N1024" s="5"/>
      <c r="O1024" s="5"/>
    </row>
    <row r="1025" spans="1:15" x14ac:dyDescent="0.3">
      <c r="A1025" s="122" t="s">
        <v>134</v>
      </c>
      <c r="B1025" s="127" t="s">
        <v>76</v>
      </c>
      <c r="C1025" s="32">
        <v>40050</v>
      </c>
      <c r="D1025" s="31"/>
      <c r="E1025" s="32">
        <v>104000</v>
      </c>
      <c r="F1025" s="32"/>
      <c r="G1025" s="32"/>
      <c r="H1025" s="55">
        <v>54000</v>
      </c>
      <c r="I1025" s="32">
        <v>81000</v>
      </c>
      <c r="J1025" s="30">
        <f>+SUM(C1025:G1025)-(H1025+I1025)</f>
        <v>9050</v>
      </c>
      <c r="K1025" s="144" t="e">
        <f>J1025=#REF!</f>
        <v>#REF!</v>
      </c>
      <c r="L1025" s="5"/>
      <c r="M1025" s="5"/>
      <c r="N1025" s="5"/>
      <c r="O1025" s="5"/>
    </row>
    <row r="1026" spans="1:15" x14ac:dyDescent="0.3">
      <c r="A1026" s="122" t="s">
        <v>134</v>
      </c>
      <c r="B1026" s="127" t="s">
        <v>47</v>
      </c>
      <c r="C1026" s="32">
        <v>38845</v>
      </c>
      <c r="D1026" s="31"/>
      <c r="E1026" s="32">
        <v>1550000</v>
      </c>
      <c r="F1026" s="32"/>
      <c r="G1026" s="32"/>
      <c r="H1026" s="55">
        <v>311000</v>
      </c>
      <c r="I1026" s="32">
        <v>1017400</v>
      </c>
      <c r="J1026" s="30">
        <f t="shared" ref="J1026:J1027" si="549">+SUM(C1026:G1026)-(H1026+I1026)</f>
        <v>260445</v>
      </c>
      <c r="K1026" s="144" t="b">
        <f>J1026=I978</f>
        <v>0</v>
      </c>
      <c r="L1026" s="5"/>
      <c r="M1026" s="5"/>
      <c r="N1026" s="5"/>
      <c r="O1026" s="5"/>
    </row>
    <row r="1027" spans="1:15" x14ac:dyDescent="0.3">
      <c r="A1027" s="122" t="s">
        <v>134</v>
      </c>
      <c r="B1027" s="127" t="s">
        <v>31</v>
      </c>
      <c r="C1027" s="32">
        <v>6895</v>
      </c>
      <c r="D1027" s="31"/>
      <c r="E1027" s="32">
        <v>581000</v>
      </c>
      <c r="F1027" s="32"/>
      <c r="G1027" s="32"/>
      <c r="H1027" s="32"/>
      <c r="I1027" s="32">
        <v>498900</v>
      </c>
      <c r="J1027" s="101">
        <f t="shared" si="549"/>
        <v>88995</v>
      </c>
      <c r="K1027" s="144" t="b">
        <f>J1027=I979</f>
        <v>0</v>
      </c>
      <c r="L1027" s="5"/>
      <c r="M1027" s="5"/>
      <c r="N1027" s="5"/>
      <c r="O1027" s="5"/>
    </row>
    <row r="1028" spans="1:15" x14ac:dyDescent="0.3">
      <c r="A1028" s="122" t="s">
        <v>134</v>
      </c>
      <c r="B1028" s="127" t="s">
        <v>77</v>
      </c>
      <c r="C1028" s="32">
        <v>28540</v>
      </c>
      <c r="D1028" s="104"/>
      <c r="E1028" s="32">
        <v>332000</v>
      </c>
      <c r="F1028" s="32">
        <v>10000</v>
      </c>
      <c r="G1028" s="32"/>
      <c r="H1028" s="32"/>
      <c r="I1028" s="32">
        <v>302850</v>
      </c>
      <c r="J1028" s="101">
        <f>+SUM(C1028:G1028)-(H1028+I1028)</f>
        <v>67690</v>
      </c>
      <c r="K1028" s="144" t="b">
        <f>J1028=I980</f>
        <v>0</v>
      </c>
      <c r="L1028" s="5"/>
      <c r="M1028" s="5"/>
      <c r="N1028" s="5"/>
      <c r="O1028" s="5"/>
    </row>
    <row r="1029" spans="1:15" x14ac:dyDescent="0.3">
      <c r="A1029" s="122" t="s">
        <v>134</v>
      </c>
      <c r="B1029" s="127" t="s">
        <v>69</v>
      </c>
      <c r="C1029" s="32">
        <v>184</v>
      </c>
      <c r="D1029" s="104"/>
      <c r="E1029" s="32"/>
      <c r="F1029" s="32"/>
      <c r="G1029" s="32"/>
      <c r="H1029" s="32">
        <v>184</v>
      </c>
      <c r="I1029" s="32"/>
      <c r="J1029" s="101">
        <f t="shared" ref="J1029" si="550">+SUM(C1029:G1029)-(H1029+I1029)</f>
        <v>0</v>
      </c>
      <c r="K1029" s="144" t="e">
        <f>J1029=#REF!</f>
        <v>#REF!</v>
      </c>
      <c r="L1029" s="5"/>
      <c r="M1029" s="5"/>
      <c r="N1029" s="5"/>
      <c r="O1029" s="5"/>
    </row>
    <row r="1030" spans="1:15" x14ac:dyDescent="0.3">
      <c r="A1030" s="122" t="s">
        <v>134</v>
      </c>
      <c r="B1030" s="128" t="s">
        <v>30</v>
      </c>
      <c r="C1030" s="32">
        <v>68200</v>
      </c>
      <c r="D1030" s="119"/>
      <c r="E1030" s="51">
        <v>638000</v>
      </c>
      <c r="F1030" s="51">
        <v>45000</v>
      </c>
      <c r="G1030" s="51"/>
      <c r="H1030" s="51"/>
      <c r="I1030" s="51">
        <v>787385</v>
      </c>
      <c r="J1030" s="124">
        <f>+SUM(C1030:G1030)-(H1030+I1030)</f>
        <v>-36185</v>
      </c>
      <c r="K1030" s="144" t="b">
        <f t="shared" ref="K1030:K1037" si="551">J1030=I981</f>
        <v>0</v>
      </c>
      <c r="L1030" s="5"/>
      <c r="M1030" s="5"/>
      <c r="N1030" s="5"/>
      <c r="O1030" s="5"/>
    </row>
    <row r="1031" spans="1:15" x14ac:dyDescent="0.3">
      <c r="A1031" s="122" t="s">
        <v>134</v>
      </c>
      <c r="B1031" s="129" t="s">
        <v>84</v>
      </c>
      <c r="C1031" s="120">
        <v>233614</v>
      </c>
      <c r="D1031" s="123"/>
      <c r="E1031" s="137"/>
      <c r="F1031" s="137"/>
      <c r="G1031" s="137"/>
      <c r="H1031" s="137"/>
      <c r="I1031" s="137"/>
      <c r="J1031" s="121">
        <f>+SUM(C1031:G1031)-(H1031+I1031)</f>
        <v>233614</v>
      </c>
      <c r="K1031" s="144" t="b">
        <f t="shared" si="551"/>
        <v>0</v>
      </c>
      <c r="L1031" s="5"/>
      <c r="M1031" s="5"/>
      <c r="N1031" s="5"/>
      <c r="O1031" s="5"/>
    </row>
    <row r="1032" spans="1:15" x14ac:dyDescent="0.3">
      <c r="A1032" s="122" t="s">
        <v>134</v>
      </c>
      <c r="B1032" s="129" t="s">
        <v>83</v>
      </c>
      <c r="C1032" s="120">
        <v>249769</v>
      </c>
      <c r="D1032" s="123"/>
      <c r="E1032" s="137"/>
      <c r="F1032" s="137"/>
      <c r="G1032" s="137"/>
      <c r="H1032" s="137"/>
      <c r="I1032" s="137"/>
      <c r="J1032" s="121">
        <f t="shared" ref="J1032:J1037" si="552">+SUM(C1032:G1032)-(H1032+I1032)</f>
        <v>249769</v>
      </c>
      <c r="K1032" s="144" t="b">
        <f t="shared" si="551"/>
        <v>0</v>
      </c>
      <c r="L1032" s="5"/>
      <c r="M1032" s="5"/>
      <c r="N1032" s="5"/>
      <c r="O1032" s="5"/>
    </row>
    <row r="1033" spans="1:15" x14ac:dyDescent="0.3">
      <c r="A1033" s="122" t="s">
        <v>134</v>
      </c>
      <c r="B1033" s="127" t="s">
        <v>35</v>
      </c>
      <c r="C1033" s="32">
        <v>-4675</v>
      </c>
      <c r="D1033" s="31"/>
      <c r="E1033" s="32">
        <v>494000</v>
      </c>
      <c r="F1033" s="32">
        <v>256000</v>
      </c>
      <c r="G1033" s="104"/>
      <c r="H1033" s="104">
        <v>6500</v>
      </c>
      <c r="I1033" s="32">
        <v>607250</v>
      </c>
      <c r="J1033" s="30">
        <f t="shared" si="552"/>
        <v>131575</v>
      </c>
      <c r="K1033" s="144" t="b">
        <f t="shared" si="551"/>
        <v>0</v>
      </c>
      <c r="L1033" s="5"/>
      <c r="M1033" s="5"/>
      <c r="N1033" s="5"/>
      <c r="O1033" s="5"/>
    </row>
    <row r="1034" spans="1:15" x14ac:dyDescent="0.3">
      <c r="A1034" s="122" t="s">
        <v>134</v>
      </c>
      <c r="B1034" s="127" t="s">
        <v>93</v>
      </c>
      <c r="C1034" s="32">
        <v>5000</v>
      </c>
      <c r="D1034" s="31"/>
      <c r="E1034" s="32">
        <v>30000</v>
      </c>
      <c r="F1034" s="104"/>
      <c r="G1034" s="104"/>
      <c r="H1034" s="104"/>
      <c r="I1034" s="32">
        <v>29500</v>
      </c>
      <c r="J1034" s="30">
        <f t="shared" si="552"/>
        <v>5500</v>
      </c>
      <c r="K1034" s="144" t="b">
        <f t="shared" si="551"/>
        <v>0</v>
      </c>
      <c r="L1034" s="5"/>
      <c r="M1034" s="5"/>
      <c r="N1034" s="5"/>
      <c r="O1034" s="5"/>
    </row>
    <row r="1035" spans="1:15" x14ac:dyDescent="0.3">
      <c r="A1035" s="122" t="s">
        <v>134</v>
      </c>
      <c r="B1035" s="127" t="s">
        <v>29</v>
      </c>
      <c r="C1035" s="32">
        <v>72800</v>
      </c>
      <c r="D1035" s="31"/>
      <c r="E1035" s="32">
        <v>446000</v>
      </c>
      <c r="F1035" s="104"/>
      <c r="G1035" s="104"/>
      <c r="H1035" s="104"/>
      <c r="I1035" s="32">
        <v>512600</v>
      </c>
      <c r="J1035" s="30">
        <f t="shared" si="552"/>
        <v>6200</v>
      </c>
      <c r="K1035" s="144" t="b">
        <f t="shared" si="551"/>
        <v>0</v>
      </c>
      <c r="L1035" s="5"/>
      <c r="M1035" s="5"/>
      <c r="N1035" s="5"/>
      <c r="O1035" s="5"/>
    </row>
    <row r="1036" spans="1:15" x14ac:dyDescent="0.3">
      <c r="A1036" s="122" t="s">
        <v>134</v>
      </c>
      <c r="B1036" s="127" t="s">
        <v>32</v>
      </c>
      <c r="C1036" s="32">
        <v>47300</v>
      </c>
      <c r="D1036" s="31"/>
      <c r="E1036" s="32">
        <v>5000</v>
      </c>
      <c r="F1036" s="104">
        <v>6500</v>
      </c>
      <c r="G1036" s="104"/>
      <c r="H1036" s="32">
        <v>20000</v>
      </c>
      <c r="I1036" s="32">
        <v>8000</v>
      </c>
      <c r="J1036" s="30">
        <f t="shared" si="552"/>
        <v>30800</v>
      </c>
      <c r="K1036" s="144" t="b">
        <f t="shared" si="551"/>
        <v>0</v>
      </c>
      <c r="L1036" s="5"/>
      <c r="M1036" s="5"/>
      <c r="N1036" s="5"/>
      <c r="O1036" s="5"/>
    </row>
    <row r="1037" spans="1:15" x14ac:dyDescent="0.3">
      <c r="A1037" s="122" t="s">
        <v>134</v>
      </c>
      <c r="B1037" s="128" t="s">
        <v>113</v>
      </c>
      <c r="C1037" s="32">
        <v>79600</v>
      </c>
      <c r="D1037" s="119"/>
      <c r="E1037" s="51"/>
      <c r="F1037" s="51"/>
      <c r="G1037" s="138"/>
      <c r="H1037" s="51"/>
      <c r="I1037" s="51">
        <v>37707</v>
      </c>
      <c r="J1037" s="30">
        <f t="shared" si="552"/>
        <v>41893</v>
      </c>
      <c r="K1037" s="144" t="b">
        <f t="shared" si="551"/>
        <v>0</v>
      </c>
      <c r="L1037" s="5"/>
      <c r="M1037" s="5"/>
      <c r="N1037" s="5"/>
      <c r="O1037" s="5"/>
    </row>
    <row r="1038" spans="1:15" x14ac:dyDescent="0.3">
      <c r="A1038" s="34" t="s">
        <v>60</v>
      </c>
      <c r="B1038" s="35"/>
      <c r="C1038" s="35"/>
      <c r="D1038" s="35"/>
      <c r="E1038" s="35"/>
      <c r="F1038" s="35"/>
      <c r="G1038" s="35"/>
      <c r="H1038" s="35"/>
      <c r="I1038" s="35"/>
      <c r="J1038" s="36"/>
      <c r="K1038" s="143"/>
      <c r="L1038" s="5"/>
      <c r="M1038" s="5"/>
      <c r="N1038" s="5"/>
      <c r="O1038" s="5"/>
    </row>
    <row r="1039" spans="1:15" x14ac:dyDescent="0.3">
      <c r="A1039" s="122" t="s">
        <v>134</v>
      </c>
      <c r="B1039" s="37" t="s">
        <v>61</v>
      </c>
      <c r="C1039" s="38">
        <v>467929</v>
      </c>
      <c r="D1039" s="49">
        <v>6310000</v>
      </c>
      <c r="E1039" s="103"/>
      <c r="F1039" s="49">
        <v>74184</v>
      </c>
      <c r="G1039" s="139"/>
      <c r="H1039" s="131">
        <v>4180000</v>
      </c>
      <c r="I1039" s="126">
        <v>1710965</v>
      </c>
      <c r="J1039" s="30">
        <f>+SUM(C1039:G1039)-(H1039+I1039)</f>
        <v>961148</v>
      </c>
      <c r="K1039" s="144" t="b">
        <f>J1039=I977</f>
        <v>0</v>
      </c>
      <c r="L1039" s="5"/>
      <c r="M1039" s="5"/>
      <c r="N1039" s="5"/>
      <c r="O1039" s="5"/>
    </row>
    <row r="1040" spans="1:15" x14ac:dyDescent="0.3">
      <c r="A1040" s="43" t="s">
        <v>62</v>
      </c>
      <c r="B1040" s="24"/>
      <c r="C1040" s="35"/>
      <c r="D1040" s="24"/>
      <c r="E1040" s="24"/>
      <c r="F1040" s="24"/>
      <c r="G1040" s="24"/>
      <c r="H1040" s="24"/>
      <c r="I1040" s="24"/>
      <c r="J1040" s="36"/>
      <c r="K1040" s="143"/>
      <c r="L1040" s="5"/>
      <c r="M1040" s="5"/>
      <c r="N1040" s="5"/>
      <c r="O1040" s="5"/>
    </row>
    <row r="1041" spans="1:15" x14ac:dyDescent="0.3">
      <c r="A1041" s="122" t="s">
        <v>134</v>
      </c>
      <c r="B1041" s="37" t="s">
        <v>63</v>
      </c>
      <c r="C1041" s="125">
        <v>7405927</v>
      </c>
      <c r="D1041" s="132"/>
      <c r="E1041" s="49"/>
      <c r="F1041" s="49"/>
      <c r="G1041" s="49"/>
      <c r="H1041" s="51">
        <v>2000000</v>
      </c>
      <c r="I1041" s="53">
        <v>1710232</v>
      </c>
      <c r="J1041" s="30">
        <f>+SUM(C1041:G1041)-(H1041+I1041)</f>
        <v>3695695</v>
      </c>
      <c r="K1041" s="144" t="e">
        <f>+J1041=#REF!</f>
        <v>#REF!</v>
      </c>
      <c r="L1041" s="5"/>
      <c r="M1041" s="5"/>
      <c r="N1041" s="5"/>
      <c r="O1041" s="5"/>
    </row>
    <row r="1042" spans="1:15" x14ac:dyDescent="0.3">
      <c r="A1042" s="122" t="s">
        <v>134</v>
      </c>
      <c r="B1042" s="37" t="s">
        <v>64</v>
      </c>
      <c r="C1042" s="125">
        <v>22972065</v>
      </c>
      <c r="D1042" s="49"/>
      <c r="E1042" s="48"/>
      <c r="F1042" s="48"/>
      <c r="G1042" s="48"/>
      <c r="H1042" s="32">
        <v>4310000</v>
      </c>
      <c r="I1042" s="50">
        <v>3055511</v>
      </c>
      <c r="J1042" s="30">
        <f>SUM(C1042:G1042)-(H1042+I1042)</f>
        <v>15606554</v>
      </c>
      <c r="K1042" s="144" t="b">
        <f>+J1042=I976</f>
        <v>0</v>
      </c>
      <c r="L1042" s="5"/>
      <c r="M1042" s="5"/>
      <c r="N1042" s="5"/>
      <c r="O1042" s="5"/>
    </row>
    <row r="1043" spans="1:15" ht="15.6" x14ac:dyDescent="0.3">
      <c r="C1043" s="141">
        <f>SUM(C1025:C1042)</f>
        <v>31712043</v>
      </c>
      <c r="I1043" s="140">
        <f>SUM(I1025:I1042)</f>
        <v>10359300</v>
      </c>
      <c r="J1043" s="105">
        <f>+SUM(J1025:J1042)</f>
        <v>21352743</v>
      </c>
      <c r="K1043" s="5" t="b">
        <f>J1043=I989</f>
        <v>0</v>
      </c>
      <c r="L1043" s="5"/>
      <c r="M1043" s="5"/>
      <c r="N1043" s="5"/>
      <c r="O1043" s="5"/>
    </row>
    <row r="1044" spans="1:15" x14ac:dyDescent="0.3">
      <c r="A1044" s="14"/>
      <c r="B1044" s="15"/>
      <c r="C1044" s="12"/>
      <c r="D1044" s="12"/>
      <c r="E1044" s="13"/>
      <c r="F1044" s="12"/>
      <c r="G1044" s="12"/>
      <c r="H1044" s="12"/>
      <c r="I1044" s="12"/>
      <c r="L1044" s="5"/>
      <c r="M1044" s="5"/>
      <c r="N1044" s="5"/>
      <c r="O1044" s="5"/>
    </row>
    <row r="1045" spans="1:15" x14ac:dyDescent="0.3">
      <c r="A1045" s="16" t="s">
        <v>52</v>
      </c>
      <c r="B1045" s="16"/>
      <c r="C1045" s="16"/>
      <c r="D1045" s="17"/>
      <c r="E1045" s="17"/>
      <c r="F1045" s="17"/>
      <c r="G1045" s="17"/>
      <c r="H1045" s="17"/>
      <c r="I1045" s="17"/>
      <c r="L1045" s="5"/>
      <c r="M1045" s="5"/>
      <c r="N1045" s="5"/>
      <c r="O1045" s="5"/>
    </row>
    <row r="1046" spans="1:15" x14ac:dyDescent="0.3">
      <c r="A1046" s="18" t="s">
        <v>124</v>
      </c>
      <c r="B1046" s="18"/>
      <c r="C1046" s="18"/>
      <c r="D1046" s="18"/>
      <c r="E1046" s="18"/>
      <c r="F1046" s="18"/>
      <c r="G1046" s="18"/>
      <c r="H1046" s="18"/>
      <c r="I1046" s="18"/>
      <c r="J1046" s="17"/>
      <c r="L1046" s="5"/>
      <c r="M1046" s="5"/>
      <c r="N1046" s="5"/>
      <c r="O1046" s="5"/>
    </row>
    <row r="1047" spans="1:15" x14ac:dyDescent="0.3">
      <c r="A1047" s="19"/>
      <c r="B1047" s="17"/>
      <c r="C1047" s="20"/>
      <c r="D1047" s="20"/>
      <c r="E1047" s="20"/>
      <c r="F1047" s="20"/>
      <c r="G1047" s="20"/>
      <c r="H1047" s="17"/>
      <c r="I1047" s="17"/>
      <c r="J1047" s="18"/>
      <c r="L1047" s="5"/>
      <c r="M1047" s="5"/>
      <c r="N1047" s="5"/>
      <c r="O1047" s="5"/>
    </row>
    <row r="1048" spans="1:15" x14ac:dyDescent="0.3">
      <c r="A1048" s="315" t="s">
        <v>53</v>
      </c>
      <c r="B1048" s="317" t="s">
        <v>54</v>
      </c>
      <c r="C1048" s="319" t="s">
        <v>125</v>
      </c>
      <c r="D1048" s="321" t="s">
        <v>55</v>
      </c>
      <c r="E1048" s="322"/>
      <c r="F1048" s="322"/>
      <c r="G1048" s="323"/>
      <c r="H1048" s="324" t="s">
        <v>56</v>
      </c>
      <c r="I1048" s="311" t="s">
        <v>57</v>
      </c>
      <c r="J1048" s="17"/>
      <c r="L1048" s="5"/>
      <c r="M1048" s="5"/>
      <c r="N1048" s="5"/>
      <c r="O1048" s="5"/>
    </row>
    <row r="1049" spans="1:15" x14ac:dyDescent="0.3">
      <c r="A1049" s="316"/>
      <c r="B1049" s="318"/>
      <c r="C1049" s="320"/>
      <c r="D1049" s="21" t="s">
        <v>24</v>
      </c>
      <c r="E1049" s="21" t="s">
        <v>25</v>
      </c>
      <c r="F1049" s="22" t="s">
        <v>123</v>
      </c>
      <c r="G1049" s="21" t="s">
        <v>58</v>
      </c>
      <c r="H1049" s="325"/>
      <c r="I1049" s="312"/>
      <c r="J1049" s="313" t="s">
        <v>126</v>
      </c>
      <c r="K1049" s="143"/>
      <c r="L1049" s="5"/>
      <c r="M1049" s="5"/>
      <c r="N1049" s="5"/>
      <c r="O1049" s="5"/>
    </row>
    <row r="1050" spans="1:15" x14ac:dyDescent="0.3">
      <c r="A1050" s="23"/>
      <c r="B1050" s="24" t="s">
        <v>59</v>
      </c>
      <c r="C1050" s="25"/>
      <c r="D1050" s="25"/>
      <c r="E1050" s="25"/>
      <c r="F1050" s="25"/>
      <c r="G1050" s="25"/>
      <c r="H1050" s="25"/>
      <c r="I1050" s="26"/>
      <c r="J1050" s="314"/>
      <c r="K1050" s="143"/>
      <c r="L1050" s="5"/>
      <c r="M1050" s="5"/>
      <c r="N1050" s="5"/>
      <c r="O1050" s="5"/>
    </row>
    <row r="1051" spans="1:15" x14ac:dyDescent="0.3">
      <c r="A1051" s="122" t="s">
        <v>127</v>
      </c>
      <c r="B1051" s="127" t="s">
        <v>76</v>
      </c>
      <c r="C1051" s="32">
        <v>-450</v>
      </c>
      <c r="D1051" s="31"/>
      <c r="E1051" s="32">
        <v>168000</v>
      </c>
      <c r="F1051" s="32">
        <v>55000</v>
      </c>
      <c r="G1051" s="32"/>
      <c r="H1051" s="55"/>
      <c r="I1051" s="32">
        <v>182500</v>
      </c>
      <c r="J1051" s="30">
        <f>+SUM(C1051:G1051)-(H1051+I1051)</f>
        <v>40050</v>
      </c>
      <c r="K1051" s="144"/>
      <c r="L1051" s="5"/>
      <c r="M1051" s="5"/>
      <c r="N1051" s="5"/>
      <c r="O1051" s="5"/>
    </row>
    <row r="1052" spans="1:15" x14ac:dyDescent="0.3">
      <c r="A1052" s="122" t="s">
        <v>127</v>
      </c>
      <c r="B1052" s="127" t="s">
        <v>47</v>
      </c>
      <c r="C1052" s="32">
        <v>12510</v>
      </c>
      <c r="D1052" s="31"/>
      <c r="E1052" s="32">
        <v>303000</v>
      </c>
      <c r="F1052" s="32"/>
      <c r="G1052" s="32"/>
      <c r="H1052" s="55"/>
      <c r="I1052" s="32">
        <v>276665</v>
      </c>
      <c r="J1052" s="30">
        <f t="shared" ref="J1052:J1053" si="553">+SUM(C1052:G1052)-(H1052+I1052)</f>
        <v>38845</v>
      </c>
      <c r="K1052" s="144"/>
      <c r="L1052" s="5"/>
      <c r="M1052" s="5"/>
      <c r="N1052" s="5"/>
      <c r="O1052" s="5"/>
    </row>
    <row r="1053" spans="1:15" x14ac:dyDescent="0.3">
      <c r="A1053" s="122" t="s">
        <v>127</v>
      </c>
      <c r="B1053" s="127" t="s">
        <v>31</v>
      </c>
      <c r="C1053" s="32">
        <v>2895</v>
      </c>
      <c r="D1053" s="31"/>
      <c r="E1053" s="32">
        <v>40000</v>
      </c>
      <c r="F1053" s="32"/>
      <c r="G1053" s="32"/>
      <c r="H1053" s="32"/>
      <c r="I1053" s="32">
        <v>36000</v>
      </c>
      <c r="J1053" s="101">
        <f t="shared" si="553"/>
        <v>6895</v>
      </c>
      <c r="K1053" s="144"/>
      <c r="L1053" s="5"/>
      <c r="M1053" s="5"/>
      <c r="N1053" s="5"/>
      <c r="O1053" s="5"/>
    </row>
    <row r="1054" spans="1:15" x14ac:dyDescent="0.3">
      <c r="A1054" s="122" t="s">
        <v>127</v>
      </c>
      <c r="B1054" s="127" t="s">
        <v>77</v>
      </c>
      <c r="C1054" s="32">
        <v>62040</v>
      </c>
      <c r="D1054" s="104"/>
      <c r="E1054" s="32"/>
      <c r="F1054" s="32"/>
      <c r="G1054" s="32"/>
      <c r="H1054" s="32">
        <v>25000</v>
      </c>
      <c r="I1054" s="32">
        <v>8500</v>
      </c>
      <c r="J1054" s="101">
        <f>+SUM(C1054:G1054)-(H1054+I1054)</f>
        <v>28540</v>
      </c>
      <c r="K1054" s="144"/>
      <c r="L1054" s="5"/>
      <c r="M1054" s="5"/>
      <c r="N1054" s="5"/>
      <c r="O1054" s="5"/>
    </row>
    <row r="1055" spans="1:15" x14ac:dyDescent="0.3">
      <c r="A1055" s="122" t="s">
        <v>127</v>
      </c>
      <c r="B1055" s="127" t="s">
        <v>69</v>
      </c>
      <c r="C1055" s="32">
        <v>184</v>
      </c>
      <c r="D1055" s="104"/>
      <c r="E1055" s="32">
        <v>0</v>
      </c>
      <c r="F1055" s="32"/>
      <c r="G1055" s="32"/>
      <c r="H1055" s="32"/>
      <c r="I1055" s="32">
        <v>0</v>
      </c>
      <c r="J1055" s="101">
        <f t="shared" ref="J1055" si="554">+SUM(C1055:G1055)-(H1055+I1055)</f>
        <v>184</v>
      </c>
      <c r="K1055" s="144"/>
      <c r="L1055" s="5"/>
      <c r="M1055" s="5"/>
      <c r="N1055" s="5"/>
      <c r="O1055" s="5"/>
    </row>
    <row r="1056" spans="1:15" x14ac:dyDescent="0.3">
      <c r="A1056" s="122" t="s">
        <v>127</v>
      </c>
      <c r="B1056" s="128" t="s">
        <v>30</v>
      </c>
      <c r="C1056" s="32">
        <v>-36500</v>
      </c>
      <c r="D1056" s="119"/>
      <c r="E1056" s="51">
        <v>523500</v>
      </c>
      <c r="F1056" s="51"/>
      <c r="G1056" s="51"/>
      <c r="H1056" s="51"/>
      <c r="I1056" s="51">
        <v>418800</v>
      </c>
      <c r="J1056" s="124">
        <f>+SUM(C1056:G1056)-(H1056+I1056)</f>
        <v>68200</v>
      </c>
      <c r="K1056" s="144"/>
      <c r="L1056" s="5"/>
      <c r="M1056" s="5"/>
      <c r="N1056" s="5"/>
      <c r="O1056" s="5"/>
    </row>
    <row r="1057" spans="1:15" x14ac:dyDescent="0.3">
      <c r="A1057" s="122" t="s">
        <v>127</v>
      </c>
      <c r="B1057" s="129" t="s">
        <v>84</v>
      </c>
      <c r="C1057" s="120">
        <v>233614</v>
      </c>
      <c r="D1057" s="123"/>
      <c r="E1057" s="137"/>
      <c r="F1057" s="137"/>
      <c r="G1057" s="137"/>
      <c r="H1057" s="137"/>
      <c r="I1057" s="137"/>
      <c r="J1057" s="121">
        <f>+SUM(C1057:G1057)-(H1057+I1057)</f>
        <v>233614</v>
      </c>
      <c r="K1057" s="144"/>
      <c r="L1057" s="5"/>
      <c r="M1057" s="5"/>
      <c r="N1057" s="5"/>
      <c r="O1057" s="5"/>
    </row>
    <row r="1058" spans="1:15" x14ac:dyDescent="0.3">
      <c r="A1058" s="122" t="s">
        <v>127</v>
      </c>
      <c r="B1058" s="129" t="s">
        <v>83</v>
      </c>
      <c r="C1058" s="120">
        <v>249769</v>
      </c>
      <c r="D1058" s="123"/>
      <c r="E1058" s="137"/>
      <c r="F1058" s="137"/>
      <c r="G1058" s="137"/>
      <c r="H1058" s="137"/>
      <c r="I1058" s="137"/>
      <c r="J1058" s="121">
        <f t="shared" ref="J1058:J1063" si="555">+SUM(C1058:G1058)-(H1058+I1058)</f>
        <v>249769</v>
      </c>
      <c r="K1058" s="144"/>
      <c r="L1058" s="5"/>
      <c r="M1058" s="5"/>
      <c r="N1058" s="5"/>
      <c r="O1058" s="5"/>
    </row>
    <row r="1059" spans="1:15" x14ac:dyDescent="0.3">
      <c r="A1059" s="122" t="s">
        <v>127</v>
      </c>
      <c r="B1059" s="127" t="s">
        <v>35</v>
      </c>
      <c r="C1059" s="32">
        <v>71200</v>
      </c>
      <c r="D1059" s="31"/>
      <c r="E1059" s="32">
        <v>1056000</v>
      </c>
      <c r="F1059" s="32"/>
      <c r="G1059" s="104"/>
      <c r="H1059" s="104">
        <v>55000</v>
      </c>
      <c r="I1059" s="32">
        <v>1076875</v>
      </c>
      <c r="J1059" s="30">
        <f t="shared" si="555"/>
        <v>-4675</v>
      </c>
      <c r="K1059" s="144"/>
      <c r="L1059" s="5"/>
      <c r="M1059" s="5"/>
      <c r="N1059" s="5"/>
      <c r="O1059" s="5"/>
    </row>
    <row r="1060" spans="1:15" x14ac:dyDescent="0.3">
      <c r="A1060" s="122" t="s">
        <v>127</v>
      </c>
      <c r="B1060" s="127" t="s">
        <v>93</v>
      </c>
      <c r="C1060" s="32">
        <v>6000</v>
      </c>
      <c r="D1060" s="31"/>
      <c r="E1060" s="32">
        <v>20000</v>
      </c>
      <c r="F1060" s="104"/>
      <c r="G1060" s="104"/>
      <c r="H1060" s="104"/>
      <c r="I1060" s="32">
        <v>21000</v>
      </c>
      <c r="J1060" s="30">
        <f t="shared" si="555"/>
        <v>5000</v>
      </c>
      <c r="K1060" s="144"/>
      <c r="L1060" s="5"/>
      <c r="M1060" s="5"/>
      <c r="N1060" s="5"/>
      <c r="O1060" s="5"/>
    </row>
    <row r="1061" spans="1:15" x14ac:dyDescent="0.3">
      <c r="A1061" s="122" t="s">
        <v>127</v>
      </c>
      <c r="B1061" s="127" t="s">
        <v>29</v>
      </c>
      <c r="C1061" s="32">
        <v>167700</v>
      </c>
      <c r="D1061" s="31"/>
      <c r="E1061" s="32">
        <v>473000</v>
      </c>
      <c r="F1061" s="104"/>
      <c r="G1061" s="104"/>
      <c r="H1061" s="104"/>
      <c r="I1061" s="32">
        <v>567900</v>
      </c>
      <c r="J1061" s="30">
        <f t="shared" si="555"/>
        <v>72800</v>
      </c>
      <c r="K1061" s="144"/>
      <c r="L1061" s="5"/>
      <c r="M1061" s="5"/>
      <c r="N1061" s="5"/>
      <c r="O1061" s="5"/>
    </row>
    <row r="1062" spans="1:15" x14ac:dyDescent="0.3">
      <c r="A1062" s="122" t="s">
        <v>127</v>
      </c>
      <c r="B1062" s="127" t="s">
        <v>32</v>
      </c>
      <c r="C1062" s="32">
        <v>65300</v>
      </c>
      <c r="D1062" s="31"/>
      <c r="E1062" s="32">
        <v>10000</v>
      </c>
      <c r="F1062" s="104"/>
      <c r="G1062" s="104"/>
      <c r="H1062" s="104">
        <v>20000</v>
      </c>
      <c r="I1062" s="32">
        <v>8000</v>
      </c>
      <c r="J1062" s="30">
        <f t="shared" si="555"/>
        <v>47300</v>
      </c>
      <c r="K1062" s="144"/>
      <c r="L1062" s="5"/>
      <c r="M1062" s="5"/>
      <c r="N1062" s="5"/>
      <c r="O1062" s="5"/>
    </row>
    <row r="1063" spans="1:15" x14ac:dyDescent="0.3">
      <c r="A1063" s="122" t="s">
        <v>127</v>
      </c>
      <c r="B1063" s="128" t="s">
        <v>113</v>
      </c>
      <c r="C1063" s="32">
        <v>-11700</v>
      </c>
      <c r="D1063" s="119"/>
      <c r="E1063" s="51">
        <v>385800</v>
      </c>
      <c r="F1063" s="51"/>
      <c r="G1063" s="138"/>
      <c r="H1063" s="51"/>
      <c r="I1063" s="51">
        <v>294500</v>
      </c>
      <c r="J1063" s="30">
        <f t="shared" si="555"/>
        <v>79600</v>
      </c>
      <c r="K1063" s="144"/>
      <c r="L1063" s="5"/>
      <c r="M1063" s="5"/>
      <c r="N1063" s="5"/>
      <c r="O1063" s="5"/>
    </row>
    <row r="1064" spans="1:15" x14ac:dyDescent="0.3">
      <c r="A1064" s="34" t="s">
        <v>60</v>
      </c>
      <c r="B1064" s="35"/>
      <c r="C1064" s="35"/>
      <c r="D1064" s="35"/>
      <c r="E1064" s="35"/>
      <c r="F1064" s="35"/>
      <c r="G1064" s="35"/>
      <c r="H1064" s="35"/>
      <c r="I1064" s="35"/>
      <c r="J1064" s="36"/>
      <c r="K1064" s="143"/>
      <c r="L1064" s="5"/>
      <c r="M1064" s="5"/>
      <c r="N1064" s="5"/>
      <c r="O1064" s="5"/>
    </row>
    <row r="1065" spans="1:15" x14ac:dyDescent="0.3">
      <c r="A1065" s="122" t="s">
        <v>127</v>
      </c>
      <c r="B1065" s="37" t="s">
        <v>61</v>
      </c>
      <c r="C1065" s="38">
        <v>1672959</v>
      </c>
      <c r="D1065" s="49">
        <v>3341000</v>
      </c>
      <c r="E1065" s="103"/>
      <c r="F1065" s="103">
        <v>45000</v>
      </c>
      <c r="G1065" s="139"/>
      <c r="H1065" s="131">
        <v>2979300</v>
      </c>
      <c r="I1065" s="126">
        <v>1611730</v>
      </c>
      <c r="J1065" s="30">
        <f>+SUM(C1065:G1065)-(H1065+I1065)</f>
        <v>467929</v>
      </c>
      <c r="K1065" s="144"/>
      <c r="L1065" s="5"/>
      <c r="M1065" s="5"/>
      <c r="N1065" s="5"/>
      <c r="O1065" s="5"/>
    </row>
    <row r="1066" spans="1:15" x14ac:dyDescent="0.3">
      <c r="A1066" s="43" t="s">
        <v>62</v>
      </c>
      <c r="B1066" s="24"/>
      <c r="C1066" s="35"/>
      <c r="D1066" s="24"/>
      <c r="E1066" s="24"/>
      <c r="F1066" s="24"/>
      <c r="G1066" s="24"/>
      <c r="H1066" s="24"/>
      <c r="I1066" s="24"/>
      <c r="J1066" s="36"/>
      <c r="K1066" s="143"/>
      <c r="L1066" s="5"/>
      <c r="M1066" s="5"/>
      <c r="N1066" s="5"/>
      <c r="O1066" s="5"/>
    </row>
    <row r="1067" spans="1:15" x14ac:dyDescent="0.3">
      <c r="A1067" s="122" t="s">
        <v>127</v>
      </c>
      <c r="B1067" s="37" t="s">
        <v>63</v>
      </c>
      <c r="C1067" s="125">
        <v>2957378</v>
      </c>
      <c r="D1067" s="132">
        <v>7828953</v>
      </c>
      <c r="E1067" s="49"/>
      <c r="F1067" s="49"/>
      <c r="G1067" s="49"/>
      <c r="H1067" s="51">
        <v>3000000</v>
      </c>
      <c r="I1067" s="53">
        <v>380404</v>
      </c>
      <c r="J1067" s="30">
        <f>+SUM(C1067:G1067)-(H1067+I1067)</f>
        <v>7405927</v>
      </c>
      <c r="K1067" s="144"/>
      <c r="L1067" s="5"/>
      <c r="M1067" s="5"/>
      <c r="N1067" s="5"/>
      <c r="O1067" s="5"/>
    </row>
    <row r="1068" spans="1:15" x14ac:dyDescent="0.3">
      <c r="A1068" s="122" t="s">
        <v>127</v>
      </c>
      <c r="B1068" s="37" t="s">
        <v>64</v>
      </c>
      <c r="C1068" s="125">
        <v>28018504</v>
      </c>
      <c r="D1068" s="49"/>
      <c r="E1068" s="48"/>
      <c r="F1068" s="48"/>
      <c r="G1068" s="48"/>
      <c r="H1068" s="32">
        <v>341000</v>
      </c>
      <c r="I1068" s="50">
        <v>4705439</v>
      </c>
      <c r="J1068" s="30">
        <f>SUM(C1068:G1068)-(H1068+I1068)</f>
        <v>22972065</v>
      </c>
      <c r="K1068" s="144"/>
      <c r="L1068" s="5"/>
      <c r="M1068" s="5"/>
      <c r="N1068" s="5"/>
      <c r="O1068" s="5"/>
    </row>
    <row r="1069" spans="1:15" ht="15.6" x14ac:dyDescent="0.3">
      <c r="C1069" s="141">
        <f>SUM(C1051:C1068)</f>
        <v>33471403</v>
      </c>
      <c r="I1069" s="140">
        <f>SUM(I1051:I1068)</f>
        <v>9588313</v>
      </c>
      <c r="J1069" s="105">
        <f>+SUM(J1051:J1068)</f>
        <v>31712043</v>
      </c>
      <c r="L1069" s="5"/>
      <c r="M1069" s="5"/>
      <c r="N1069" s="5"/>
      <c r="O1069" s="5"/>
    </row>
    <row r="1070" spans="1:15" x14ac:dyDescent="0.3">
      <c r="A1070" s="14"/>
      <c r="B1070" s="15"/>
      <c r="C1070" s="12" t="e">
        <f>C1069=C989</f>
        <v>#REF!</v>
      </c>
      <c r="D1070" s="12"/>
      <c r="E1070" s="13"/>
      <c r="F1070" s="12"/>
      <c r="G1070" s="12"/>
      <c r="H1070" s="12"/>
      <c r="I1070" s="12"/>
      <c r="L1070" s="5"/>
      <c r="M1070" s="5"/>
      <c r="N1070" s="5"/>
      <c r="O1070" s="5"/>
    </row>
    <row r="1071" spans="1:15" x14ac:dyDescent="0.3">
      <c r="A1071" s="16" t="s">
        <v>52</v>
      </c>
      <c r="B1071" s="16"/>
      <c r="C1071" s="16"/>
      <c r="D1071" s="17"/>
      <c r="E1071" s="17"/>
      <c r="F1071" s="17"/>
      <c r="G1071" s="17"/>
      <c r="H1071" s="17"/>
      <c r="I1071" s="17"/>
      <c r="L1071" s="5"/>
      <c r="M1071" s="5"/>
      <c r="N1071" s="5"/>
      <c r="O1071" s="5"/>
    </row>
    <row r="1072" spans="1:15" x14ac:dyDescent="0.3">
      <c r="A1072" s="18" t="s">
        <v>119</v>
      </c>
      <c r="B1072" s="18"/>
      <c r="C1072" s="18"/>
      <c r="D1072" s="18"/>
      <c r="E1072" s="18"/>
      <c r="F1072" s="18"/>
      <c r="G1072" s="18"/>
      <c r="H1072" s="18"/>
      <c r="I1072" s="18"/>
      <c r="J1072" s="17"/>
      <c r="L1072" s="5"/>
      <c r="M1072" s="5"/>
      <c r="N1072" s="5"/>
      <c r="O1072" s="5"/>
    </row>
    <row r="1073" spans="1:15" x14ac:dyDescent="0.3">
      <c r="A1073" s="19"/>
      <c r="B1073" s="17"/>
      <c r="C1073" s="20"/>
      <c r="D1073" s="20"/>
      <c r="E1073" s="20"/>
      <c r="F1073" s="20"/>
      <c r="G1073" s="20"/>
      <c r="H1073" s="17"/>
      <c r="I1073" s="17"/>
      <c r="J1073" s="18"/>
      <c r="L1073" s="5"/>
      <c r="M1073" s="5"/>
      <c r="N1073" s="5"/>
      <c r="O1073" s="5"/>
    </row>
    <row r="1074" spans="1:15" x14ac:dyDescent="0.3">
      <c r="A1074" s="315" t="s">
        <v>53</v>
      </c>
      <c r="B1074" s="317" t="s">
        <v>54</v>
      </c>
      <c r="C1074" s="319" t="s">
        <v>121</v>
      </c>
      <c r="D1074" s="321" t="s">
        <v>55</v>
      </c>
      <c r="E1074" s="322"/>
      <c r="F1074" s="322"/>
      <c r="G1074" s="323"/>
      <c r="H1074" s="324" t="s">
        <v>56</v>
      </c>
      <c r="I1074" s="311" t="s">
        <v>57</v>
      </c>
      <c r="J1074" s="17"/>
      <c r="L1074" s="5"/>
      <c r="M1074" s="5"/>
      <c r="N1074" s="5"/>
      <c r="O1074" s="5"/>
    </row>
    <row r="1075" spans="1:15" x14ac:dyDescent="0.3">
      <c r="A1075" s="316"/>
      <c r="B1075" s="318"/>
      <c r="C1075" s="320"/>
      <c r="D1075" s="21" t="s">
        <v>24</v>
      </c>
      <c r="E1075" s="21" t="s">
        <v>25</v>
      </c>
      <c r="F1075" s="22" t="s">
        <v>123</v>
      </c>
      <c r="G1075" s="21" t="s">
        <v>58</v>
      </c>
      <c r="H1075" s="325"/>
      <c r="I1075" s="312"/>
      <c r="J1075" s="313" t="s">
        <v>122</v>
      </c>
      <c r="K1075" s="143"/>
      <c r="L1075" s="5"/>
      <c r="M1075" s="5"/>
      <c r="N1075" s="5"/>
      <c r="O1075" s="5"/>
    </row>
    <row r="1076" spans="1:15" x14ac:dyDescent="0.3">
      <c r="A1076" s="23"/>
      <c r="B1076" s="24" t="s">
        <v>59</v>
      </c>
      <c r="C1076" s="25"/>
      <c r="D1076" s="25"/>
      <c r="E1076" s="25"/>
      <c r="F1076" s="25"/>
      <c r="G1076" s="25"/>
      <c r="H1076" s="25"/>
      <c r="I1076" s="26"/>
      <c r="J1076" s="314"/>
      <c r="K1076" s="143"/>
      <c r="L1076" s="5"/>
      <c r="M1076" s="5"/>
      <c r="N1076" s="5"/>
      <c r="O1076" s="5"/>
    </row>
    <row r="1077" spans="1:15" x14ac:dyDescent="0.3">
      <c r="A1077" s="122" t="s">
        <v>120</v>
      </c>
      <c r="B1077" s="127" t="s">
        <v>76</v>
      </c>
      <c r="C1077" s="32">
        <v>7670</v>
      </c>
      <c r="D1077" s="31"/>
      <c r="E1077" s="32">
        <v>438000</v>
      </c>
      <c r="F1077" s="32"/>
      <c r="G1077" s="32"/>
      <c r="H1077" s="55">
        <v>40000</v>
      </c>
      <c r="I1077" s="32">
        <v>406120</v>
      </c>
      <c r="J1077" s="30">
        <f>+SUM(C1077:G1077)-(H1077+I1077)</f>
        <v>-450</v>
      </c>
      <c r="K1077" s="144" t="e">
        <f>J1077=#REF!</f>
        <v>#REF!</v>
      </c>
      <c r="L1077" s="5"/>
      <c r="M1077" s="5"/>
      <c r="N1077" s="5"/>
      <c r="O1077" s="5"/>
    </row>
    <row r="1078" spans="1:15" x14ac:dyDescent="0.3">
      <c r="A1078" s="122" t="s">
        <v>120</v>
      </c>
      <c r="B1078" s="127" t="s">
        <v>47</v>
      </c>
      <c r="C1078" s="32">
        <v>4710</v>
      </c>
      <c r="D1078" s="31"/>
      <c r="E1078" s="32">
        <v>303000</v>
      </c>
      <c r="F1078" s="32">
        <f>25000+91000+62000</f>
        <v>178000</v>
      </c>
      <c r="G1078" s="32"/>
      <c r="H1078" s="55">
        <v>29000</v>
      </c>
      <c r="I1078" s="32">
        <v>444200</v>
      </c>
      <c r="J1078" s="30">
        <f t="shared" ref="J1078:J1079" si="556">+SUM(C1078:G1078)-(H1078+I1078)</f>
        <v>12510</v>
      </c>
      <c r="K1078" s="144" t="b">
        <f>J1078=I978</f>
        <v>0</v>
      </c>
      <c r="L1078" s="5"/>
      <c r="M1078" s="5"/>
      <c r="N1078" s="5"/>
      <c r="O1078" s="5"/>
    </row>
    <row r="1079" spans="1:15" x14ac:dyDescent="0.3">
      <c r="A1079" s="122" t="s">
        <v>120</v>
      </c>
      <c r="B1079" s="127" t="s">
        <v>31</v>
      </c>
      <c r="C1079" s="32">
        <v>9295</v>
      </c>
      <c r="D1079" s="31"/>
      <c r="E1079" s="32">
        <v>743000</v>
      </c>
      <c r="F1079" s="32">
        <v>2000</v>
      </c>
      <c r="G1079" s="32"/>
      <c r="H1079" s="32">
        <f>103000+91000+137000+101000+91000</f>
        <v>523000</v>
      </c>
      <c r="I1079" s="32">
        <v>228400</v>
      </c>
      <c r="J1079" s="101">
        <f t="shared" si="556"/>
        <v>2895</v>
      </c>
      <c r="K1079" s="144" t="b">
        <f>J1079=I979</f>
        <v>0</v>
      </c>
      <c r="L1079" s="5"/>
      <c r="M1079" s="5"/>
      <c r="N1079" s="5"/>
      <c r="O1079" s="5"/>
    </row>
    <row r="1080" spans="1:15" x14ac:dyDescent="0.3">
      <c r="A1080" s="122" t="s">
        <v>120</v>
      </c>
      <c r="B1080" s="127" t="s">
        <v>77</v>
      </c>
      <c r="C1080" s="32">
        <v>-25100</v>
      </c>
      <c r="D1080" s="104"/>
      <c r="E1080" s="32">
        <v>121100</v>
      </c>
      <c r="F1080" s="32">
        <f>103000+1000+28000+137000</f>
        <v>269000</v>
      </c>
      <c r="G1080" s="32"/>
      <c r="H1080" s="32"/>
      <c r="I1080" s="32">
        <v>302960</v>
      </c>
      <c r="J1080" s="101">
        <f>+SUM(C1080:G1080)-(H1080+I1080)</f>
        <v>62040</v>
      </c>
      <c r="K1080" s="144" t="b">
        <f>J1080=I980</f>
        <v>0</v>
      </c>
      <c r="L1080" s="5"/>
      <c r="M1080" s="5"/>
      <c r="N1080" s="5"/>
      <c r="O1080" s="5"/>
    </row>
    <row r="1081" spans="1:15" x14ac:dyDescent="0.3">
      <c r="A1081" s="122" t="s">
        <v>120</v>
      </c>
      <c r="B1081" s="127" t="s">
        <v>69</v>
      </c>
      <c r="C1081" s="32">
        <v>7384</v>
      </c>
      <c r="D1081" s="104"/>
      <c r="E1081" s="32">
        <v>319000</v>
      </c>
      <c r="F1081" s="32">
        <v>101000</v>
      </c>
      <c r="G1081" s="32"/>
      <c r="H1081" s="32">
        <v>62000</v>
      </c>
      <c r="I1081" s="32">
        <v>365200</v>
      </c>
      <c r="J1081" s="101">
        <f t="shared" ref="J1081" si="557">+SUM(C1081:G1081)-(H1081+I1081)</f>
        <v>184</v>
      </c>
      <c r="K1081" s="144" t="e">
        <f>J1081=#REF!</f>
        <v>#REF!</v>
      </c>
      <c r="L1081" s="5"/>
      <c r="M1081" s="5"/>
      <c r="N1081" s="5"/>
      <c r="O1081" s="5"/>
    </row>
    <row r="1082" spans="1:15" x14ac:dyDescent="0.3">
      <c r="A1082" s="122" t="s">
        <v>120</v>
      </c>
      <c r="B1082" s="128" t="s">
        <v>30</v>
      </c>
      <c r="C1082" s="32">
        <v>61300</v>
      </c>
      <c r="D1082" s="119"/>
      <c r="E1082" s="51">
        <v>931200</v>
      </c>
      <c r="F1082" s="51"/>
      <c r="G1082" s="51"/>
      <c r="H1082" s="51">
        <v>28000</v>
      </c>
      <c r="I1082" s="51">
        <v>1001000</v>
      </c>
      <c r="J1082" s="124">
        <f>+SUM(C1082:G1082)-(H1082+I1082)</f>
        <v>-36500</v>
      </c>
      <c r="K1082" s="144" t="b">
        <f t="shared" ref="K1082:K1089" si="558">J1082=I981</f>
        <v>0</v>
      </c>
      <c r="L1082" s="5"/>
      <c r="M1082" s="5"/>
      <c r="N1082" s="5"/>
      <c r="O1082" s="5"/>
    </row>
    <row r="1083" spans="1:15" x14ac:dyDescent="0.3">
      <c r="A1083" s="122" t="s">
        <v>120</v>
      </c>
      <c r="B1083" s="129" t="s">
        <v>84</v>
      </c>
      <c r="C1083" s="120">
        <v>233614</v>
      </c>
      <c r="D1083" s="123"/>
      <c r="E1083" s="137"/>
      <c r="F1083" s="137"/>
      <c r="G1083" s="137"/>
      <c r="H1083" s="137"/>
      <c r="I1083" s="137"/>
      <c r="J1083" s="121">
        <f>+SUM(C1083:G1083)-(H1083+I1083)</f>
        <v>233614</v>
      </c>
      <c r="K1083" s="144" t="b">
        <f t="shared" si="558"/>
        <v>0</v>
      </c>
      <c r="L1083" s="5"/>
      <c r="M1083" s="5"/>
      <c r="N1083" s="5"/>
      <c r="O1083" s="5"/>
    </row>
    <row r="1084" spans="1:15" x14ac:dyDescent="0.3">
      <c r="A1084" s="122" t="s">
        <v>120</v>
      </c>
      <c r="B1084" s="129" t="s">
        <v>83</v>
      </c>
      <c r="C1084" s="120">
        <v>249769</v>
      </c>
      <c r="D1084" s="123"/>
      <c r="E1084" s="137"/>
      <c r="F1084" s="137"/>
      <c r="G1084" s="137"/>
      <c r="H1084" s="137"/>
      <c r="I1084" s="137"/>
      <c r="J1084" s="121">
        <f t="shared" ref="J1084:J1087" si="559">+SUM(C1084:G1084)-(H1084+I1084)</f>
        <v>249769</v>
      </c>
      <c r="K1084" s="144" t="b">
        <f t="shared" si="558"/>
        <v>0</v>
      </c>
      <c r="L1084" s="5"/>
      <c r="M1084" s="5"/>
      <c r="N1084" s="5"/>
      <c r="O1084" s="5"/>
    </row>
    <row r="1085" spans="1:15" x14ac:dyDescent="0.3">
      <c r="A1085" s="122" t="s">
        <v>120</v>
      </c>
      <c r="B1085" s="127" t="s">
        <v>35</v>
      </c>
      <c r="C1085" s="32">
        <v>4500</v>
      </c>
      <c r="D1085" s="31"/>
      <c r="E1085" s="32">
        <v>234000</v>
      </c>
      <c r="F1085" s="32">
        <v>40000</v>
      </c>
      <c r="G1085" s="104"/>
      <c r="H1085" s="104"/>
      <c r="I1085" s="32">
        <v>207300</v>
      </c>
      <c r="J1085" s="30">
        <f t="shared" si="559"/>
        <v>71200</v>
      </c>
      <c r="K1085" s="144" t="b">
        <f t="shared" si="558"/>
        <v>0</v>
      </c>
      <c r="L1085" s="5"/>
      <c r="M1085" s="5"/>
      <c r="N1085" s="5"/>
      <c r="O1085" s="5"/>
    </row>
    <row r="1086" spans="1:15" x14ac:dyDescent="0.3">
      <c r="A1086" s="122" t="s">
        <v>120</v>
      </c>
      <c r="B1086" s="127" t="s">
        <v>93</v>
      </c>
      <c r="C1086" s="32">
        <v>-6000</v>
      </c>
      <c r="D1086" s="31"/>
      <c r="E1086" s="32">
        <v>61000</v>
      </c>
      <c r="F1086" s="104"/>
      <c r="G1086" s="104"/>
      <c r="H1086" s="104"/>
      <c r="I1086" s="32">
        <v>49000</v>
      </c>
      <c r="J1086" s="30">
        <f t="shared" si="559"/>
        <v>6000</v>
      </c>
      <c r="K1086" s="144" t="b">
        <f t="shared" si="558"/>
        <v>0</v>
      </c>
      <c r="L1086" s="5"/>
      <c r="M1086" s="5"/>
      <c r="N1086" s="5"/>
      <c r="O1086" s="5"/>
    </row>
    <row r="1087" spans="1:15" x14ac:dyDescent="0.3">
      <c r="A1087" s="122" t="s">
        <v>120</v>
      </c>
      <c r="B1087" s="127" t="s">
        <v>29</v>
      </c>
      <c r="C1087" s="32">
        <v>72200</v>
      </c>
      <c r="D1087" s="31"/>
      <c r="E1087" s="32">
        <v>722000</v>
      </c>
      <c r="F1087" s="104"/>
      <c r="G1087" s="104"/>
      <c r="H1087" s="104"/>
      <c r="I1087" s="32">
        <v>626500</v>
      </c>
      <c r="J1087" s="30">
        <f t="shared" si="559"/>
        <v>167700</v>
      </c>
      <c r="K1087" s="144" t="b">
        <f t="shared" si="558"/>
        <v>0</v>
      </c>
      <c r="L1087" s="5"/>
      <c r="M1087" s="5"/>
      <c r="N1087" s="5"/>
      <c r="O1087" s="5"/>
    </row>
    <row r="1088" spans="1:15" x14ac:dyDescent="0.3">
      <c r="A1088" s="122" t="s">
        <v>120</v>
      </c>
      <c r="B1088" s="127" t="s">
        <v>32</v>
      </c>
      <c r="C1088" s="32">
        <v>9300</v>
      </c>
      <c r="D1088" s="31"/>
      <c r="E1088" s="32">
        <v>60000</v>
      </c>
      <c r="F1088" s="104"/>
      <c r="G1088" s="104"/>
      <c r="H1088" s="104"/>
      <c r="I1088" s="32">
        <v>4000</v>
      </c>
      <c r="J1088" s="30">
        <f t="shared" ref="J1088:J1089" si="560">+SUM(C1088:G1088)-(H1088+I1088)</f>
        <v>65300</v>
      </c>
      <c r="K1088" s="144" t="b">
        <f t="shared" si="558"/>
        <v>0</v>
      </c>
      <c r="L1088" s="5"/>
      <c r="M1088" s="5"/>
      <c r="N1088" s="5"/>
      <c r="O1088" s="5"/>
    </row>
    <row r="1089" spans="1:15" x14ac:dyDescent="0.3">
      <c r="A1089" s="122" t="s">
        <v>120</v>
      </c>
      <c r="B1089" s="128" t="s">
        <v>113</v>
      </c>
      <c r="C1089" s="32">
        <v>-14000</v>
      </c>
      <c r="D1089" s="119"/>
      <c r="E1089" s="51">
        <v>378000</v>
      </c>
      <c r="F1089" s="51">
        <f>29000+91000</f>
        <v>120000</v>
      </c>
      <c r="G1089" s="138"/>
      <c r="H1089" s="51">
        <f>2000+1000+25000</f>
        <v>28000</v>
      </c>
      <c r="I1089" s="51">
        <v>467700</v>
      </c>
      <c r="J1089" s="30">
        <f t="shared" si="560"/>
        <v>-11700</v>
      </c>
      <c r="K1089" s="144" t="b">
        <f t="shared" si="558"/>
        <v>0</v>
      </c>
      <c r="L1089" s="5"/>
      <c r="M1089" s="5"/>
      <c r="N1089" s="5"/>
      <c r="O1089" s="5"/>
    </row>
    <row r="1090" spans="1:15" x14ac:dyDescent="0.3">
      <c r="A1090" s="34" t="s">
        <v>60</v>
      </c>
      <c r="B1090" s="35"/>
      <c r="C1090" s="35"/>
      <c r="D1090" s="35"/>
      <c r="E1090" s="35"/>
      <c r="F1090" s="35"/>
      <c r="G1090" s="35"/>
      <c r="H1090" s="35"/>
      <c r="I1090" s="35"/>
      <c r="J1090" s="36"/>
      <c r="K1090" s="143"/>
      <c r="L1090" s="5"/>
      <c r="M1090" s="5"/>
      <c r="N1090" s="5"/>
      <c r="O1090" s="5"/>
    </row>
    <row r="1091" spans="1:15" x14ac:dyDescent="0.3">
      <c r="A1091" s="122" t="s">
        <v>120</v>
      </c>
      <c r="B1091" s="37" t="s">
        <v>61</v>
      </c>
      <c r="C1091" s="38">
        <v>1148337</v>
      </c>
      <c r="D1091" s="49">
        <v>7000000</v>
      </c>
      <c r="E1091" s="103"/>
      <c r="F1091" s="103"/>
      <c r="G1091" s="139"/>
      <c r="H1091" s="131">
        <v>4310300</v>
      </c>
      <c r="I1091" s="126">
        <v>2165078</v>
      </c>
      <c r="J1091" s="30">
        <f>+SUM(C1091:G1091)-(H1091+I1091)</f>
        <v>1672959</v>
      </c>
      <c r="K1091" s="144" t="b">
        <f>J1091=I977</f>
        <v>0</v>
      </c>
      <c r="L1091" s="5"/>
      <c r="M1091" s="5"/>
      <c r="N1091" s="5"/>
      <c r="O1091" s="5"/>
    </row>
    <row r="1092" spans="1:15" x14ac:dyDescent="0.3">
      <c r="A1092" s="43" t="s">
        <v>62</v>
      </c>
      <c r="B1092" s="24"/>
      <c r="C1092" s="35"/>
      <c r="D1092" s="24"/>
      <c r="E1092" s="24"/>
      <c r="F1092" s="24"/>
      <c r="G1092" s="24"/>
      <c r="H1092" s="24"/>
      <c r="I1092" s="24"/>
      <c r="J1092" s="36"/>
      <c r="K1092" s="143"/>
      <c r="L1092" s="5"/>
      <c r="M1092" s="5"/>
      <c r="N1092" s="5"/>
      <c r="O1092" s="5"/>
    </row>
    <row r="1093" spans="1:15" x14ac:dyDescent="0.3">
      <c r="A1093" s="122" t="s">
        <v>120</v>
      </c>
      <c r="B1093" s="37" t="s">
        <v>63</v>
      </c>
      <c r="C1093" s="125">
        <v>10113263</v>
      </c>
      <c r="D1093" s="132">
        <v>0</v>
      </c>
      <c r="E1093" s="49"/>
      <c r="F1093" s="49"/>
      <c r="G1093" s="49"/>
      <c r="H1093" s="51">
        <v>7000000</v>
      </c>
      <c r="I1093" s="53">
        <v>155885</v>
      </c>
      <c r="J1093" s="30">
        <f>+SUM(C1093:G1093)-(H1093+I1093)</f>
        <v>2957378</v>
      </c>
      <c r="K1093" s="144" t="e">
        <f>+J1093=#REF!</f>
        <v>#REF!</v>
      </c>
      <c r="L1093" s="5"/>
      <c r="M1093" s="5"/>
      <c r="N1093" s="5"/>
      <c r="O1093" s="5"/>
    </row>
    <row r="1094" spans="1:15" x14ac:dyDescent="0.3">
      <c r="A1094" s="122" t="s">
        <v>120</v>
      </c>
      <c r="B1094" s="37" t="s">
        <v>64</v>
      </c>
      <c r="C1094" s="125">
        <v>6219904</v>
      </c>
      <c r="D1094" s="49">
        <v>28506579</v>
      </c>
      <c r="E1094" s="48"/>
      <c r="F1094" s="48"/>
      <c r="G1094" s="48"/>
      <c r="H1094" s="32"/>
      <c r="I1094" s="50">
        <v>6707979</v>
      </c>
      <c r="J1094" s="30">
        <f>SUM(C1094:G1094)-(H1094+I1094)</f>
        <v>28018504</v>
      </c>
      <c r="K1094" s="144" t="b">
        <f>+J1094=I976</f>
        <v>0</v>
      </c>
      <c r="L1094" s="5"/>
      <c r="M1094" s="5"/>
      <c r="N1094" s="5"/>
      <c r="O1094" s="5"/>
    </row>
    <row r="1095" spans="1:15" ht="15.6" x14ac:dyDescent="0.3">
      <c r="C1095" s="141">
        <f>SUM(C1077:C1094)</f>
        <v>18096146</v>
      </c>
      <c r="I1095" s="140">
        <f>SUM(I1077:I1094)</f>
        <v>13131322</v>
      </c>
      <c r="J1095" s="105">
        <f>+SUM(J1077:J1094)</f>
        <v>33471403</v>
      </c>
      <c r="K1095" s="5" t="b">
        <f>J1095=I989</f>
        <v>0</v>
      </c>
      <c r="L1095" s="5"/>
      <c r="M1095" s="5"/>
      <c r="N1095" s="5"/>
      <c r="O1095" s="5"/>
    </row>
    <row r="1096" spans="1:15" x14ac:dyDescent="0.3">
      <c r="A1096" s="14"/>
      <c r="B1096" s="15"/>
      <c r="C1096" s="12" t="e">
        <f>C1095=C989</f>
        <v>#REF!</v>
      </c>
      <c r="D1096" s="12"/>
      <c r="E1096" s="13"/>
      <c r="F1096" s="12"/>
      <c r="G1096" s="12"/>
      <c r="H1096" s="12"/>
      <c r="I1096" s="12"/>
      <c r="L1096" s="5"/>
      <c r="M1096" s="5"/>
      <c r="N1096" s="5"/>
      <c r="O1096" s="5"/>
    </row>
    <row r="1097" spans="1:15" x14ac:dyDescent="0.3">
      <c r="A1097" s="14"/>
      <c r="B1097" s="15"/>
      <c r="C1097" s="12"/>
      <c r="D1097" s="12"/>
      <c r="E1097" s="13"/>
      <c r="F1097" s="12"/>
      <c r="G1097" s="12"/>
      <c r="H1097" s="12"/>
      <c r="I1097" s="12"/>
      <c r="L1097" s="5"/>
      <c r="M1097" s="5"/>
      <c r="N1097" s="5"/>
      <c r="O1097" s="5"/>
    </row>
    <row r="1098" spans="1:15" x14ac:dyDescent="0.3">
      <c r="A1098" s="16" t="s">
        <v>52</v>
      </c>
      <c r="B1098" s="16"/>
      <c r="C1098" s="16"/>
      <c r="D1098" s="17"/>
      <c r="E1098" s="17"/>
      <c r="F1098" s="17"/>
      <c r="G1098" s="17"/>
      <c r="H1098" s="17"/>
      <c r="I1098" s="17"/>
      <c r="L1098" s="5"/>
      <c r="M1098" s="5"/>
      <c r="N1098" s="5"/>
      <c r="O1098" s="5"/>
    </row>
    <row r="1099" spans="1:15" x14ac:dyDescent="0.3">
      <c r="A1099" s="18" t="s">
        <v>114</v>
      </c>
      <c r="B1099" s="18"/>
      <c r="C1099" s="18"/>
      <c r="D1099" s="18"/>
      <c r="E1099" s="18"/>
      <c r="F1099" s="18"/>
      <c r="G1099" s="18"/>
      <c r="H1099" s="18"/>
      <c r="I1099" s="18"/>
      <c r="J1099" s="17"/>
      <c r="L1099" s="5"/>
      <c r="M1099" s="5"/>
      <c r="N1099" s="5"/>
      <c r="O1099" s="5"/>
    </row>
    <row r="1100" spans="1:15" x14ac:dyDescent="0.3">
      <c r="A1100" s="19"/>
      <c r="B1100" s="17"/>
      <c r="C1100" s="20"/>
      <c r="D1100" s="20"/>
      <c r="E1100" s="20"/>
      <c r="F1100" s="20"/>
      <c r="G1100" s="20"/>
      <c r="H1100" s="17"/>
      <c r="I1100" s="17"/>
      <c r="J1100" s="18"/>
      <c r="L1100" s="5"/>
      <c r="M1100" s="5"/>
      <c r="N1100" s="5"/>
      <c r="O1100" s="5"/>
    </row>
    <row r="1101" spans="1:15" x14ac:dyDescent="0.3">
      <c r="A1101" s="315" t="s">
        <v>53</v>
      </c>
      <c r="B1101" s="317" t="s">
        <v>54</v>
      </c>
      <c r="C1101" s="319" t="s">
        <v>116</v>
      </c>
      <c r="D1101" s="321" t="s">
        <v>55</v>
      </c>
      <c r="E1101" s="322"/>
      <c r="F1101" s="322"/>
      <c r="G1101" s="323"/>
      <c r="H1101" s="324" t="s">
        <v>56</v>
      </c>
      <c r="I1101" s="311" t="s">
        <v>57</v>
      </c>
      <c r="J1101" s="17"/>
      <c r="L1101" s="5"/>
      <c r="M1101" s="5"/>
      <c r="N1101" s="5"/>
      <c r="O1101" s="5"/>
    </row>
    <row r="1102" spans="1:15" x14ac:dyDescent="0.3">
      <c r="A1102" s="316"/>
      <c r="B1102" s="318"/>
      <c r="C1102" s="320"/>
      <c r="D1102" s="21" t="s">
        <v>24</v>
      </c>
      <c r="E1102" s="21" t="s">
        <v>25</v>
      </c>
      <c r="F1102" s="22" t="s">
        <v>118</v>
      </c>
      <c r="G1102" s="21" t="s">
        <v>58</v>
      </c>
      <c r="H1102" s="325"/>
      <c r="I1102" s="312"/>
      <c r="J1102" s="313" t="s">
        <v>117</v>
      </c>
      <c r="L1102" s="5"/>
      <c r="M1102" s="5"/>
      <c r="N1102" s="5"/>
      <c r="O1102" s="5"/>
    </row>
    <row r="1103" spans="1:15" x14ac:dyDescent="0.3">
      <c r="A1103" s="23"/>
      <c r="B1103" s="24" t="s">
        <v>59</v>
      </c>
      <c r="C1103" s="25"/>
      <c r="D1103" s="25"/>
      <c r="E1103" s="25"/>
      <c r="F1103" s="25"/>
      <c r="G1103" s="25"/>
      <c r="H1103" s="25"/>
      <c r="I1103" s="26"/>
      <c r="J1103" s="314"/>
      <c r="L1103" s="5"/>
      <c r="M1103" s="5"/>
      <c r="N1103" s="5"/>
      <c r="O1103" s="5"/>
    </row>
    <row r="1104" spans="1:15" x14ac:dyDescent="0.3">
      <c r="A1104" s="122" t="s">
        <v>115</v>
      </c>
      <c r="B1104" s="127" t="s">
        <v>76</v>
      </c>
      <c r="C1104" s="32">
        <v>3670</v>
      </c>
      <c r="D1104" s="31"/>
      <c r="E1104" s="32">
        <v>118000</v>
      </c>
      <c r="F1104" s="32">
        <v>4000</v>
      </c>
      <c r="G1104" s="32"/>
      <c r="H1104" s="55"/>
      <c r="I1104" s="32">
        <v>118000</v>
      </c>
      <c r="J1104" s="30">
        <f>+SUM(C1104:G1104)-(H1104+I1104)</f>
        <v>7670</v>
      </c>
      <c r="K1104" s="142"/>
      <c r="L1104" s="5"/>
      <c r="M1104" s="5"/>
      <c r="N1104" s="5"/>
      <c r="O1104" s="5"/>
    </row>
    <row r="1105" spans="1:15" x14ac:dyDescent="0.3">
      <c r="A1105" s="122" t="s">
        <v>115</v>
      </c>
      <c r="B1105" s="127" t="s">
        <v>47</v>
      </c>
      <c r="C1105" s="32">
        <v>-540</v>
      </c>
      <c r="D1105" s="31"/>
      <c r="E1105" s="32">
        <v>209750</v>
      </c>
      <c r="F1105" s="32">
        <v>5000</v>
      </c>
      <c r="G1105" s="32"/>
      <c r="H1105" s="55"/>
      <c r="I1105" s="32">
        <v>209500</v>
      </c>
      <c r="J1105" s="30">
        <f t="shared" ref="J1105:J1106" si="561">+SUM(C1105:G1105)-(H1105+I1105)</f>
        <v>4710</v>
      </c>
      <c r="K1105" s="142"/>
      <c r="L1105" s="5"/>
      <c r="M1105" s="5"/>
      <c r="N1105" s="5"/>
      <c r="O1105" s="5"/>
    </row>
    <row r="1106" spans="1:15" x14ac:dyDescent="0.3">
      <c r="A1106" s="122" t="s">
        <v>115</v>
      </c>
      <c r="B1106" s="127" t="s">
        <v>31</v>
      </c>
      <c r="C1106" s="32">
        <v>2395</v>
      </c>
      <c r="D1106" s="31"/>
      <c r="E1106" s="32">
        <v>70000</v>
      </c>
      <c r="F1106" s="32">
        <v>4000</v>
      </c>
      <c r="G1106" s="32"/>
      <c r="H1106" s="32"/>
      <c r="I1106" s="32">
        <v>67100</v>
      </c>
      <c r="J1106" s="101">
        <f t="shared" si="561"/>
        <v>9295</v>
      </c>
      <c r="K1106" s="142"/>
      <c r="L1106" s="5"/>
      <c r="M1106" s="5"/>
      <c r="N1106" s="5"/>
      <c r="O1106" s="5"/>
    </row>
    <row r="1107" spans="1:15" x14ac:dyDescent="0.3">
      <c r="A1107" s="122" t="s">
        <v>115</v>
      </c>
      <c r="B1107" s="127" t="s">
        <v>77</v>
      </c>
      <c r="C1107" s="32">
        <v>96100</v>
      </c>
      <c r="D1107" s="104"/>
      <c r="E1107" s="32">
        <v>488100</v>
      </c>
      <c r="F1107" s="32">
        <v>4000</v>
      </c>
      <c r="G1107" s="32"/>
      <c r="H1107" s="32">
        <v>61600</v>
      </c>
      <c r="I1107" s="32">
        <v>551700</v>
      </c>
      <c r="J1107" s="101">
        <f>+SUM(C1107:G1107)-(H1107+I1107)</f>
        <v>-25100</v>
      </c>
      <c r="K1107" s="142"/>
      <c r="L1107" s="5"/>
      <c r="M1107" s="5"/>
      <c r="N1107" s="5"/>
      <c r="O1107" s="5"/>
    </row>
    <row r="1108" spans="1:15" x14ac:dyDescent="0.3">
      <c r="A1108" s="122" t="s">
        <v>115</v>
      </c>
      <c r="B1108" s="127" t="s">
        <v>69</v>
      </c>
      <c r="C1108" s="32">
        <v>13884</v>
      </c>
      <c r="D1108" s="104"/>
      <c r="E1108" s="32">
        <v>194000</v>
      </c>
      <c r="F1108" s="32"/>
      <c r="G1108" s="32"/>
      <c r="H1108" s="32">
        <v>17000</v>
      </c>
      <c r="I1108" s="32">
        <v>183500</v>
      </c>
      <c r="J1108" s="101">
        <f t="shared" ref="J1108" si="562">+SUM(C1108:G1108)-(H1108+I1108)</f>
        <v>7384</v>
      </c>
      <c r="K1108" s="142"/>
      <c r="L1108" s="5"/>
      <c r="M1108" s="5"/>
      <c r="N1108" s="5"/>
      <c r="O1108" s="5"/>
    </row>
    <row r="1109" spans="1:15" x14ac:dyDescent="0.3">
      <c r="A1109" s="122" t="s">
        <v>115</v>
      </c>
      <c r="B1109" s="128" t="s">
        <v>30</v>
      </c>
      <c r="C1109" s="32">
        <v>72400</v>
      </c>
      <c r="D1109" s="119"/>
      <c r="E1109" s="51">
        <v>599900</v>
      </c>
      <c r="F1109" s="51"/>
      <c r="G1109" s="51"/>
      <c r="H1109" s="51"/>
      <c r="I1109" s="51">
        <v>611000</v>
      </c>
      <c r="J1109" s="124">
        <f>+SUM(C1109:G1109)-(H1109+I1109)</f>
        <v>61300</v>
      </c>
      <c r="K1109" s="142"/>
      <c r="L1109" s="5"/>
      <c r="M1109" s="5"/>
      <c r="N1109" s="5"/>
      <c r="O1109" s="5"/>
    </row>
    <row r="1110" spans="1:15" x14ac:dyDescent="0.3">
      <c r="A1110" s="122" t="s">
        <v>115</v>
      </c>
      <c r="B1110" s="129" t="s">
        <v>84</v>
      </c>
      <c r="C1110" s="120">
        <v>233614</v>
      </c>
      <c r="D1110" s="123"/>
      <c r="E1110" s="137"/>
      <c r="F1110" s="137"/>
      <c r="G1110" s="137"/>
      <c r="H1110" s="137"/>
      <c r="I1110" s="137"/>
      <c r="J1110" s="121">
        <f>+SUM(C1110:G1110)-(H1110+I1110)</f>
        <v>233614</v>
      </c>
      <c r="K1110" s="142"/>
      <c r="L1110" s="5"/>
      <c r="M1110" s="5"/>
      <c r="N1110" s="5"/>
      <c r="O1110" s="5"/>
    </row>
    <row r="1111" spans="1:15" x14ac:dyDescent="0.3">
      <c r="A1111" s="122" t="s">
        <v>115</v>
      </c>
      <c r="B1111" s="129" t="s">
        <v>83</v>
      </c>
      <c r="C1111" s="120">
        <v>249769</v>
      </c>
      <c r="D1111" s="123"/>
      <c r="E1111" s="137"/>
      <c r="F1111" s="137"/>
      <c r="G1111" s="137"/>
      <c r="H1111" s="137"/>
      <c r="I1111" s="137"/>
      <c r="J1111" s="121">
        <f t="shared" ref="J1111:J1118" si="563">+SUM(C1111:G1111)-(H1111+I1111)</f>
        <v>249769</v>
      </c>
      <c r="K1111" s="142"/>
      <c r="L1111" s="5"/>
      <c r="M1111" s="5"/>
      <c r="N1111" s="5"/>
      <c r="O1111" s="5"/>
    </row>
    <row r="1112" spans="1:15" x14ac:dyDescent="0.3">
      <c r="A1112" s="122" t="s">
        <v>115</v>
      </c>
      <c r="B1112" s="127" t="s">
        <v>35</v>
      </c>
      <c r="C1112" s="32">
        <v>18490</v>
      </c>
      <c r="D1112" s="31"/>
      <c r="E1112" s="32">
        <v>796460</v>
      </c>
      <c r="F1112" s="32">
        <v>61600</v>
      </c>
      <c r="G1112" s="104"/>
      <c r="H1112" s="104"/>
      <c r="I1112" s="32">
        <v>872050</v>
      </c>
      <c r="J1112" s="30">
        <f t="shared" si="563"/>
        <v>4500</v>
      </c>
      <c r="K1112" s="142"/>
      <c r="L1112" s="5"/>
      <c r="M1112" s="5"/>
      <c r="N1112" s="5"/>
      <c r="O1112" s="5"/>
    </row>
    <row r="1113" spans="1:15" x14ac:dyDescent="0.3">
      <c r="A1113" s="122" t="s">
        <v>115</v>
      </c>
      <c r="B1113" s="127" t="s">
        <v>93</v>
      </c>
      <c r="C1113" s="32">
        <v>4500</v>
      </c>
      <c r="D1113" s="31"/>
      <c r="E1113" s="32">
        <v>40000</v>
      </c>
      <c r="F1113" s="104"/>
      <c r="G1113" s="104"/>
      <c r="H1113" s="104"/>
      <c r="I1113" s="32">
        <v>50500</v>
      </c>
      <c r="J1113" s="30">
        <f t="shared" si="563"/>
        <v>-6000</v>
      </c>
      <c r="K1113" s="142"/>
      <c r="L1113" s="5"/>
      <c r="M1113" s="5"/>
      <c r="N1113" s="5"/>
      <c r="O1113" s="5"/>
    </row>
    <row r="1114" spans="1:15" x14ac:dyDescent="0.3">
      <c r="A1114" s="122" t="s">
        <v>115</v>
      </c>
      <c r="B1114" s="127" t="s">
        <v>29</v>
      </c>
      <c r="C1114" s="32">
        <v>44200</v>
      </c>
      <c r="D1114" s="31"/>
      <c r="E1114" s="32">
        <v>60000</v>
      </c>
      <c r="F1114" s="104"/>
      <c r="G1114" s="104"/>
      <c r="H1114" s="104"/>
      <c r="I1114" s="32">
        <v>32000</v>
      </c>
      <c r="J1114" s="30">
        <f t="shared" si="563"/>
        <v>72200</v>
      </c>
      <c r="K1114" s="142"/>
      <c r="L1114" s="5"/>
      <c r="M1114" s="5"/>
      <c r="N1114" s="5"/>
      <c r="O1114" s="5"/>
    </row>
    <row r="1115" spans="1:15" x14ac:dyDescent="0.3">
      <c r="A1115" s="122" t="s">
        <v>115</v>
      </c>
      <c r="B1115" s="127" t="s">
        <v>94</v>
      </c>
      <c r="C1115" s="32">
        <v>-851709</v>
      </c>
      <c r="D1115" s="31"/>
      <c r="E1115" s="32">
        <v>851709</v>
      </c>
      <c r="F1115" s="104"/>
      <c r="G1115" s="104"/>
      <c r="H1115" s="104"/>
      <c r="I1115" s="32"/>
      <c r="J1115" s="30">
        <f>+SUM(C1115:G1115)-(H1115+I1115)</f>
        <v>0</v>
      </c>
      <c r="K1115" s="142"/>
      <c r="L1115" s="5"/>
      <c r="M1115" s="5"/>
      <c r="N1115" s="5"/>
      <c r="O1115" s="5"/>
    </row>
    <row r="1116" spans="1:15" x14ac:dyDescent="0.3">
      <c r="A1116" s="122" t="s">
        <v>115</v>
      </c>
      <c r="B1116" s="127" t="s">
        <v>101</v>
      </c>
      <c r="C1116" s="32">
        <v>90300</v>
      </c>
      <c r="D1116" s="31"/>
      <c r="E1116" s="32">
        <v>69200</v>
      </c>
      <c r="F1116" s="104"/>
      <c r="G1116" s="104"/>
      <c r="H1116" s="104"/>
      <c r="I1116" s="32">
        <v>159500</v>
      </c>
      <c r="J1116" s="30">
        <f t="shared" si="563"/>
        <v>0</v>
      </c>
      <c r="K1116" s="142"/>
      <c r="L1116" s="5"/>
      <c r="M1116" s="5"/>
      <c r="N1116" s="5"/>
      <c r="O1116" s="5"/>
    </row>
    <row r="1117" spans="1:15" x14ac:dyDescent="0.3">
      <c r="A1117" s="122" t="s">
        <v>115</v>
      </c>
      <c r="B1117" s="127" t="s">
        <v>32</v>
      </c>
      <c r="C1117" s="32">
        <v>300</v>
      </c>
      <c r="D1117" s="31"/>
      <c r="E1117" s="32">
        <v>20000</v>
      </c>
      <c r="F1117" s="104"/>
      <c r="G1117" s="104"/>
      <c r="H1117" s="104"/>
      <c r="I1117" s="32">
        <v>11000</v>
      </c>
      <c r="J1117" s="30">
        <f t="shared" si="563"/>
        <v>9300</v>
      </c>
      <c r="K1117" s="142"/>
      <c r="L1117" s="5"/>
      <c r="M1117" s="5"/>
      <c r="N1117" s="5"/>
      <c r="O1117" s="5"/>
    </row>
    <row r="1118" spans="1:15" x14ac:dyDescent="0.3">
      <c r="A1118" s="122" t="s">
        <v>115</v>
      </c>
      <c r="B1118" s="128" t="s">
        <v>113</v>
      </c>
      <c r="C1118" s="32">
        <v>0</v>
      </c>
      <c r="D1118" s="119"/>
      <c r="E1118" s="136"/>
      <c r="F1118" s="136"/>
      <c r="G1118" s="138"/>
      <c r="H1118" s="136"/>
      <c r="I1118" s="51">
        <v>14000</v>
      </c>
      <c r="J1118" s="30">
        <f t="shared" si="563"/>
        <v>-14000</v>
      </c>
      <c r="K1118" s="142"/>
      <c r="L1118" s="5"/>
      <c r="M1118" s="5"/>
      <c r="N1118" s="5"/>
      <c r="O1118" s="5"/>
    </row>
    <row r="1119" spans="1:15" x14ac:dyDescent="0.3">
      <c r="A1119" s="34" t="s">
        <v>60</v>
      </c>
      <c r="B1119" s="35"/>
      <c r="C1119" s="35"/>
      <c r="D1119" s="35"/>
      <c r="E1119" s="35"/>
      <c r="F1119" s="35"/>
      <c r="G1119" s="35"/>
      <c r="H1119" s="35"/>
      <c r="I1119" s="35"/>
      <c r="J1119" s="36"/>
      <c r="L1119" s="5"/>
      <c r="M1119" s="5"/>
      <c r="N1119" s="5"/>
      <c r="O1119" s="5"/>
    </row>
    <row r="1120" spans="1:15" x14ac:dyDescent="0.3">
      <c r="A1120" s="122" t="s">
        <v>115</v>
      </c>
      <c r="B1120" s="37" t="s">
        <v>61</v>
      </c>
      <c r="C1120" s="38" t="e">
        <f>C977</f>
        <v>#REF!</v>
      </c>
      <c r="D1120" s="49">
        <v>5872000</v>
      </c>
      <c r="E1120" s="103"/>
      <c r="F1120" s="103"/>
      <c r="G1120" s="139"/>
      <c r="H1120" s="131">
        <v>3517119</v>
      </c>
      <c r="I1120" s="126">
        <v>1523260</v>
      </c>
      <c r="J1120" s="30" t="e">
        <f>+SUM(C1120:G1120)-(H1120+I1120)</f>
        <v>#REF!</v>
      </c>
      <c r="K1120" s="142"/>
      <c r="L1120" s="5"/>
      <c r="M1120" s="5"/>
      <c r="N1120" s="5"/>
      <c r="O1120" s="5"/>
    </row>
    <row r="1121" spans="1:15" x14ac:dyDescent="0.3">
      <c r="A1121" s="43" t="s">
        <v>62</v>
      </c>
      <c r="B1121" s="24"/>
      <c r="C1121" s="35"/>
      <c r="D1121" s="24"/>
      <c r="E1121" s="24"/>
      <c r="F1121" s="24"/>
      <c r="G1121" s="24"/>
      <c r="H1121" s="24"/>
      <c r="I1121" s="24"/>
      <c r="J1121" s="36"/>
      <c r="L1121" s="5"/>
      <c r="M1121" s="5"/>
      <c r="N1121" s="5"/>
      <c r="O1121" s="5"/>
    </row>
    <row r="1122" spans="1:15" x14ac:dyDescent="0.3">
      <c r="A1122" s="122" t="s">
        <v>115</v>
      </c>
      <c r="B1122" s="37" t="s">
        <v>63</v>
      </c>
      <c r="C1122" s="125" t="e">
        <f>#REF!</f>
        <v>#REF!</v>
      </c>
      <c r="D1122" s="132">
        <v>10380044</v>
      </c>
      <c r="E1122" s="49"/>
      <c r="F1122" s="49"/>
      <c r="G1122" s="49"/>
      <c r="H1122" s="51">
        <v>5500000</v>
      </c>
      <c r="I1122" s="53">
        <v>277455</v>
      </c>
      <c r="J1122" s="30" t="e">
        <f>+SUM(C1122:G1122)-(H1122+I1122)</f>
        <v>#REF!</v>
      </c>
      <c r="K1122" s="142"/>
      <c r="L1122" s="5"/>
      <c r="M1122" s="5"/>
      <c r="N1122" s="5"/>
      <c r="O1122" s="5"/>
    </row>
    <row r="1123" spans="1:15" x14ac:dyDescent="0.3">
      <c r="A1123" s="122" t="s">
        <v>115</v>
      </c>
      <c r="B1123" s="37" t="s">
        <v>64</v>
      </c>
      <c r="C1123" s="125" t="e">
        <f>C976</f>
        <v>#REF!</v>
      </c>
      <c r="D1123" s="49"/>
      <c r="E1123" s="48"/>
      <c r="F1123" s="48"/>
      <c r="G1123" s="48"/>
      <c r="H1123" s="32">
        <v>372000</v>
      </c>
      <c r="I1123" s="50">
        <v>4601760</v>
      </c>
      <c r="J1123" s="30" t="e">
        <f>SUM(C1123:G1123)-(H1123+I1123)</f>
        <v>#REF!</v>
      </c>
      <c r="K1123" s="142"/>
      <c r="L1123" s="5"/>
      <c r="M1123" s="5"/>
      <c r="N1123" s="5"/>
      <c r="O1123" s="5"/>
    </row>
    <row r="1124" spans="1:15" ht="15.6" x14ac:dyDescent="0.3">
      <c r="C1124" s="141" t="e">
        <f>SUM(C1104:C1123)</f>
        <v>#REF!</v>
      </c>
      <c r="I1124" s="140">
        <f>SUM(I1104:I1123)</f>
        <v>9282325</v>
      </c>
      <c r="J1124" s="105" t="e">
        <f>+SUM(J1104:J1123)</f>
        <v>#REF!</v>
      </c>
      <c r="L1124" s="5"/>
      <c r="M1124" s="5"/>
      <c r="N1124" s="5"/>
      <c r="O1124" s="5"/>
    </row>
    <row r="1125" spans="1:15" x14ac:dyDescent="0.3">
      <c r="A1125" s="14"/>
      <c r="B1125" s="15"/>
      <c r="C1125" s="12"/>
      <c r="D1125" s="12"/>
      <c r="E1125" s="13"/>
      <c r="F1125" s="12"/>
      <c r="G1125" s="12"/>
      <c r="H1125" s="12"/>
      <c r="I1125" s="12"/>
      <c r="L1125" s="5"/>
      <c r="M1125" s="5"/>
      <c r="N1125" s="5"/>
      <c r="O1125" s="5"/>
    </row>
    <row r="1126" spans="1:15" x14ac:dyDescent="0.3">
      <c r="A1126" s="16" t="s">
        <v>52</v>
      </c>
      <c r="B1126" s="16"/>
      <c r="C1126" s="16"/>
      <c r="D1126" s="17"/>
      <c r="E1126" s="17"/>
      <c r="F1126" s="17"/>
      <c r="G1126" s="17"/>
      <c r="H1126" s="17"/>
      <c r="I1126" s="17"/>
      <c r="L1126" s="5"/>
      <c r="M1126" s="5"/>
      <c r="N1126" s="5"/>
      <c r="O1126" s="5"/>
    </row>
    <row r="1127" spans="1:15" x14ac:dyDescent="0.3">
      <c r="A1127" s="18" t="s">
        <v>109</v>
      </c>
      <c r="B1127" s="18"/>
      <c r="C1127" s="18"/>
      <c r="D1127" s="18"/>
      <c r="E1127" s="18"/>
      <c r="F1127" s="18"/>
      <c r="G1127" s="18"/>
      <c r="H1127" s="18"/>
      <c r="I1127" s="18"/>
      <c r="J1127" s="17"/>
      <c r="L1127" s="5"/>
      <c r="M1127" s="5"/>
      <c r="N1127" s="5"/>
      <c r="O1127" s="5"/>
    </row>
    <row r="1128" spans="1:15" x14ac:dyDescent="0.3">
      <c r="A1128" s="19"/>
      <c r="B1128" s="17"/>
      <c r="C1128" s="20"/>
      <c r="D1128" s="20"/>
      <c r="E1128" s="20"/>
      <c r="F1128" s="20"/>
      <c r="G1128" s="20"/>
      <c r="H1128" s="17"/>
      <c r="I1128" s="17"/>
      <c r="J1128" s="18"/>
      <c r="L1128" s="5"/>
      <c r="M1128" s="5"/>
      <c r="N1128" s="5"/>
      <c r="O1128" s="5"/>
    </row>
    <row r="1129" spans="1:15" x14ac:dyDescent="0.3">
      <c r="A1129" s="315" t="s">
        <v>53</v>
      </c>
      <c r="B1129" s="317" t="s">
        <v>54</v>
      </c>
      <c r="C1129" s="319" t="s">
        <v>110</v>
      </c>
      <c r="D1129" s="321" t="s">
        <v>55</v>
      </c>
      <c r="E1129" s="322"/>
      <c r="F1129" s="322"/>
      <c r="G1129" s="323"/>
      <c r="H1129" s="324" t="s">
        <v>56</v>
      </c>
      <c r="I1129" s="311" t="s">
        <v>57</v>
      </c>
      <c r="J1129" s="17"/>
      <c r="L1129" s="5"/>
      <c r="M1129" s="5"/>
      <c r="N1129" s="5"/>
      <c r="O1129" s="5"/>
    </row>
    <row r="1130" spans="1:15" x14ac:dyDescent="0.3">
      <c r="A1130" s="316"/>
      <c r="B1130" s="318"/>
      <c r="C1130" s="320"/>
      <c r="D1130" s="21" t="s">
        <v>24</v>
      </c>
      <c r="E1130" s="21" t="s">
        <v>25</v>
      </c>
      <c r="F1130" s="22" t="s">
        <v>112</v>
      </c>
      <c r="G1130" s="21" t="s">
        <v>58</v>
      </c>
      <c r="H1130" s="325"/>
      <c r="I1130" s="312"/>
      <c r="J1130" s="313" t="s">
        <v>111</v>
      </c>
      <c r="L1130" s="5"/>
      <c r="M1130" s="5"/>
      <c r="N1130" s="5"/>
      <c r="O1130" s="5"/>
    </row>
    <row r="1131" spans="1:15" x14ac:dyDescent="0.3">
      <c r="A1131" s="23"/>
      <c r="B1131" s="24" t="s">
        <v>59</v>
      </c>
      <c r="C1131" s="25"/>
      <c r="D1131" s="25"/>
      <c r="E1131" s="25"/>
      <c r="F1131" s="25"/>
      <c r="G1131" s="25"/>
      <c r="H1131" s="25"/>
      <c r="I1131" s="26"/>
      <c r="J1131" s="314"/>
      <c r="L1131" s="5"/>
      <c r="M1131" s="5"/>
      <c r="N1131" s="5"/>
      <c r="O1131" s="5"/>
    </row>
    <row r="1132" spans="1:15" x14ac:dyDescent="0.3">
      <c r="A1132" s="122" t="s">
        <v>108</v>
      </c>
      <c r="B1132" s="127" t="s">
        <v>76</v>
      </c>
      <c r="C1132" s="32">
        <v>-11330</v>
      </c>
      <c r="D1132" s="31"/>
      <c r="E1132" s="32">
        <v>201400</v>
      </c>
      <c r="F1132" s="32">
        <v>184300</v>
      </c>
      <c r="G1132" s="32"/>
      <c r="H1132" s="55"/>
      <c r="I1132" s="32">
        <v>370700</v>
      </c>
      <c r="J1132" s="30">
        <f>+SUM(C1132:G1132)-(H1132+I1132)</f>
        <v>3670</v>
      </c>
      <c r="K1132" s="68"/>
      <c r="L1132" s="5"/>
      <c r="M1132" s="5"/>
      <c r="N1132" s="5"/>
      <c r="O1132" s="5"/>
    </row>
    <row r="1133" spans="1:15" x14ac:dyDescent="0.3">
      <c r="A1133" s="122" t="s">
        <v>108</v>
      </c>
      <c r="B1133" s="127" t="s">
        <v>47</v>
      </c>
      <c r="C1133" s="32">
        <v>8260</v>
      </c>
      <c r="D1133" s="31"/>
      <c r="E1133" s="32">
        <v>357900</v>
      </c>
      <c r="F1133" s="32"/>
      <c r="G1133" s="32"/>
      <c r="H1133" s="55">
        <v>50000</v>
      </c>
      <c r="I1133" s="32">
        <v>316700</v>
      </c>
      <c r="J1133" s="30">
        <f t="shared" ref="J1133:J1134" si="564">+SUM(C1133:G1133)-(H1133+I1133)</f>
        <v>-540</v>
      </c>
      <c r="K1133" s="68"/>
      <c r="L1133" s="5"/>
      <c r="M1133" s="5"/>
      <c r="N1133" s="5"/>
      <c r="O1133" s="5"/>
    </row>
    <row r="1134" spans="1:15" x14ac:dyDescent="0.3">
      <c r="A1134" s="122" t="s">
        <v>108</v>
      </c>
      <c r="B1134" s="127" t="s">
        <v>31</v>
      </c>
      <c r="C1134" s="32">
        <v>3795</v>
      </c>
      <c r="D1134" s="31"/>
      <c r="E1134" s="32">
        <v>20000</v>
      </c>
      <c r="F1134" s="32"/>
      <c r="G1134" s="32"/>
      <c r="H1134" s="32"/>
      <c r="I1134" s="32">
        <v>21400</v>
      </c>
      <c r="J1134" s="101">
        <f t="shared" si="564"/>
        <v>2395</v>
      </c>
      <c r="K1134" s="68"/>
      <c r="L1134" s="5"/>
      <c r="M1134" s="5"/>
      <c r="N1134" s="5"/>
      <c r="O1134" s="5"/>
    </row>
    <row r="1135" spans="1:15" x14ac:dyDescent="0.3">
      <c r="A1135" s="122" t="s">
        <v>108</v>
      </c>
      <c r="B1135" s="127" t="s">
        <v>77</v>
      </c>
      <c r="C1135" s="32">
        <v>-83100</v>
      </c>
      <c r="D1135" s="104"/>
      <c r="E1135" s="32">
        <v>699200</v>
      </c>
      <c r="F1135" s="32"/>
      <c r="G1135" s="32"/>
      <c r="H1135" s="32"/>
      <c r="I1135" s="32">
        <v>520000</v>
      </c>
      <c r="J1135" s="101">
        <f>+SUM(C1135:G1135)-(H1135+I1135)</f>
        <v>96100</v>
      </c>
      <c r="K1135" s="68"/>
      <c r="L1135" s="5"/>
      <c r="M1135" s="5"/>
      <c r="N1135" s="5"/>
      <c r="O1135" s="5"/>
    </row>
    <row r="1136" spans="1:15" x14ac:dyDescent="0.3">
      <c r="A1136" s="122" t="s">
        <v>108</v>
      </c>
      <c r="B1136" s="127" t="s">
        <v>69</v>
      </c>
      <c r="C1136" s="32">
        <v>1784</v>
      </c>
      <c r="D1136" s="104"/>
      <c r="E1136" s="32">
        <v>568600</v>
      </c>
      <c r="F1136" s="32">
        <v>50000</v>
      </c>
      <c r="G1136" s="32"/>
      <c r="H1136" s="32">
        <v>184300</v>
      </c>
      <c r="I1136" s="32">
        <v>422200</v>
      </c>
      <c r="J1136" s="101">
        <f t="shared" ref="J1136" si="565">+SUM(C1136:G1136)-(H1136+I1136)</f>
        <v>13884</v>
      </c>
      <c r="K1136" s="68"/>
      <c r="L1136" s="5"/>
      <c r="M1136" s="5"/>
      <c r="N1136" s="5"/>
      <c r="O1136" s="5"/>
    </row>
    <row r="1137" spans="1:15" x14ac:dyDescent="0.3">
      <c r="A1137" s="122" t="s">
        <v>108</v>
      </c>
      <c r="B1137" s="128" t="s">
        <v>30</v>
      </c>
      <c r="C1137" s="32">
        <v>88800</v>
      </c>
      <c r="D1137" s="119"/>
      <c r="E1137" s="51">
        <v>694600</v>
      </c>
      <c r="F1137" s="51"/>
      <c r="G1137" s="51"/>
      <c r="H1137" s="51"/>
      <c r="I1137" s="51">
        <v>711000</v>
      </c>
      <c r="J1137" s="124">
        <f>+SUM(C1137:G1137)-(H1137+I1137)</f>
        <v>72400</v>
      </c>
      <c r="K1137" s="68"/>
      <c r="L1137" s="5"/>
      <c r="M1137" s="5"/>
      <c r="N1137" s="5"/>
      <c r="O1137" s="5"/>
    </row>
    <row r="1138" spans="1:15" x14ac:dyDescent="0.3">
      <c r="A1138" s="122" t="s">
        <v>108</v>
      </c>
      <c r="B1138" s="129" t="s">
        <v>84</v>
      </c>
      <c r="C1138" s="120">
        <v>233614</v>
      </c>
      <c r="D1138" s="123"/>
      <c r="E1138" s="137"/>
      <c r="F1138" s="137"/>
      <c r="G1138" s="137"/>
      <c r="H1138" s="137"/>
      <c r="I1138" s="137"/>
      <c r="J1138" s="121">
        <f>+SUM(C1138:G1138)-(H1138+I1138)</f>
        <v>233614</v>
      </c>
      <c r="K1138" s="68"/>
      <c r="L1138" s="5"/>
      <c r="M1138" s="5"/>
      <c r="N1138" s="5"/>
      <c r="O1138" s="5"/>
    </row>
    <row r="1139" spans="1:15" x14ac:dyDescent="0.3">
      <c r="A1139" s="122" t="s">
        <v>108</v>
      </c>
      <c r="B1139" s="129" t="s">
        <v>83</v>
      </c>
      <c r="C1139" s="120">
        <v>249769</v>
      </c>
      <c r="D1139" s="123"/>
      <c r="E1139" s="137"/>
      <c r="F1139" s="137"/>
      <c r="G1139" s="137"/>
      <c r="H1139" s="137"/>
      <c r="I1139" s="137"/>
      <c r="J1139" s="121">
        <f t="shared" ref="J1139:J1143" si="566">+SUM(C1139:G1139)-(H1139+I1139)</f>
        <v>249769</v>
      </c>
      <c r="K1139" s="68"/>
      <c r="L1139" s="5"/>
      <c r="M1139" s="5"/>
      <c r="N1139" s="5"/>
      <c r="O1139" s="5"/>
    </row>
    <row r="1140" spans="1:15" x14ac:dyDescent="0.3">
      <c r="A1140" s="122" t="s">
        <v>108</v>
      </c>
      <c r="B1140" s="127" t="s">
        <v>35</v>
      </c>
      <c r="C1140" s="32">
        <v>7890</v>
      </c>
      <c r="D1140" s="31"/>
      <c r="E1140" s="32">
        <v>135600</v>
      </c>
      <c r="F1140" s="104"/>
      <c r="G1140" s="104"/>
      <c r="H1140" s="104"/>
      <c r="I1140" s="32">
        <v>125000</v>
      </c>
      <c r="J1140" s="30">
        <f t="shared" si="566"/>
        <v>18490</v>
      </c>
      <c r="K1140" s="68"/>
      <c r="L1140" s="5"/>
      <c r="M1140" s="5"/>
      <c r="N1140" s="5"/>
      <c r="O1140" s="5"/>
    </row>
    <row r="1141" spans="1:15" x14ac:dyDescent="0.3">
      <c r="A1141" s="122" t="s">
        <v>108</v>
      </c>
      <c r="B1141" s="127" t="s">
        <v>93</v>
      </c>
      <c r="C1141" s="32">
        <v>5000</v>
      </c>
      <c r="D1141" s="31"/>
      <c r="E1141" s="32">
        <v>30000</v>
      </c>
      <c r="F1141" s="104"/>
      <c r="G1141" s="104"/>
      <c r="H1141" s="104"/>
      <c r="I1141" s="32">
        <v>30500</v>
      </c>
      <c r="J1141" s="30">
        <f t="shared" si="566"/>
        <v>4500</v>
      </c>
      <c r="K1141" s="68"/>
      <c r="L1141" s="5"/>
      <c r="M1141" s="5"/>
      <c r="N1141" s="5"/>
      <c r="O1141" s="5"/>
    </row>
    <row r="1142" spans="1:15" x14ac:dyDescent="0.3">
      <c r="A1142" s="122" t="s">
        <v>108</v>
      </c>
      <c r="B1142" s="127" t="s">
        <v>29</v>
      </c>
      <c r="C1142" s="32">
        <v>57700</v>
      </c>
      <c r="D1142" s="31"/>
      <c r="E1142" s="32">
        <v>639000</v>
      </c>
      <c r="F1142" s="104"/>
      <c r="G1142" s="104"/>
      <c r="H1142" s="104"/>
      <c r="I1142" s="32">
        <v>652500</v>
      </c>
      <c r="J1142" s="30">
        <f t="shared" si="566"/>
        <v>44200</v>
      </c>
      <c r="K1142" s="68"/>
      <c r="L1142" s="5"/>
      <c r="M1142" s="5"/>
      <c r="N1142" s="5"/>
      <c r="O1142" s="5"/>
    </row>
    <row r="1143" spans="1:15" x14ac:dyDescent="0.3">
      <c r="A1143" s="122" t="s">
        <v>108</v>
      </c>
      <c r="B1143" s="127" t="s">
        <v>94</v>
      </c>
      <c r="C1143" s="32">
        <v>-32081</v>
      </c>
      <c r="D1143" s="31"/>
      <c r="E1143" s="104"/>
      <c r="F1143" s="104"/>
      <c r="G1143" s="104"/>
      <c r="H1143" s="104"/>
      <c r="I1143" s="32">
        <v>819628</v>
      </c>
      <c r="J1143" s="30">
        <f t="shared" si="566"/>
        <v>-851709</v>
      </c>
      <c r="K1143" s="68"/>
      <c r="L1143" s="5"/>
      <c r="M1143" s="5"/>
      <c r="N1143" s="5"/>
      <c r="O1143" s="5"/>
    </row>
    <row r="1144" spans="1:15" x14ac:dyDescent="0.3">
      <c r="A1144" s="122" t="s">
        <v>108</v>
      </c>
      <c r="B1144" s="127" t="s">
        <v>101</v>
      </c>
      <c r="C1144" s="32">
        <v>62000</v>
      </c>
      <c r="D1144" s="31"/>
      <c r="E1144" s="32">
        <v>622600</v>
      </c>
      <c r="F1144" s="104"/>
      <c r="G1144" s="104"/>
      <c r="H1144" s="104"/>
      <c r="I1144" s="32">
        <v>594300</v>
      </c>
      <c r="J1144" s="30">
        <f>+SUM(C1144:G1144)-(H1144+I1144)</f>
        <v>90300</v>
      </c>
      <c r="K1144" s="68"/>
      <c r="L1144" s="5"/>
      <c r="M1144" s="5"/>
      <c r="N1144" s="5"/>
      <c r="O1144" s="5"/>
    </row>
    <row r="1145" spans="1:15" x14ac:dyDescent="0.3">
      <c r="A1145" s="122" t="s">
        <v>108</v>
      </c>
      <c r="B1145" s="128" t="s">
        <v>32</v>
      </c>
      <c r="C1145" s="32">
        <v>4300</v>
      </c>
      <c r="D1145" s="119"/>
      <c r="E1145" s="136"/>
      <c r="F1145" s="136"/>
      <c r="G1145" s="138"/>
      <c r="H1145" s="136"/>
      <c r="I1145" s="51">
        <v>4000</v>
      </c>
      <c r="J1145" s="30">
        <f t="shared" ref="J1145" si="567">+SUM(C1145:G1145)-(H1145+I1145)</f>
        <v>300</v>
      </c>
      <c r="K1145" s="68"/>
      <c r="L1145" s="5"/>
      <c r="M1145" s="5"/>
      <c r="N1145" s="5"/>
      <c r="O1145" s="5"/>
    </row>
    <row r="1146" spans="1:15" x14ac:dyDescent="0.3">
      <c r="A1146" s="34" t="s">
        <v>60</v>
      </c>
      <c r="B1146" s="35"/>
      <c r="C1146" s="35"/>
      <c r="D1146" s="35"/>
      <c r="E1146" s="35"/>
      <c r="F1146" s="35"/>
      <c r="G1146" s="35"/>
      <c r="H1146" s="35"/>
      <c r="I1146" s="35"/>
      <c r="J1146" s="36"/>
      <c r="K1146" s="68"/>
      <c r="L1146" s="5"/>
      <c r="M1146" s="5"/>
      <c r="N1146" s="5"/>
      <c r="O1146" s="5"/>
    </row>
    <row r="1147" spans="1:15" x14ac:dyDescent="0.3">
      <c r="A1147" s="122" t="s">
        <v>108</v>
      </c>
      <c r="B1147" s="37" t="s">
        <v>61</v>
      </c>
      <c r="C1147" s="38">
        <v>62150</v>
      </c>
      <c r="D1147" s="49">
        <v>5500000</v>
      </c>
      <c r="E1147" s="103"/>
      <c r="F1147" s="103"/>
      <c r="G1147" s="139"/>
      <c r="H1147" s="131">
        <v>3968900</v>
      </c>
      <c r="I1147" s="126">
        <v>1276534</v>
      </c>
      <c r="J1147" s="30">
        <f>+SUM(C1147:G1147)-(H1147+I1147)</f>
        <v>316716</v>
      </c>
      <c r="K1147" s="68"/>
      <c r="L1147" s="5"/>
      <c r="M1147" s="5"/>
      <c r="N1147" s="5"/>
      <c r="O1147" s="5"/>
    </row>
    <row r="1148" spans="1:15" x14ac:dyDescent="0.3">
      <c r="A1148" s="43" t="s">
        <v>62</v>
      </c>
      <c r="B1148" s="24"/>
      <c r="C1148" s="35"/>
      <c r="D1148" s="24"/>
      <c r="E1148" s="24"/>
      <c r="F1148" s="24"/>
      <c r="G1148" s="24"/>
      <c r="H1148" s="24"/>
      <c r="I1148" s="24"/>
      <c r="J1148" s="36"/>
      <c r="L1148" s="5"/>
      <c r="M1148" s="5"/>
      <c r="N1148" s="5"/>
      <c r="O1148" s="5"/>
    </row>
    <row r="1149" spans="1:15" x14ac:dyDescent="0.3">
      <c r="A1149" s="122" t="s">
        <v>108</v>
      </c>
      <c r="B1149" s="37" t="s">
        <v>63</v>
      </c>
      <c r="C1149" s="125">
        <v>11284555</v>
      </c>
      <c r="D1149" s="132"/>
      <c r="E1149" s="49"/>
      <c r="F1149" s="49"/>
      <c r="G1149" s="49"/>
      <c r="H1149" s="51">
        <v>5500000</v>
      </c>
      <c r="I1149" s="53">
        <v>273881</v>
      </c>
      <c r="J1149" s="30">
        <f>+SUM(C1149:G1149)-(H1149+I1149)</f>
        <v>5510674</v>
      </c>
      <c r="K1149" s="68"/>
      <c r="L1149" s="5"/>
      <c r="M1149" s="5"/>
      <c r="N1149" s="5"/>
      <c r="O1149" s="5"/>
    </row>
    <row r="1150" spans="1:15" x14ac:dyDescent="0.3">
      <c r="A1150" s="122" t="s">
        <v>108</v>
      </c>
      <c r="B1150" s="37" t="s">
        <v>64</v>
      </c>
      <c r="C1150" s="125">
        <v>2158645</v>
      </c>
      <c r="D1150" s="49">
        <v>15435980</v>
      </c>
      <c r="E1150" s="48"/>
      <c r="F1150" s="48"/>
      <c r="G1150" s="48"/>
      <c r="H1150" s="32"/>
      <c r="I1150" s="50">
        <v>6400961</v>
      </c>
      <c r="J1150" s="30">
        <f>SUM(C1150:G1150)-(H1150+I1150)</f>
        <v>11193664</v>
      </c>
      <c r="K1150" s="68"/>
      <c r="L1150" s="5"/>
      <c r="M1150" s="5"/>
      <c r="N1150" s="5"/>
      <c r="O1150" s="5"/>
    </row>
    <row r="1151" spans="1:15" ht="15.6" x14ac:dyDescent="0.3">
      <c r="C1151" s="141">
        <f>SUM(C1132:C1150)</f>
        <v>14101751</v>
      </c>
      <c r="I1151" s="140">
        <f>SUM(I1132:I1150)</f>
        <v>12539304</v>
      </c>
      <c r="J1151" s="105">
        <f>+SUM(J1132:J1150)</f>
        <v>16998427</v>
      </c>
      <c r="L1151" s="5"/>
      <c r="M1151" s="5"/>
      <c r="N1151" s="5"/>
      <c r="O1151" s="5"/>
    </row>
    <row r="1152" spans="1:15" x14ac:dyDescent="0.3">
      <c r="A1152" s="10"/>
      <c r="B1152" s="11"/>
      <c r="C1152" s="12"/>
      <c r="D1152" s="12"/>
      <c r="E1152" s="12"/>
      <c r="F1152" s="12"/>
      <c r="G1152" s="12"/>
      <c r="H1152" s="12"/>
      <c r="I1152" s="12"/>
      <c r="J1152" s="133"/>
      <c r="L1152" s="5"/>
      <c r="M1152" s="5"/>
      <c r="N1152" s="5"/>
      <c r="O1152" s="5"/>
    </row>
    <row r="1153" spans="1:15" x14ac:dyDescent="0.3">
      <c r="A1153" s="14"/>
      <c r="B1153" s="15"/>
      <c r="C1153" s="12"/>
      <c r="D1153" s="12"/>
      <c r="E1153" s="13"/>
      <c r="F1153" s="12"/>
      <c r="G1153" s="12"/>
      <c r="H1153" s="12"/>
      <c r="I1153" s="12"/>
      <c r="L1153" s="5"/>
      <c r="M1153" s="5"/>
      <c r="N1153" s="5"/>
      <c r="O1153" s="5"/>
    </row>
    <row r="1154" spans="1:15" x14ac:dyDescent="0.3">
      <c r="A1154" s="16" t="s">
        <v>52</v>
      </c>
      <c r="B1154" s="16"/>
      <c r="C1154" s="16"/>
      <c r="D1154" s="17"/>
      <c r="E1154" s="17"/>
      <c r="F1154" s="17"/>
      <c r="G1154" s="17"/>
      <c r="H1154" s="17"/>
      <c r="I1154" s="17"/>
      <c r="L1154" s="5"/>
      <c r="M1154" s="5"/>
      <c r="N1154" s="5"/>
      <c r="O1154" s="5"/>
    </row>
    <row r="1155" spans="1:15" x14ac:dyDescent="0.3">
      <c r="A1155" s="18" t="s">
        <v>106</v>
      </c>
      <c r="B1155" s="18"/>
      <c r="C1155" s="18"/>
      <c r="D1155" s="18"/>
      <c r="E1155" s="18"/>
      <c r="F1155" s="18"/>
      <c r="G1155" s="18"/>
      <c r="H1155" s="18"/>
      <c r="I1155" s="18"/>
      <c r="J1155" s="17"/>
      <c r="L1155" s="5"/>
      <c r="M1155" s="5"/>
      <c r="N1155" s="5"/>
      <c r="O1155" s="5"/>
    </row>
    <row r="1156" spans="1:15" x14ac:dyDescent="0.3">
      <c r="A1156" s="19"/>
      <c r="B1156" s="17"/>
      <c r="C1156" s="20"/>
      <c r="D1156" s="20"/>
      <c r="E1156" s="20"/>
      <c r="F1156" s="20"/>
      <c r="G1156" s="20"/>
      <c r="H1156" s="17"/>
      <c r="I1156" s="17"/>
      <c r="J1156" s="18"/>
      <c r="L1156" s="5"/>
      <c r="M1156" s="5"/>
      <c r="N1156" s="5"/>
      <c r="O1156" s="5"/>
    </row>
    <row r="1157" spans="1:15" x14ac:dyDescent="0.3">
      <c r="A1157" s="315" t="s">
        <v>53</v>
      </c>
      <c r="B1157" s="317" t="s">
        <v>54</v>
      </c>
      <c r="C1157" s="319" t="s">
        <v>104</v>
      </c>
      <c r="D1157" s="321" t="s">
        <v>55</v>
      </c>
      <c r="E1157" s="322"/>
      <c r="F1157" s="322"/>
      <c r="G1157" s="323"/>
      <c r="H1157" s="324" t="s">
        <v>56</v>
      </c>
      <c r="I1157" s="311" t="s">
        <v>57</v>
      </c>
      <c r="J1157" s="17"/>
      <c r="L1157" s="5"/>
      <c r="M1157" s="5"/>
      <c r="N1157" s="5"/>
      <c r="O1157" s="5"/>
    </row>
    <row r="1158" spans="1:15" x14ac:dyDescent="0.3">
      <c r="A1158" s="316"/>
      <c r="B1158" s="318"/>
      <c r="C1158" s="320"/>
      <c r="D1158" s="21" t="s">
        <v>24</v>
      </c>
      <c r="E1158" s="21" t="s">
        <v>25</v>
      </c>
      <c r="F1158" s="22" t="s">
        <v>107</v>
      </c>
      <c r="G1158" s="21" t="s">
        <v>58</v>
      </c>
      <c r="H1158" s="325"/>
      <c r="I1158" s="312"/>
      <c r="J1158" s="313" t="s">
        <v>105</v>
      </c>
      <c r="L1158" s="5"/>
      <c r="M1158" s="5"/>
      <c r="N1158" s="5"/>
      <c r="O1158" s="5"/>
    </row>
    <row r="1159" spans="1:15" x14ac:dyDescent="0.3">
      <c r="A1159" s="23"/>
      <c r="B1159" s="24" t="s">
        <v>59</v>
      </c>
      <c r="C1159" s="25"/>
      <c r="D1159" s="25"/>
      <c r="E1159" s="25"/>
      <c r="F1159" s="25"/>
      <c r="G1159" s="25"/>
      <c r="H1159" s="25"/>
      <c r="I1159" s="26"/>
      <c r="J1159" s="314"/>
      <c r="L1159" s="5"/>
      <c r="M1159" s="5"/>
      <c r="N1159" s="5"/>
      <c r="O1159" s="5"/>
    </row>
    <row r="1160" spans="1:15" x14ac:dyDescent="0.3">
      <c r="A1160" s="122" t="s">
        <v>103</v>
      </c>
      <c r="B1160" s="127" t="s">
        <v>76</v>
      </c>
      <c r="C1160" s="32">
        <v>22200</v>
      </c>
      <c r="D1160" s="31"/>
      <c r="E1160" s="32">
        <v>439970</v>
      </c>
      <c r="F1160" s="104"/>
      <c r="G1160" s="104"/>
      <c r="H1160" s="135"/>
      <c r="I1160" s="32">
        <v>473500</v>
      </c>
      <c r="J1160" s="30">
        <f>+SUM(C1160:G1160)-(H1160+I1160)</f>
        <v>-11330</v>
      </c>
      <c r="K1160" s="68"/>
      <c r="L1160" s="5"/>
      <c r="M1160" s="5"/>
      <c r="N1160" s="5"/>
      <c r="O1160" s="5"/>
    </row>
    <row r="1161" spans="1:15" x14ac:dyDescent="0.3">
      <c r="A1161" s="122" t="s">
        <v>103</v>
      </c>
      <c r="B1161" s="127" t="s">
        <v>47</v>
      </c>
      <c r="C1161" s="32">
        <v>3060</v>
      </c>
      <c r="D1161" s="31"/>
      <c r="E1161" s="32">
        <v>157200</v>
      </c>
      <c r="F1161" s="32"/>
      <c r="G1161" s="32"/>
      <c r="H1161" s="55"/>
      <c r="I1161" s="32">
        <v>152000</v>
      </c>
      <c r="J1161" s="30">
        <f t="shared" ref="J1161:J1162" si="568">+SUM(C1161:G1161)-(H1161+I1161)</f>
        <v>8260</v>
      </c>
      <c r="K1161" s="68"/>
      <c r="L1161" s="5"/>
      <c r="M1161" s="5"/>
      <c r="N1161" s="5"/>
      <c r="O1161" s="5"/>
    </row>
    <row r="1162" spans="1:15" x14ac:dyDescent="0.3">
      <c r="A1162" s="122" t="s">
        <v>103</v>
      </c>
      <c r="B1162" s="127" t="s">
        <v>31</v>
      </c>
      <c r="C1162" s="32">
        <v>3795</v>
      </c>
      <c r="D1162" s="31"/>
      <c r="E1162" s="32">
        <v>45000</v>
      </c>
      <c r="F1162" s="32"/>
      <c r="G1162" s="32"/>
      <c r="H1162" s="32"/>
      <c r="I1162" s="32">
        <v>45000</v>
      </c>
      <c r="J1162" s="101">
        <f t="shared" si="568"/>
        <v>3795</v>
      </c>
      <c r="K1162" s="68"/>
      <c r="L1162" s="5"/>
      <c r="M1162" s="5"/>
      <c r="N1162" s="5"/>
      <c r="O1162" s="5"/>
    </row>
    <row r="1163" spans="1:15" x14ac:dyDescent="0.3">
      <c r="A1163" s="122" t="s">
        <v>103</v>
      </c>
      <c r="B1163" s="127" t="s">
        <v>77</v>
      </c>
      <c r="C1163" s="32">
        <v>2300</v>
      </c>
      <c r="D1163" s="104"/>
      <c r="E1163" s="32">
        <v>266600</v>
      </c>
      <c r="F1163" s="32">
        <v>159900</v>
      </c>
      <c r="G1163" s="32"/>
      <c r="H1163" s="32">
        <v>25000</v>
      </c>
      <c r="I1163" s="32">
        <v>486900</v>
      </c>
      <c r="J1163" s="101">
        <f>+SUM(C1163:G1163)-(H1163+I1163)</f>
        <v>-83100</v>
      </c>
      <c r="K1163" s="68"/>
      <c r="L1163" s="5"/>
      <c r="M1163" s="5"/>
      <c r="N1163" s="5"/>
      <c r="O1163" s="5"/>
    </row>
    <row r="1164" spans="1:15" x14ac:dyDescent="0.3">
      <c r="A1164" s="122" t="s">
        <v>103</v>
      </c>
      <c r="B1164" s="127" t="s">
        <v>69</v>
      </c>
      <c r="C1164" s="32">
        <v>-14216</v>
      </c>
      <c r="D1164" s="104"/>
      <c r="E1164" s="32">
        <v>622600</v>
      </c>
      <c r="F1164" s="32">
        <v>25000</v>
      </c>
      <c r="G1164" s="32"/>
      <c r="H1164" s="32">
        <v>260700</v>
      </c>
      <c r="I1164" s="32">
        <v>370900</v>
      </c>
      <c r="J1164" s="101">
        <f>+SUM(C1164:G1164)-(H1164+I1164)</f>
        <v>1784</v>
      </c>
      <c r="K1164" s="68"/>
      <c r="L1164" s="5"/>
      <c r="M1164" s="5"/>
      <c r="N1164" s="5"/>
      <c r="O1164" s="5"/>
    </row>
    <row r="1165" spans="1:15" x14ac:dyDescent="0.3">
      <c r="A1165" s="122" t="s">
        <v>103</v>
      </c>
      <c r="B1165" s="128" t="s">
        <v>30</v>
      </c>
      <c r="C1165" s="51">
        <v>143300</v>
      </c>
      <c r="D1165" s="119"/>
      <c r="E1165" s="51">
        <v>466500</v>
      </c>
      <c r="F1165" s="136"/>
      <c r="G1165" s="136"/>
      <c r="H1165" s="136"/>
      <c r="I1165" s="51">
        <v>521000</v>
      </c>
      <c r="J1165" s="124">
        <f>+SUM(C1165:G1165)-(H1165+I1165)</f>
        <v>88800</v>
      </c>
      <c r="K1165" s="68"/>
      <c r="L1165" s="5"/>
      <c r="M1165" s="5"/>
      <c r="N1165" s="5"/>
      <c r="O1165" s="5"/>
    </row>
    <row r="1166" spans="1:15" x14ac:dyDescent="0.3">
      <c r="A1166" s="122" t="s">
        <v>103</v>
      </c>
      <c r="B1166" s="129" t="s">
        <v>84</v>
      </c>
      <c r="C1166" s="120">
        <v>233614</v>
      </c>
      <c r="D1166" s="123"/>
      <c r="E1166" s="137"/>
      <c r="F1166" s="137"/>
      <c r="G1166" s="137"/>
      <c r="H1166" s="137"/>
      <c r="I1166" s="137"/>
      <c r="J1166" s="121">
        <f>+SUM(C1166:G1166)-(H1166+I1166)</f>
        <v>233614</v>
      </c>
      <c r="K1166" s="68"/>
      <c r="L1166" s="5"/>
      <c r="M1166" s="5"/>
      <c r="N1166" s="5"/>
      <c r="O1166" s="5"/>
    </row>
    <row r="1167" spans="1:15" x14ac:dyDescent="0.3">
      <c r="A1167" s="122" t="s">
        <v>103</v>
      </c>
      <c r="B1167" s="129" t="s">
        <v>83</v>
      </c>
      <c r="C1167" s="120">
        <v>249768</v>
      </c>
      <c r="D1167" s="123"/>
      <c r="E1167" s="137"/>
      <c r="F1167" s="137"/>
      <c r="G1167" s="137"/>
      <c r="H1167" s="137"/>
      <c r="I1167" s="137"/>
      <c r="J1167" s="121">
        <f t="shared" ref="J1167:J1173" si="569">+SUM(C1167:G1167)-(H1167+I1167)</f>
        <v>249768</v>
      </c>
      <c r="K1167" s="68"/>
      <c r="L1167" s="5"/>
      <c r="M1167" s="5"/>
      <c r="N1167" s="5"/>
      <c r="O1167" s="5"/>
    </row>
    <row r="1168" spans="1:15" x14ac:dyDescent="0.3">
      <c r="A1168" s="122" t="s">
        <v>103</v>
      </c>
      <c r="B1168" s="127" t="s">
        <v>35</v>
      </c>
      <c r="C1168" s="32">
        <v>55090</v>
      </c>
      <c r="D1168" s="31"/>
      <c r="E1168" s="32">
        <v>143000</v>
      </c>
      <c r="F1168" s="32">
        <v>70800</v>
      </c>
      <c r="G1168" s="104"/>
      <c r="H1168" s="104"/>
      <c r="I1168" s="32">
        <v>261000</v>
      </c>
      <c r="J1168" s="30">
        <f t="shared" si="569"/>
        <v>7890</v>
      </c>
      <c r="K1168" s="68"/>
      <c r="L1168" s="5"/>
      <c r="M1168" s="5"/>
      <c r="N1168" s="5"/>
      <c r="O1168" s="5"/>
    </row>
    <row r="1169" spans="1:15" x14ac:dyDescent="0.3">
      <c r="A1169" s="122" t="s">
        <v>103</v>
      </c>
      <c r="B1169" s="127" t="s">
        <v>93</v>
      </c>
      <c r="C1169" s="32">
        <v>0</v>
      </c>
      <c r="D1169" s="31"/>
      <c r="E1169" s="32">
        <v>30000</v>
      </c>
      <c r="F1169" s="104"/>
      <c r="G1169" s="104"/>
      <c r="H1169" s="104"/>
      <c r="I1169" s="32">
        <v>25000</v>
      </c>
      <c r="J1169" s="30">
        <f t="shared" si="569"/>
        <v>5000</v>
      </c>
      <c r="K1169" s="68"/>
      <c r="L1169" s="5"/>
      <c r="M1169" s="5"/>
      <c r="N1169" s="5"/>
      <c r="O1169" s="5"/>
    </row>
    <row r="1170" spans="1:15" x14ac:dyDescent="0.3">
      <c r="A1170" s="122" t="s">
        <v>103</v>
      </c>
      <c r="B1170" s="127" t="s">
        <v>29</v>
      </c>
      <c r="C1170" s="32">
        <v>110700</v>
      </c>
      <c r="D1170" s="31"/>
      <c r="E1170" s="32">
        <v>375000</v>
      </c>
      <c r="F1170" s="32">
        <v>30000</v>
      </c>
      <c r="G1170" s="104"/>
      <c r="H1170" s="104"/>
      <c r="I1170" s="32">
        <v>458000</v>
      </c>
      <c r="J1170" s="30">
        <f t="shared" si="569"/>
        <v>57700</v>
      </c>
      <c r="K1170" s="68"/>
      <c r="L1170" s="5"/>
      <c r="M1170" s="5"/>
      <c r="N1170" s="5"/>
      <c r="O1170" s="5"/>
    </row>
    <row r="1171" spans="1:15" x14ac:dyDescent="0.3">
      <c r="A1171" s="122" t="s">
        <v>103</v>
      </c>
      <c r="B1171" s="127" t="s">
        <v>94</v>
      </c>
      <c r="C1171" s="32">
        <v>-32081</v>
      </c>
      <c r="D1171" s="31"/>
      <c r="E1171" s="104">
        <v>0</v>
      </c>
      <c r="F1171" s="104"/>
      <c r="G1171" s="104"/>
      <c r="H1171" s="104"/>
      <c r="I1171" s="104">
        <v>0</v>
      </c>
      <c r="J1171" s="30">
        <f t="shared" si="569"/>
        <v>-32081</v>
      </c>
      <c r="K1171" s="68"/>
      <c r="L1171" s="5"/>
      <c r="M1171" s="5"/>
      <c r="N1171" s="5"/>
      <c r="O1171" s="5"/>
    </row>
    <row r="1172" spans="1:15" x14ac:dyDescent="0.3">
      <c r="A1172" s="122" t="s">
        <v>103</v>
      </c>
      <c r="B1172" s="127" t="s">
        <v>101</v>
      </c>
      <c r="C1172" s="32">
        <v>0</v>
      </c>
      <c r="D1172" s="31"/>
      <c r="E1172" s="32">
        <v>82000</v>
      </c>
      <c r="F1172" s="104"/>
      <c r="G1172" s="104"/>
      <c r="H1172" s="104"/>
      <c r="I1172" s="32">
        <v>20000</v>
      </c>
      <c r="J1172" s="30">
        <f>+SUM(C1172:G1172)-(H1172+I1172)</f>
        <v>62000</v>
      </c>
      <c r="K1172" s="68"/>
      <c r="L1172" s="5"/>
      <c r="M1172" s="5"/>
      <c r="N1172" s="5"/>
      <c r="O1172" s="5"/>
    </row>
    <row r="1173" spans="1:15" x14ac:dyDescent="0.3">
      <c r="A1173" s="122" t="s">
        <v>103</v>
      </c>
      <c r="B1173" s="128" t="s">
        <v>32</v>
      </c>
      <c r="C1173" s="51">
        <v>7300</v>
      </c>
      <c r="D1173" s="119"/>
      <c r="E1173" s="136"/>
      <c r="F1173" s="136"/>
      <c r="G1173" s="138"/>
      <c r="H1173" s="136"/>
      <c r="I1173" s="51">
        <v>3000</v>
      </c>
      <c r="J1173" s="30">
        <f t="shared" si="569"/>
        <v>4300</v>
      </c>
      <c r="K1173" s="68"/>
      <c r="L1173" s="5"/>
      <c r="M1173" s="5"/>
      <c r="N1173" s="5"/>
      <c r="O1173" s="5"/>
    </row>
    <row r="1174" spans="1:15" x14ac:dyDescent="0.3">
      <c r="A1174" s="34" t="s">
        <v>60</v>
      </c>
      <c r="B1174" s="35"/>
      <c r="C1174" s="35"/>
      <c r="D1174" s="35"/>
      <c r="E1174" s="35"/>
      <c r="F1174" s="35"/>
      <c r="G1174" s="35"/>
      <c r="H1174" s="35"/>
      <c r="I1174" s="35"/>
      <c r="J1174" s="36"/>
      <c r="K1174" s="68"/>
      <c r="L1174" s="5"/>
      <c r="M1174" s="5"/>
      <c r="N1174" s="5"/>
      <c r="O1174" s="5"/>
    </row>
    <row r="1175" spans="1:15" x14ac:dyDescent="0.3">
      <c r="A1175" s="122" t="s">
        <v>103</v>
      </c>
      <c r="B1175" s="37" t="s">
        <v>61</v>
      </c>
      <c r="C1175" s="38">
        <v>817769</v>
      </c>
      <c r="D1175" s="49">
        <v>3000000</v>
      </c>
      <c r="E1175" s="103"/>
      <c r="F1175" s="103"/>
      <c r="G1175" s="139"/>
      <c r="H1175" s="131">
        <v>2627870</v>
      </c>
      <c r="I1175" s="126">
        <v>1127749</v>
      </c>
      <c r="J1175" s="30">
        <f>+SUM(C1175:G1175)-(H1175+I1175)</f>
        <v>62150</v>
      </c>
      <c r="K1175" s="68"/>
      <c r="L1175" s="5"/>
      <c r="M1175" s="5"/>
      <c r="N1175" s="5"/>
      <c r="O1175" s="5"/>
    </row>
    <row r="1176" spans="1:15" x14ac:dyDescent="0.3">
      <c r="A1176" s="43" t="s">
        <v>62</v>
      </c>
      <c r="B1176" s="24"/>
      <c r="C1176" s="35"/>
      <c r="D1176" s="24"/>
      <c r="E1176" s="24"/>
      <c r="F1176" s="24"/>
      <c r="G1176" s="24"/>
      <c r="H1176" s="24"/>
      <c r="I1176" s="24"/>
      <c r="J1176" s="36"/>
      <c r="L1176" s="5"/>
      <c r="M1176" s="5"/>
      <c r="N1176" s="5"/>
      <c r="O1176" s="5"/>
    </row>
    <row r="1177" spans="1:15" x14ac:dyDescent="0.3">
      <c r="A1177" s="122" t="s">
        <v>103</v>
      </c>
      <c r="B1177" s="37" t="s">
        <v>63</v>
      </c>
      <c r="C1177" s="125">
        <v>14712920</v>
      </c>
      <c r="D1177" s="132"/>
      <c r="E1177" s="49"/>
      <c r="F1177" s="49"/>
      <c r="G1177" s="49"/>
      <c r="H1177" s="51">
        <v>3000000</v>
      </c>
      <c r="I1177" s="53">
        <v>428365</v>
      </c>
      <c r="J1177" s="30">
        <f>+SUM(C1177:G1177)-(H1177+I1177)</f>
        <v>11284555</v>
      </c>
      <c r="K1177" s="68"/>
      <c r="L1177" s="5"/>
      <c r="M1177" s="5"/>
      <c r="N1177" s="5"/>
      <c r="O1177" s="5"/>
    </row>
    <row r="1178" spans="1:15" x14ac:dyDescent="0.3">
      <c r="A1178" s="122" t="s">
        <v>103</v>
      </c>
      <c r="B1178" s="37" t="s">
        <v>64</v>
      </c>
      <c r="C1178" s="125">
        <v>8361083</v>
      </c>
      <c r="D1178" s="49"/>
      <c r="E1178" s="48"/>
      <c r="F1178" s="48"/>
      <c r="G1178" s="48"/>
      <c r="H1178" s="32"/>
      <c r="I1178" s="50">
        <v>6202438</v>
      </c>
      <c r="J1178" s="30">
        <f>SUM(C1178:G1178)-(H1178+I1178)</f>
        <v>2158645</v>
      </c>
      <c r="K1178" s="68"/>
      <c r="L1178" s="5"/>
      <c r="M1178" s="5"/>
      <c r="N1178" s="5"/>
      <c r="O1178" s="5"/>
    </row>
    <row r="1179" spans="1:15" ht="15.6" x14ac:dyDescent="0.3">
      <c r="C1179" s="9"/>
      <c r="I1179" s="140">
        <f>SUM(I1160:I1178)</f>
        <v>10574852</v>
      </c>
      <c r="J1179" s="105">
        <f>+SUM(J1160:J1178)</f>
        <v>14101750</v>
      </c>
      <c r="K1179" s="9">
        <f>J1179-C1151</f>
        <v>-1</v>
      </c>
      <c r="L1179" s="5"/>
      <c r="M1179" s="5"/>
      <c r="N1179" s="5"/>
      <c r="O1179" s="5"/>
    </row>
    <row r="1180" spans="1:15" x14ac:dyDescent="0.3">
      <c r="A1180" s="10"/>
      <c r="B1180" s="11"/>
      <c r="C1180" s="12"/>
      <c r="D1180" s="12"/>
      <c r="E1180" s="12"/>
      <c r="F1180" s="12"/>
      <c r="G1180" s="12"/>
      <c r="H1180" s="12"/>
      <c r="I1180" s="12"/>
      <c r="J1180" s="133"/>
      <c r="L1180" s="5"/>
      <c r="M1180" s="5"/>
      <c r="N1180" s="5"/>
      <c r="O1180" s="5"/>
    </row>
    <row r="1181" spans="1:15" x14ac:dyDescent="0.3">
      <c r="A1181" s="16" t="s">
        <v>52</v>
      </c>
      <c r="B1181" s="16"/>
      <c r="C1181" s="16"/>
      <c r="D1181" s="17"/>
      <c r="E1181" s="17"/>
      <c r="F1181" s="17"/>
      <c r="G1181" s="17"/>
      <c r="H1181" s="17"/>
      <c r="I1181" s="17"/>
      <c r="L1181" s="5"/>
      <c r="M1181" s="5"/>
      <c r="N1181" s="5"/>
      <c r="O1181" s="5"/>
    </row>
    <row r="1182" spans="1:15" x14ac:dyDescent="0.3">
      <c r="A1182" s="18" t="s">
        <v>95</v>
      </c>
      <c r="B1182" s="18"/>
      <c r="C1182" s="18"/>
      <c r="D1182" s="18"/>
      <c r="E1182" s="18"/>
      <c r="F1182" s="18"/>
      <c r="G1182" s="18"/>
      <c r="H1182" s="18"/>
      <c r="I1182" s="18"/>
      <c r="J1182" s="17"/>
      <c r="L1182" s="5"/>
      <c r="M1182" s="5"/>
      <c r="N1182" s="5"/>
      <c r="O1182" s="5"/>
    </row>
    <row r="1183" spans="1:15" x14ac:dyDescent="0.3">
      <c r="A1183" s="19"/>
      <c r="B1183" s="17"/>
      <c r="C1183" s="20"/>
      <c r="D1183" s="20"/>
      <c r="E1183" s="20"/>
      <c r="F1183" s="20"/>
      <c r="G1183" s="20"/>
      <c r="H1183" s="17"/>
      <c r="I1183" s="17"/>
      <c r="J1183" s="18"/>
      <c r="L1183" s="5"/>
      <c r="M1183" s="5"/>
      <c r="N1183" s="5"/>
      <c r="O1183" s="5"/>
    </row>
    <row r="1184" spans="1:15" ht="15" customHeight="1" x14ac:dyDescent="0.3">
      <c r="A1184" s="315" t="s">
        <v>53</v>
      </c>
      <c r="B1184" s="317" t="s">
        <v>54</v>
      </c>
      <c r="C1184" s="319" t="s">
        <v>96</v>
      </c>
      <c r="D1184" s="321" t="s">
        <v>55</v>
      </c>
      <c r="E1184" s="322"/>
      <c r="F1184" s="322"/>
      <c r="G1184" s="323"/>
      <c r="H1184" s="324" t="s">
        <v>56</v>
      </c>
      <c r="I1184" s="311" t="s">
        <v>57</v>
      </c>
      <c r="J1184" s="17"/>
      <c r="L1184" s="5"/>
      <c r="M1184" s="5"/>
      <c r="N1184" s="5"/>
      <c r="O1184" s="5"/>
    </row>
    <row r="1185" spans="1:15" ht="15" customHeight="1" x14ac:dyDescent="0.3">
      <c r="A1185" s="316"/>
      <c r="B1185" s="318"/>
      <c r="C1185" s="320"/>
      <c r="D1185" s="21" t="s">
        <v>24</v>
      </c>
      <c r="E1185" s="21" t="s">
        <v>25</v>
      </c>
      <c r="F1185" s="22" t="s">
        <v>99</v>
      </c>
      <c r="G1185" s="21" t="s">
        <v>58</v>
      </c>
      <c r="H1185" s="325"/>
      <c r="I1185" s="312"/>
      <c r="J1185" s="313" t="s">
        <v>97</v>
      </c>
      <c r="L1185" s="5"/>
      <c r="M1185" s="5"/>
      <c r="N1185" s="5"/>
      <c r="O1185" s="5"/>
    </row>
    <row r="1186" spans="1:15" x14ac:dyDescent="0.3">
      <c r="A1186" s="23"/>
      <c r="B1186" s="24" t="s">
        <v>59</v>
      </c>
      <c r="C1186" s="25"/>
      <c r="D1186" s="25"/>
      <c r="E1186" s="25"/>
      <c r="F1186" s="25"/>
      <c r="G1186" s="25"/>
      <c r="H1186" s="25"/>
      <c r="I1186" s="26"/>
      <c r="J1186" s="314"/>
      <c r="L1186" s="5"/>
      <c r="M1186" s="5"/>
      <c r="N1186" s="5"/>
      <c r="O1186" s="5"/>
    </row>
    <row r="1187" spans="1:15" x14ac:dyDescent="0.3">
      <c r="A1187" s="122" t="s">
        <v>98</v>
      </c>
      <c r="B1187" s="127" t="s">
        <v>76</v>
      </c>
      <c r="C1187" s="32">
        <v>-10750</v>
      </c>
      <c r="D1187" s="31"/>
      <c r="E1187" s="31">
        <v>170625</v>
      </c>
      <c r="F1187" s="31">
        <v>301700</v>
      </c>
      <c r="G1187" s="31"/>
      <c r="H1187" s="55">
        <v>27000</v>
      </c>
      <c r="I1187" s="32">
        <v>412375</v>
      </c>
      <c r="J1187" s="30">
        <f>+SUM(C1187:G1187)-(H1187+I1187)</f>
        <v>22200</v>
      </c>
      <c r="K1187" s="68"/>
      <c r="L1187" s="5"/>
      <c r="M1187" s="5"/>
      <c r="N1187" s="5"/>
      <c r="O1187" s="5"/>
    </row>
    <row r="1188" spans="1:15" x14ac:dyDescent="0.3">
      <c r="A1188" s="122" t="s">
        <v>98</v>
      </c>
      <c r="B1188" s="127" t="s">
        <v>47</v>
      </c>
      <c r="C1188" s="32">
        <v>9060</v>
      </c>
      <c r="D1188" s="31"/>
      <c r="E1188" s="31">
        <v>0</v>
      </c>
      <c r="F1188" s="31"/>
      <c r="G1188" s="31"/>
      <c r="H1188" s="55"/>
      <c r="I1188" s="32">
        <v>6000</v>
      </c>
      <c r="J1188" s="30">
        <f t="shared" ref="J1188:J1189" si="570">+SUM(C1188:G1188)-(H1188+I1188)</f>
        <v>3060</v>
      </c>
      <c r="K1188" s="68"/>
      <c r="L1188" s="5"/>
      <c r="M1188" s="5"/>
      <c r="N1188" s="5"/>
      <c r="O1188" s="5"/>
    </row>
    <row r="1189" spans="1:15" x14ac:dyDescent="0.3">
      <c r="A1189" s="122" t="s">
        <v>98</v>
      </c>
      <c r="B1189" s="127" t="s">
        <v>31</v>
      </c>
      <c r="C1189" s="32">
        <v>1195</v>
      </c>
      <c r="D1189" s="31"/>
      <c r="E1189" s="31">
        <v>75000</v>
      </c>
      <c r="F1189" s="32"/>
      <c r="G1189" s="32"/>
      <c r="H1189" s="32"/>
      <c r="I1189" s="32">
        <v>72400</v>
      </c>
      <c r="J1189" s="101">
        <f t="shared" si="570"/>
        <v>3795</v>
      </c>
      <c r="K1189" s="68"/>
      <c r="L1189" s="5"/>
      <c r="M1189" s="5"/>
      <c r="N1189" s="5"/>
      <c r="O1189" s="5"/>
    </row>
    <row r="1190" spans="1:15" x14ac:dyDescent="0.3">
      <c r="A1190" s="122" t="s">
        <v>98</v>
      </c>
      <c r="B1190" s="127" t="s">
        <v>77</v>
      </c>
      <c r="C1190" s="32">
        <v>-8600</v>
      </c>
      <c r="D1190" s="104"/>
      <c r="E1190" s="31">
        <v>596900</v>
      </c>
      <c r="F1190" s="32"/>
      <c r="G1190" s="32"/>
      <c r="H1190" s="32"/>
      <c r="I1190" s="32">
        <v>586000</v>
      </c>
      <c r="J1190" s="101">
        <f>+SUM(C1190:G1190)-(H1190+I1190)</f>
        <v>2300</v>
      </c>
      <c r="K1190" s="68"/>
      <c r="L1190" s="5"/>
      <c r="M1190" s="5"/>
      <c r="N1190" s="5"/>
      <c r="O1190" s="5"/>
    </row>
    <row r="1191" spans="1:15" x14ac:dyDescent="0.3">
      <c r="A1191" s="122" t="s">
        <v>98</v>
      </c>
      <c r="B1191" s="127" t="s">
        <v>69</v>
      </c>
      <c r="C1191" s="32">
        <v>8884</v>
      </c>
      <c r="D1191" s="104"/>
      <c r="E1191" s="31">
        <v>618600</v>
      </c>
      <c r="F1191" s="32">
        <v>27000</v>
      </c>
      <c r="G1191" s="32"/>
      <c r="H1191" s="32">
        <v>301700</v>
      </c>
      <c r="I1191" s="32">
        <v>367000</v>
      </c>
      <c r="J1191" s="101">
        <f t="shared" ref="J1191" si="571">+SUM(C1191:G1191)-(H1191+I1191)</f>
        <v>-14216</v>
      </c>
      <c r="K1191" s="68"/>
      <c r="L1191" s="5"/>
      <c r="M1191" s="5"/>
      <c r="N1191" s="5"/>
      <c r="O1191" s="5"/>
    </row>
    <row r="1192" spans="1:15" x14ac:dyDescent="0.3">
      <c r="A1192" s="119" t="s">
        <v>98</v>
      </c>
      <c r="B1192" s="128" t="s">
        <v>30</v>
      </c>
      <c r="C1192" s="51">
        <v>191600</v>
      </c>
      <c r="D1192" s="119"/>
      <c r="E1192" s="119">
        <v>777000</v>
      </c>
      <c r="F1192" s="51"/>
      <c r="G1192" s="51"/>
      <c r="H1192" s="51"/>
      <c r="I1192" s="51">
        <v>825300</v>
      </c>
      <c r="J1192" s="124">
        <f>+SUM(C1192:G1192)-(H1192+I1192)</f>
        <v>143300</v>
      </c>
      <c r="K1192" s="68"/>
      <c r="L1192" s="5"/>
      <c r="M1192" s="5"/>
      <c r="N1192" s="5"/>
      <c r="O1192" s="5"/>
    </row>
    <row r="1193" spans="1:15" x14ac:dyDescent="0.3">
      <c r="A1193" s="123" t="s">
        <v>98</v>
      </c>
      <c r="B1193" s="129" t="s">
        <v>84</v>
      </c>
      <c r="C1193" s="120">
        <v>233614</v>
      </c>
      <c r="D1193" s="123"/>
      <c r="E1193" s="123"/>
      <c r="F1193" s="123"/>
      <c r="G1193" s="123"/>
      <c r="H1193" s="120"/>
      <c r="I1193" s="120"/>
      <c r="J1193" s="121">
        <f>+SUM(C1193:G1193)-(H1193+I1193)</f>
        <v>233614</v>
      </c>
      <c r="K1193" s="68"/>
      <c r="L1193" s="5"/>
      <c r="M1193" s="5"/>
      <c r="N1193" s="5"/>
      <c r="O1193" s="5"/>
    </row>
    <row r="1194" spans="1:15" x14ac:dyDescent="0.3">
      <c r="A1194" s="123" t="s">
        <v>98</v>
      </c>
      <c r="B1194" s="129" t="s">
        <v>83</v>
      </c>
      <c r="C1194" s="120">
        <v>249769</v>
      </c>
      <c r="D1194" s="123"/>
      <c r="E1194" s="123"/>
      <c r="F1194" s="123"/>
      <c r="G1194" s="123"/>
      <c r="H1194" s="120"/>
      <c r="I1194" s="120"/>
      <c r="J1194" s="121">
        <f t="shared" ref="J1194:J1199" si="572">+SUM(C1194:G1194)-(H1194+I1194)</f>
        <v>249769</v>
      </c>
      <c r="K1194" s="68"/>
      <c r="L1194" s="5"/>
      <c r="M1194" s="5"/>
      <c r="N1194" s="5"/>
      <c r="O1194" s="5"/>
    </row>
    <row r="1195" spans="1:15" x14ac:dyDescent="0.3">
      <c r="A1195" s="122" t="s">
        <v>98</v>
      </c>
      <c r="B1195" s="127" t="s">
        <v>35</v>
      </c>
      <c r="C1195" s="32">
        <v>-3510</v>
      </c>
      <c r="D1195" s="31"/>
      <c r="E1195" s="31">
        <v>240100</v>
      </c>
      <c r="F1195" s="31"/>
      <c r="G1195" s="31"/>
      <c r="H1195" s="32"/>
      <c r="I1195" s="32">
        <v>181500</v>
      </c>
      <c r="J1195" s="30">
        <f t="shared" si="572"/>
        <v>55090</v>
      </c>
      <c r="K1195" s="68"/>
      <c r="L1195" s="5"/>
      <c r="M1195" s="5"/>
      <c r="N1195" s="5"/>
      <c r="O1195" s="5"/>
    </row>
    <row r="1196" spans="1:15" x14ac:dyDescent="0.3">
      <c r="A1196" s="122" t="s">
        <v>98</v>
      </c>
      <c r="B1196" s="127" t="s">
        <v>93</v>
      </c>
      <c r="C1196" s="32">
        <v>0</v>
      </c>
      <c r="D1196" s="31"/>
      <c r="E1196" s="31">
        <v>5000</v>
      </c>
      <c r="F1196" s="31"/>
      <c r="G1196" s="31"/>
      <c r="H1196" s="32"/>
      <c r="I1196" s="32">
        <v>5000</v>
      </c>
      <c r="J1196" s="30">
        <f t="shared" si="572"/>
        <v>0</v>
      </c>
      <c r="K1196" s="68"/>
      <c r="L1196" s="5"/>
      <c r="M1196" s="5"/>
      <c r="N1196" s="5"/>
      <c r="O1196" s="5"/>
    </row>
    <row r="1197" spans="1:15" x14ac:dyDescent="0.3">
      <c r="A1197" s="122" t="s">
        <v>98</v>
      </c>
      <c r="B1197" s="127" t="s">
        <v>29</v>
      </c>
      <c r="C1197" s="32">
        <v>111200</v>
      </c>
      <c r="D1197" s="31"/>
      <c r="E1197" s="31">
        <v>704000</v>
      </c>
      <c r="F1197" s="31"/>
      <c r="G1197" s="31"/>
      <c r="H1197" s="32"/>
      <c r="I1197" s="32">
        <v>704500</v>
      </c>
      <c r="J1197" s="30">
        <f t="shared" si="572"/>
        <v>110700</v>
      </c>
      <c r="K1197" s="68"/>
      <c r="L1197" s="5"/>
      <c r="M1197" s="5"/>
      <c r="N1197" s="5"/>
      <c r="O1197" s="5"/>
    </row>
    <row r="1198" spans="1:15" x14ac:dyDescent="0.3">
      <c r="A1198" s="122" t="s">
        <v>98</v>
      </c>
      <c r="B1198" s="127" t="s">
        <v>94</v>
      </c>
      <c r="C1198" s="32">
        <v>-32081</v>
      </c>
      <c r="D1198" s="31"/>
      <c r="E1198" s="31">
        <v>0</v>
      </c>
      <c r="F1198" s="31"/>
      <c r="G1198" s="31"/>
      <c r="H1198" s="32"/>
      <c r="I1198" s="32">
        <v>0</v>
      </c>
      <c r="J1198" s="30">
        <f t="shared" si="572"/>
        <v>-32081</v>
      </c>
      <c r="K1198" s="68"/>
      <c r="L1198" s="5"/>
      <c r="M1198" s="5"/>
      <c r="N1198" s="5"/>
      <c r="O1198" s="5"/>
    </row>
    <row r="1199" spans="1:15" x14ac:dyDescent="0.3">
      <c r="A1199" s="122" t="s">
        <v>98</v>
      </c>
      <c r="B1199" s="128" t="s">
        <v>32</v>
      </c>
      <c r="C1199" s="51">
        <v>5300</v>
      </c>
      <c r="D1199" s="119"/>
      <c r="E1199" s="119">
        <v>10000</v>
      </c>
      <c r="F1199" s="119"/>
      <c r="G1199" s="130"/>
      <c r="H1199" s="51"/>
      <c r="I1199" s="51">
        <v>8000</v>
      </c>
      <c r="J1199" s="30">
        <f t="shared" si="572"/>
        <v>7300</v>
      </c>
      <c r="K1199" s="68"/>
      <c r="L1199" s="5"/>
      <c r="M1199" s="5"/>
      <c r="N1199" s="5"/>
      <c r="O1199" s="5"/>
    </row>
    <row r="1200" spans="1:15" x14ac:dyDescent="0.3">
      <c r="A1200" s="34" t="s">
        <v>60</v>
      </c>
      <c r="B1200" s="35"/>
      <c r="C1200" s="35"/>
      <c r="D1200" s="35"/>
      <c r="E1200" s="35"/>
      <c r="F1200" s="35"/>
      <c r="G1200" s="35"/>
      <c r="H1200" s="35"/>
      <c r="I1200" s="35"/>
      <c r="J1200" s="36"/>
      <c r="K1200" s="68"/>
      <c r="L1200" s="5"/>
      <c r="M1200" s="5"/>
      <c r="N1200" s="5"/>
      <c r="O1200" s="5"/>
    </row>
    <row r="1201" spans="1:15" x14ac:dyDescent="0.3">
      <c r="A1201" s="27" t="s">
        <v>98</v>
      </c>
      <c r="B1201" s="37" t="s">
        <v>61</v>
      </c>
      <c r="C1201" s="38">
        <v>733034</v>
      </c>
      <c r="D1201" s="39">
        <v>4293000</v>
      </c>
      <c r="E1201" s="39"/>
      <c r="F1201" s="39"/>
      <c r="G1201" s="125"/>
      <c r="H1201" s="131">
        <v>3197225</v>
      </c>
      <c r="I1201" s="126">
        <v>1011040</v>
      </c>
      <c r="J1201" s="30">
        <f>+SUM(C1201:G1201)-(H1201+I1201)</f>
        <v>817769</v>
      </c>
      <c r="K1201" s="68"/>
      <c r="L1201" s="5"/>
      <c r="M1201" s="5"/>
      <c r="N1201" s="5"/>
      <c r="O1201" s="5"/>
    </row>
    <row r="1202" spans="1:15" x14ac:dyDescent="0.3">
      <c r="A1202" s="43" t="s">
        <v>62</v>
      </c>
      <c r="B1202" s="24"/>
      <c r="C1202" s="35"/>
      <c r="D1202" s="24"/>
      <c r="E1202" s="24"/>
      <c r="F1202" s="24"/>
      <c r="G1202" s="24"/>
      <c r="H1202" s="24"/>
      <c r="I1202" s="24"/>
      <c r="J1202" s="36"/>
      <c r="L1202" s="5"/>
      <c r="M1202" s="5"/>
      <c r="N1202" s="5"/>
      <c r="O1202" s="5"/>
    </row>
    <row r="1203" spans="1:15" x14ac:dyDescent="0.3">
      <c r="A1203" s="27" t="s">
        <v>98</v>
      </c>
      <c r="B1203" s="37" t="s">
        <v>63</v>
      </c>
      <c r="C1203" s="125">
        <v>19184971</v>
      </c>
      <c r="D1203" s="132"/>
      <c r="E1203" s="49"/>
      <c r="F1203" s="49"/>
      <c r="G1203" s="49"/>
      <c r="H1203" s="51">
        <v>4000000</v>
      </c>
      <c r="I1203" s="53">
        <v>472051</v>
      </c>
      <c r="J1203" s="30">
        <f>+SUM(C1203:G1203)-(H1203+I1203)</f>
        <v>14712920</v>
      </c>
      <c r="K1203" s="68"/>
      <c r="L1203" s="5"/>
      <c r="M1203" s="5"/>
      <c r="N1203" s="5"/>
      <c r="O1203" s="5"/>
    </row>
    <row r="1204" spans="1:15" x14ac:dyDescent="0.3">
      <c r="A1204" s="27" t="s">
        <v>98</v>
      </c>
      <c r="B1204" s="37" t="s">
        <v>64</v>
      </c>
      <c r="C1204" s="125">
        <v>14419055</v>
      </c>
      <c r="D1204" s="49"/>
      <c r="E1204" s="48"/>
      <c r="F1204" s="48"/>
      <c r="G1204" s="48"/>
      <c r="H1204" s="32">
        <v>293000</v>
      </c>
      <c r="I1204" s="50">
        <v>5764972</v>
      </c>
      <c r="J1204" s="30">
        <f>SUM(C1204:G1204)-(H1204+I1204)</f>
        <v>8361083</v>
      </c>
      <c r="K1204" s="68"/>
      <c r="L1204" s="5"/>
      <c r="M1204" s="5"/>
      <c r="N1204" s="5"/>
      <c r="O1204" s="5"/>
    </row>
    <row r="1205" spans="1:15" ht="15.6" x14ac:dyDescent="0.3">
      <c r="C1205" s="9"/>
      <c r="I1205" s="9"/>
      <c r="J1205" s="105">
        <f>+SUM(J1187:J1204)</f>
        <v>24676603</v>
      </c>
      <c r="L1205" s="5"/>
      <c r="M1205" s="5"/>
      <c r="N1205" s="5"/>
      <c r="O1205" s="5"/>
    </row>
    <row r="1206" spans="1:15" x14ac:dyDescent="0.3">
      <c r="A1206" s="10"/>
      <c r="B1206" s="11"/>
      <c r="C1206" s="12"/>
      <c r="D1206" s="12"/>
      <c r="E1206" s="12"/>
      <c r="F1206" s="12"/>
      <c r="G1206" s="12"/>
      <c r="H1206" s="12"/>
      <c r="I1206" s="12"/>
      <c r="J1206" s="133"/>
      <c r="L1206" s="5"/>
      <c r="M1206" s="5"/>
      <c r="N1206" s="5"/>
      <c r="O1206" s="5"/>
    </row>
    <row r="1207" spans="1:15" x14ac:dyDescent="0.3">
      <c r="A1207" s="16" t="s">
        <v>52</v>
      </c>
      <c r="B1207" s="16"/>
      <c r="C1207" s="16"/>
      <c r="D1207" s="17"/>
      <c r="E1207" s="17"/>
      <c r="F1207" s="17"/>
      <c r="G1207" s="17"/>
      <c r="H1207" s="17"/>
      <c r="I1207" s="17"/>
      <c r="L1207" s="5"/>
      <c r="M1207" s="5"/>
      <c r="N1207" s="5"/>
      <c r="O1207" s="5"/>
    </row>
    <row r="1208" spans="1:15" x14ac:dyDescent="0.3">
      <c r="A1208" s="18" t="s">
        <v>87</v>
      </c>
      <c r="B1208" s="18"/>
      <c r="C1208" s="18"/>
      <c r="D1208" s="18"/>
      <c r="E1208" s="18"/>
      <c r="F1208" s="18"/>
      <c r="G1208" s="18"/>
      <c r="H1208" s="18"/>
      <c r="I1208" s="18"/>
      <c r="J1208" s="17"/>
      <c r="L1208" s="5"/>
      <c r="M1208" s="5"/>
      <c r="N1208" s="5"/>
      <c r="O1208" s="5"/>
    </row>
    <row r="1209" spans="1:15" ht="15" customHeight="1" x14ac:dyDescent="0.3">
      <c r="A1209" s="19"/>
      <c r="B1209" s="17"/>
      <c r="C1209" s="20"/>
      <c r="D1209" s="20"/>
      <c r="E1209" s="20"/>
      <c r="F1209" s="20"/>
      <c r="G1209" s="20"/>
      <c r="H1209" s="17"/>
      <c r="I1209" s="17"/>
      <c r="J1209" s="18"/>
      <c r="L1209" s="5"/>
      <c r="M1209" s="5"/>
      <c r="N1209" s="5"/>
      <c r="O1209" s="5"/>
    </row>
    <row r="1210" spans="1:15" ht="15" customHeight="1" x14ac:dyDescent="0.3">
      <c r="A1210" s="315" t="s">
        <v>53</v>
      </c>
      <c r="B1210" s="317" t="s">
        <v>54</v>
      </c>
      <c r="C1210" s="319" t="s">
        <v>88</v>
      </c>
      <c r="D1210" s="321" t="s">
        <v>55</v>
      </c>
      <c r="E1210" s="322"/>
      <c r="F1210" s="322"/>
      <c r="G1210" s="323"/>
      <c r="H1210" s="324" t="s">
        <v>56</v>
      </c>
      <c r="I1210" s="311" t="s">
        <v>57</v>
      </c>
      <c r="J1210" s="17"/>
      <c r="L1210" s="5"/>
      <c r="M1210" s="5"/>
      <c r="N1210" s="5"/>
      <c r="O1210" s="5"/>
    </row>
    <row r="1211" spans="1:15" ht="15" customHeight="1" x14ac:dyDescent="0.3">
      <c r="A1211" s="316"/>
      <c r="B1211" s="318"/>
      <c r="C1211" s="320"/>
      <c r="D1211" s="21" t="s">
        <v>24</v>
      </c>
      <c r="E1211" s="21" t="s">
        <v>25</v>
      </c>
      <c r="F1211" s="22" t="s">
        <v>91</v>
      </c>
      <c r="G1211" s="21" t="s">
        <v>58</v>
      </c>
      <c r="H1211" s="325"/>
      <c r="I1211" s="312"/>
      <c r="J1211" s="313" t="s">
        <v>89</v>
      </c>
      <c r="L1211" s="5"/>
      <c r="M1211" s="5"/>
      <c r="N1211" s="5"/>
      <c r="O1211" s="5"/>
    </row>
    <row r="1212" spans="1:15" x14ac:dyDescent="0.3">
      <c r="A1212" s="23"/>
      <c r="B1212" s="24" t="s">
        <v>59</v>
      </c>
      <c r="C1212" s="25"/>
      <c r="D1212" s="25"/>
      <c r="E1212" s="25"/>
      <c r="F1212" s="25"/>
      <c r="G1212" s="25"/>
      <c r="H1212" s="25"/>
      <c r="I1212" s="26"/>
      <c r="J1212" s="314"/>
      <c r="L1212" s="5"/>
      <c r="M1212" s="5"/>
      <c r="N1212" s="5"/>
      <c r="O1212" s="5"/>
    </row>
    <row r="1213" spans="1:15" x14ac:dyDescent="0.3">
      <c r="A1213" s="27" t="s">
        <v>90</v>
      </c>
      <c r="B1213" s="8" t="s">
        <v>76</v>
      </c>
      <c r="C1213" s="28" t="e">
        <f>+#REF!</f>
        <v>#REF!</v>
      </c>
      <c r="D1213" s="29"/>
      <c r="E1213" s="29">
        <v>271100</v>
      </c>
      <c r="F1213" s="29">
        <f>112800+126500</f>
        <v>239300</v>
      </c>
      <c r="G1213" s="29"/>
      <c r="H1213" s="55"/>
      <c r="I1213" s="33">
        <v>521950</v>
      </c>
      <c r="J1213" s="30" t="e">
        <f>+SUM(C1213:G1213)-(H1213+I1213)</f>
        <v>#REF!</v>
      </c>
      <c r="L1213" s="5"/>
      <c r="M1213" s="5"/>
      <c r="N1213" s="5"/>
      <c r="O1213" s="5"/>
    </row>
    <row r="1214" spans="1:15" x14ac:dyDescent="0.3">
      <c r="A1214" s="27" t="s">
        <v>90</v>
      </c>
      <c r="B1214" s="8" t="s">
        <v>47</v>
      </c>
      <c r="C1214" s="28" t="e">
        <f>+C978</f>
        <v>#REF!</v>
      </c>
      <c r="D1214" s="29"/>
      <c r="E1214" s="29">
        <v>625000</v>
      </c>
      <c r="F1214" s="29"/>
      <c r="G1214" s="29"/>
      <c r="H1214" s="55">
        <v>247500</v>
      </c>
      <c r="I1214" s="33">
        <v>371500</v>
      </c>
      <c r="J1214" s="30" t="e">
        <f t="shared" ref="J1214:J1215" si="573">+SUM(C1214:G1214)-(H1214+I1214)</f>
        <v>#REF!</v>
      </c>
      <c r="L1214" s="5"/>
      <c r="M1214" s="5"/>
      <c r="N1214" s="5"/>
      <c r="O1214" s="5"/>
    </row>
    <row r="1215" spans="1:15" x14ac:dyDescent="0.3">
      <c r="A1215" s="27" t="s">
        <v>90</v>
      </c>
      <c r="B1215" s="8" t="s">
        <v>31</v>
      </c>
      <c r="C1215" s="28" t="e">
        <f>+C979</f>
        <v>#REF!</v>
      </c>
      <c r="D1215" s="29"/>
      <c r="E1215" s="29">
        <v>60000</v>
      </c>
      <c r="F1215" s="100"/>
      <c r="G1215" s="100"/>
      <c r="H1215" s="32"/>
      <c r="I1215" s="54">
        <v>67200</v>
      </c>
      <c r="J1215" s="101" t="e">
        <f t="shared" si="573"/>
        <v>#REF!</v>
      </c>
      <c r="L1215" s="5"/>
      <c r="M1215" s="5"/>
      <c r="N1215" s="5"/>
      <c r="O1215" s="5"/>
    </row>
    <row r="1216" spans="1:15" ht="15.75" customHeight="1" x14ac:dyDescent="0.3">
      <c r="A1216" s="27" t="s">
        <v>90</v>
      </c>
      <c r="B1216" s="8" t="s">
        <v>77</v>
      </c>
      <c r="C1216" s="28" t="e">
        <f>+C980</f>
        <v>#REF!</v>
      </c>
      <c r="D1216" s="56"/>
      <c r="E1216" s="29">
        <v>140000</v>
      </c>
      <c r="F1216" s="100">
        <v>270500</v>
      </c>
      <c r="G1216" s="100"/>
      <c r="H1216" s="32"/>
      <c r="I1216" s="32">
        <v>417300</v>
      </c>
      <c r="J1216" s="101" t="e">
        <f>+SUM(C1216:G1216)-(H1216+I1216)</f>
        <v>#REF!</v>
      </c>
      <c r="L1216" s="5"/>
      <c r="M1216" s="5"/>
      <c r="N1216" s="5"/>
      <c r="O1216" s="5"/>
    </row>
    <row r="1217" spans="1:15" x14ac:dyDescent="0.3">
      <c r="A1217" s="27" t="s">
        <v>90</v>
      </c>
      <c r="B1217" s="8" t="s">
        <v>69</v>
      </c>
      <c r="C1217" s="28">
        <v>15984</v>
      </c>
      <c r="D1217" s="56"/>
      <c r="E1217" s="29">
        <v>256400</v>
      </c>
      <c r="F1217" s="100"/>
      <c r="G1217" s="100"/>
      <c r="H1217" s="32"/>
      <c r="I1217" s="33">
        <v>263500</v>
      </c>
      <c r="J1217" s="101">
        <f t="shared" ref="J1217" si="574">+SUM(C1217:G1217)-(H1217+I1217)</f>
        <v>8884</v>
      </c>
      <c r="L1217" s="5"/>
      <c r="M1217" s="5"/>
      <c r="N1217" s="5"/>
      <c r="O1217" s="5"/>
    </row>
    <row r="1218" spans="1:15" x14ac:dyDescent="0.3">
      <c r="A1218" s="27" t="s">
        <v>90</v>
      </c>
      <c r="B1218" s="8" t="s">
        <v>30</v>
      </c>
      <c r="C1218" s="28" t="e">
        <f t="shared" ref="C1218:C1222" si="575">+C981</f>
        <v>#REF!</v>
      </c>
      <c r="D1218" s="29"/>
      <c r="E1218" s="29">
        <v>858500</v>
      </c>
      <c r="F1218" s="100"/>
      <c r="G1218" s="100"/>
      <c r="H1218" s="32"/>
      <c r="I1218" s="33">
        <v>645000</v>
      </c>
      <c r="J1218" s="101" t="e">
        <f>+SUM(C1218:G1218)-(H1218+I1218)</f>
        <v>#REF!</v>
      </c>
      <c r="L1218" s="5"/>
      <c r="M1218" s="5"/>
      <c r="N1218" s="5"/>
      <c r="O1218" s="5"/>
    </row>
    <row r="1219" spans="1:15" x14ac:dyDescent="0.3">
      <c r="A1219" s="27" t="s">
        <v>90</v>
      </c>
      <c r="B1219" s="8" t="s">
        <v>35</v>
      </c>
      <c r="C1219" s="28" t="e">
        <f t="shared" si="575"/>
        <v>#REF!</v>
      </c>
      <c r="D1219" s="29"/>
      <c r="E1219" s="29">
        <v>800700</v>
      </c>
      <c r="F1219" s="29"/>
      <c r="G1219" s="29"/>
      <c r="H1219" s="32">
        <v>262300</v>
      </c>
      <c r="I1219" s="33">
        <v>543600</v>
      </c>
      <c r="J1219" s="30" t="e">
        <f>+SUM(C1219:G1219)-(H1219+I1219)</f>
        <v>#REF!</v>
      </c>
      <c r="L1219" s="5"/>
      <c r="M1219" s="5"/>
      <c r="N1219" s="5"/>
      <c r="O1219" s="5"/>
    </row>
    <row r="1220" spans="1:15" x14ac:dyDescent="0.3">
      <c r="A1220" s="27" t="s">
        <v>90</v>
      </c>
      <c r="B1220" s="8" t="s">
        <v>29</v>
      </c>
      <c r="C1220" s="28" t="e">
        <f t="shared" si="575"/>
        <v>#REF!</v>
      </c>
      <c r="D1220" s="29"/>
      <c r="E1220" s="29">
        <v>971600</v>
      </c>
      <c r="F1220" s="29"/>
      <c r="G1220" s="29"/>
      <c r="H1220" s="32">
        <v>200000</v>
      </c>
      <c r="I1220" s="33">
        <v>639450</v>
      </c>
      <c r="J1220" s="30" t="e">
        <f t="shared" ref="J1220:J1221" si="576">+SUM(C1220:G1220)-(H1220+I1220)</f>
        <v>#REF!</v>
      </c>
      <c r="L1220" s="5"/>
      <c r="M1220" s="5"/>
      <c r="N1220" s="5"/>
      <c r="O1220" s="5"/>
    </row>
    <row r="1221" spans="1:15" x14ac:dyDescent="0.3">
      <c r="A1221" s="27" t="s">
        <v>90</v>
      </c>
      <c r="B1221" s="8" t="s">
        <v>5</v>
      </c>
      <c r="C1221" s="28" t="e">
        <f t="shared" si="575"/>
        <v>#REF!</v>
      </c>
      <c r="D1221" s="29"/>
      <c r="E1221" s="29"/>
      <c r="F1221" s="29"/>
      <c r="G1221" s="29"/>
      <c r="H1221" s="32"/>
      <c r="I1221" s="54">
        <v>23000</v>
      </c>
      <c r="J1221" s="30" t="e">
        <f t="shared" si="576"/>
        <v>#REF!</v>
      </c>
      <c r="L1221" s="5"/>
      <c r="M1221" s="5"/>
      <c r="N1221" s="5"/>
      <c r="O1221" s="5"/>
    </row>
    <row r="1222" spans="1:15" x14ac:dyDescent="0.3">
      <c r="A1222" s="27" t="s">
        <v>90</v>
      </c>
      <c r="B1222" s="8" t="s">
        <v>32</v>
      </c>
      <c r="C1222" s="28" t="e">
        <f t="shared" si="575"/>
        <v>#REF!</v>
      </c>
      <c r="D1222" s="29"/>
      <c r="E1222" s="29"/>
      <c r="F1222" s="29"/>
      <c r="G1222" s="29"/>
      <c r="H1222" s="32"/>
      <c r="I1222" s="33">
        <v>0</v>
      </c>
      <c r="J1222" s="30" t="e">
        <f>+SUM(C1222:G1222)-(H1222+I1222)</f>
        <v>#REF!</v>
      </c>
      <c r="L1222" s="5"/>
      <c r="M1222" s="5"/>
      <c r="N1222" s="5"/>
      <c r="O1222" s="5"/>
    </row>
    <row r="1223" spans="1:15" x14ac:dyDescent="0.3">
      <c r="A1223" s="107" t="s">
        <v>90</v>
      </c>
      <c r="B1223" s="108" t="s">
        <v>92</v>
      </c>
      <c r="C1223" s="109">
        <v>3721074</v>
      </c>
      <c r="D1223" s="110"/>
      <c r="E1223" s="111"/>
      <c r="F1223" s="110"/>
      <c r="G1223" s="112"/>
      <c r="H1223" s="109">
        <v>3721074</v>
      </c>
      <c r="I1223" s="113"/>
      <c r="J1223" s="114">
        <f>+SUM(C1223:G1223)-(H1223+I1223)</f>
        <v>0</v>
      </c>
      <c r="L1223" s="5"/>
      <c r="M1223" s="5"/>
      <c r="N1223" s="5"/>
      <c r="O1223" s="5"/>
    </row>
    <row r="1224" spans="1:15" x14ac:dyDescent="0.3">
      <c r="A1224" s="34" t="s">
        <v>60</v>
      </c>
      <c r="B1224" s="35"/>
      <c r="C1224" s="35"/>
      <c r="D1224" s="35"/>
      <c r="E1224" s="35"/>
      <c r="F1224" s="35"/>
      <c r="G1224" s="35"/>
      <c r="H1224" s="35"/>
      <c r="I1224" s="35"/>
      <c r="J1224" s="36"/>
      <c r="L1224" s="5"/>
      <c r="M1224" s="5"/>
      <c r="N1224" s="5"/>
      <c r="O1224" s="5"/>
    </row>
    <row r="1225" spans="1:15" x14ac:dyDescent="0.3">
      <c r="A1225" s="27" t="s">
        <v>90</v>
      </c>
      <c r="B1225" s="37" t="s">
        <v>61</v>
      </c>
      <c r="C1225" s="38" t="e">
        <f>+C977</f>
        <v>#REF!</v>
      </c>
      <c r="D1225" s="39">
        <v>5000000</v>
      </c>
      <c r="E1225" s="39"/>
      <c r="F1225" s="39"/>
      <c r="G1225" s="40">
        <v>200000</v>
      </c>
      <c r="H1225" s="47">
        <v>3983300</v>
      </c>
      <c r="I1225" s="41">
        <v>776245</v>
      </c>
      <c r="J1225" s="42" t="e">
        <f>+SUM(C1225:G1225)-(H1225+I1225)</f>
        <v>#REF!</v>
      </c>
      <c r="L1225" s="5"/>
      <c r="M1225" s="5"/>
      <c r="N1225" s="5"/>
      <c r="O1225" s="5"/>
    </row>
    <row r="1226" spans="1:15" x14ac:dyDescent="0.3">
      <c r="A1226" s="43" t="s">
        <v>62</v>
      </c>
      <c r="B1226" s="24"/>
      <c r="C1226" s="35"/>
      <c r="D1226" s="24"/>
      <c r="E1226" s="24"/>
      <c r="F1226" s="24"/>
      <c r="G1226" s="24"/>
      <c r="H1226" s="24"/>
      <c r="I1226" s="24"/>
      <c r="J1226" s="36"/>
      <c r="L1226" s="5"/>
      <c r="M1226" s="5"/>
      <c r="N1226" s="5"/>
      <c r="O1226" s="5"/>
    </row>
    <row r="1227" spans="1:15" x14ac:dyDescent="0.3">
      <c r="A1227" s="27" t="s">
        <v>90</v>
      </c>
      <c r="B1227" s="37" t="s">
        <v>63</v>
      </c>
      <c r="C1227" s="44" t="e">
        <f>+#REF!</f>
        <v>#REF!</v>
      </c>
      <c r="D1227" s="52">
        <v>19826114</v>
      </c>
      <c r="E1227" s="49"/>
      <c r="F1227" s="49"/>
      <c r="G1227" s="49"/>
      <c r="H1227" s="51">
        <v>5000000</v>
      </c>
      <c r="I1227" s="53">
        <v>455737</v>
      </c>
      <c r="J1227" s="30" t="e">
        <f>+SUM(C1227:G1227)-(H1227+I1227)</f>
        <v>#REF!</v>
      </c>
      <c r="L1227" s="5"/>
      <c r="M1227" s="5"/>
      <c r="N1227" s="5"/>
      <c r="O1227" s="5"/>
    </row>
    <row r="1228" spans="1:15" x14ac:dyDescent="0.3">
      <c r="A1228" s="27" t="s">
        <v>90</v>
      </c>
      <c r="B1228" s="37" t="s">
        <v>64</v>
      </c>
      <c r="C1228" s="44" t="e">
        <f>+C976</f>
        <v>#REF!</v>
      </c>
      <c r="D1228" s="49">
        <v>13119140</v>
      </c>
      <c r="E1228" s="48"/>
      <c r="F1228" s="48"/>
      <c r="G1228" s="48"/>
      <c r="H1228" s="32"/>
      <c r="I1228" s="50">
        <v>3445919</v>
      </c>
      <c r="J1228" s="30" t="e">
        <f>SUM(C1228:G1228)-(H1228+I1228)</f>
        <v>#REF!</v>
      </c>
      <c r="L1228" s="5"/>
      <c r="M1228" s="5"/>
      <c r="N1228" s="5"/>
      <c r="O1228" s="5"/>
    </row>
    <row r="1229" spans="1:15" x14ac:dyDescent="0.3">
      <c r="A1229" s="148" t="s">
        <v>90</v>
      </c>
      <c r="B1229" s="145" t="s">
        <v>83</v>
      </c>
      <c r="C1229" s="149">
        <v>249769</v>
      </c>
      <c r="D1229" s="49"/>
      <c r="E1229" s="49"/>
      <c r="F1229" s="49"/>
      <c r="G1229" s="49"/>
      <c r="H1229" s="32"/>
      <c r="I1229" s="50"/>
      <c r="J1229" s="150">
        <f>SUM(C1229:G1229)-(H1229+I1229)</f>
        <v>249769</v>
      </c>
      <c r="L1229" s="5"/>
      <c r="M1229" s="5"/>
      <c r="N1229" s="5"/>
      <c r="O1229" s="5"/>
    </row>
    <row r="1230" spans="1:15" x14ac:dyDescent="0.3">
      <c r="A1230" s="148" t="s">
        <v>90</v>
      </c>
      <c r="B1230" s="146" t="s">
        <v>84</v>
      </c>
      <c r="C1230" s="149">
        <v>233614</v>
      </c>
      <c r="D1230" s="49"/>
      <c r="E1230" s="49"/>
      <c r="F1230" s="49"/>
      <c r="G1230" s="49"/>
      <c r="H1230" s="32"/>
      <c r="I1230" s="50"/>
      <c r="J1230" s="150">
        <f>SUM(C1230:G1230)-(H1230+I1230)</f>
        <v>233614</v>
      </c>
      <c r="L1230" s="5"/>
      <c r="M1230" s="5"/>
      <c r="N1230" s="5"/>
      <c r="O1230" s="5"/>
    </row>
    <row r="1231" spans="1:15" x14ac:dyDescent="0.3">
      <c r="A1231" s="148" t="s">
        <v>90</v>
      </c>
      <c r="B1231" s="147" t="s">
        <v>85</v>
      </c>
      <c r="C1231" s="149">
        <v>330169</v>
      </c>
      <c r="D1231" s="151"/>
      <c r="E1231" s="151"/>
      <c r="F1231" s="151"/>
      <c r="G1231" s="151"/>
      <c r="H1231" s="151"/>
      <c r="I1231" s="151"/>
      <c r="J1231" s="150">
        <f>SUM(C1231:G1231)-(H1231+I1231)</f>
        <v>330169</v>
      </c>
      <c r="L1231" s="5"/>
      <c r="M1231" s="5"/>
      <c r="N1231" s="5"/>
      <c r="O1231" s="5"/>
    </row>
    <row r="1232" spans="1:15" ht="15.6" x14ac:dyDescent="0.3">
      <c r="C1232" s="9"/>
      <c r="I1232" s="9"/>
      <c r="J1232" s="105" t="e">
        <f>+SUM(J1213:J1231)</f>
        <v>#REF!</v>
      </c>
      <c r="K1232" s="106" t="e">
        <f>+J1232-I989</f>
        <v>#REF!</v>
      </c>
      <c r="L1232" s="5"/>
      <c r="M1232" s="5"/>
      <c r="N1232" s="5"/>
      <c r="O1232" s="5"/>
    </row>
    <row r="1234" spans="1:15" x14ac:dyDescent="0.3">
      <c r="A1234" s="16" t="s">
        <v>52</v>
      </c>
      <c r="B1234" s="16"/>
      <c r="C1234" s="16"/>
      <c r="D1234" s="17"/>
      <c r="E1234" s="17"/>
      <c r="F1234" s="17"/>
      <c r="G1234" s="17"/>
      <c r="H1234" s="17"/>
      <c r="I1234" s="17"/>
      <c r="L1234" s="5"/>
      <c r="M1234" s="5"/>
      <c r="N1234" s="5"/>
      <c r="O1234" s="5"/>
    </row>
    <row r="1235" spans="1:15" x14ac:dyDescent="0.3">
      <c r="A1235" s="18" t="s">
        <v>78</v>
      </c>
      <c r="B1235" s="18"/>
      <c r="C1235" s="18"/>
      <c r="D1235" s="18"/>
      <c r="E1235" s="18"/>
      <c r="F1235" s="18"/>
      <c r="G1235" s="18"/>
      <c r="H1235" s="18"/>
      <c r="I1235" s="18"/>
      <c r="J1235" s="17"/>
      <c r="L1235" s="5"/>
      <c r="M1235" s="5"/>
      <c r="N1235" s="5"/>
      <c r="O1235" s="5"/>
    </row>
    <row r="1236" spans="1:15" x14ac:dyDescent="0.3">
      <c r="A1236" s="19"/>
      <c r="B1236" s="17"/>
      <c r="C1236" s="20"/>
      <c r="D1236" s="20"/>
      <c r="E1236" s="20"/>
      <c r="F1236" s="20"/>
      <c r="G1236" s="20"/>
      <c r="H1236" s="17"/>
      <c r="I1236" s="17"/>
      <c r="J1236" s="18"/>
      <c r="L1236" s="5"/>
      <c r="M1236" s="5"/>
      <c r="N1236" s="5"/>
      <c r="O1236" s="5"/>
    </row>
    <row r="1237" spans="1:15" x14ac:dyDescent="0.3">
      <c r="A1237" s="315" t="s">
        <v>53</v>
      </c>
      <c r="B1237" s="317" t="s">
        <v>54</v>
      </c>
      <c r="C1237" s="319" t="s">
        <v>80</v>
      </c>
      <c r="D1237" s="321" t="s">
        <v>55</v>
      </c>
      <c r="E1237" s="322"/>
      <c r="F1237" s="322"/>
      <c r="G1237" s="323"/>
      <c r="H1237" s="324" t="s">
        <v>56</v>
      </c>
      <c r="I1237" s="311" t="s">
        <v>57</v>
      </c>
      <c r="J1237" s="17"/>
      <c r="L1237" s="5"/>
      <c r="M1237" s="5"/>
      <c r="N1237" s="5"/>
      <c r="O1237" s="5"/>
    </row>
    <row r="1238" spans="1:15" ht="36.75" customHeight="1" x14ac:dyDescent="0.3">
      <c r="A1238" s="316"/>
      <c r="B1238" s="318"/>
      <c r="C1238" s="320"/>
      <c r="D1238" s="21" t="s">
        <v>24</v>
      </c>
      <c r="E1238" s="21" t="s">
        <v>25</v>
      </c>
      <c r="F1238" s="22" t="s">
        <v>69</v>
      </c>
      <c r="G1238" s="21" t="s">
        <v>58</v>
      </c>
      <c r="H1238" s="325"/>
      <c r="I1238" s="312"/>
      <c r="J1238" s="313" t="s">
        <v>86</v>
      </c>
      <c r="L1238" s="5"/>
      <c r="M1238" s="5"/>
      <c r="N1238" s="5"/>
      <c r="O1238" s="5"/>
    </row>
    <row r="1239" spans="1:15" x14ac:dyDescent="0.3">
      <c r="A1239" s="23"/>
      <c r="B1239" s="24" t="s">
        <v>59</v>
      </c>
      <c r="C1239" s="25"/>
      <c r="D1239" s="25"/>
      <c r="E1239" s="25"/>
      <c r="F1239" s="25"/>
      <c r="G1239" s="25"/>
      <c r="H1239" s="25"/>
      <c r="I1239" s="26"/>
      <c r="J1239" s="314"/>
      <c r="L1239" s="5"/>
      <c r="M1239" s="5"/>
      <c r="N1239" s="5"/>
      <c r="O1239" s="5"/>
    </row>
    <row r="1240" spans="1:15" x14ac:dyDescent="0.3">
      <c r="A1240" s="27" t="s">
        <v>79</v>
      </c>
      <c r="B1240" s="8" t="s">
        <v>76</v>
      </c>
      <c r="C1240" s="28">
        <v>0</v>
      </c>
      <c r="D1240" s="29"/>
      <c r="E1240" s="29">
        <v>40000</v>
      </c>
      <c r="F1240" s="29"/>
      <c r="G1240" s="29"/>
      <c r="H1240" s="55"/>
      <c r="I1240" s="33">
        <v>39200</v>
      </c>
      <c r="J1240" s="30">
        <f>+SUM(C1240:G1240)-(H1240+I1240)</f>
        <v>800</v>
      </c>
      <c r="L1240" s="5"/>
      <c r="M1240" s="5"/>
      <c r="N1240" s="5"/>
      <c r="O1240" s="5"/>
    </row>
    <row r="1241" spans="1:15" x14ac:dyDescent="0.3">
      <c r="A1241" s="27" t="s">
        <v>79</v>
      </c>
      <c r="B1241" s="8" t="str">
        <f>+A978</f>
        <v>JUILLET</v>
      </c>
      <c r="C1241" s="28">
        <v>19060</v>
      </c>
      <c r="D1241" s="29"/>
      <c r="E1241" s="29">
        <v>20000</v>
      </c>
      <c r="F1241" s="29"/>
      <c r="G1241" s="29"/>
      <c r="H1241" s="55"/>
      <c r="I1241" s="33">
        <v>36000</v>
      </c>
      <c r="J1241" s="30">
        <f t="shared" ref="J1241:J1248" si="577">+SUM(C1241:G1241)-(H1241+I1241)</f>
        <v>3060</v>
      </c>
      <c r="L1241" s="5"/>
      <c r="M1241" s="5"/>
      <c r="N1241" s="5"/>
      <c r="O1241" s="5"/>
    </row>
    <row r="1242" spans="1:15" x14ac:dyDescent="0.3">
      <c r="A1242" s="27" t="s">
        <v>79</v>
      </c>
      <c r="B1242" s="8" t="str">
        <f>+A979</f>
        <v>JUILLET</v>
      </c>
      <c r="C1242" s="28">
        <v>8395</v>
      </c>
      <c r="D1242" s="29"/>
      <c r="E1242" s="29">
        <v>20000</v>
      </c>
      <c r="F1242" s="100"/>
      <c r="G1242" s="100"/>
      <c r="H1242" s="32"/>
      <c r="I1242" s="54">
        <v>20000</v>
      </c>
      <c r="J1242" s="101">
        <f t="shared" si="577"/>
        <v>8395</v>
      </c>
      <c r="L1242" s="5"/>
      <c r="M1242" s="5"/>
      <c r="N1242" s="5"/>
      <c r="O1242" s="5"/>
    </row>
    <row r="1243" spans="1:15" x14ac:dyDescent="0.3">
      <c r="A1243" s="27" t="s">
        <v>79</v>
      </c>
      <c r="B1243" s="8" t="str">
        <f>+A980</f>
        <v>JUILLET</v>
      </c>
      <c r="C1243" s="28">
        <v>0</v>
      </c>
      <c r="D1243" s="56"/>
      <c r="E1243" s="29">
        <v>100000</v>
      </c>
      <c r="F1243" s="100">
        <v>102200</v>
      </c>
      <c r="G1243" s="100"/>
      <c r="H1243" s="32"/>
      <c r="I1243" s="32">
        <v>204000</v>
      </c>
      <c r="J1243" s="101">
        <f>+SUM(C1243:G1243)-(H1243+I1243)</f>
        <v>-1800</v>
      </c>
      <c r="L1243" s="5"/>
      <c r="M1243" s="5"/>
      <c r="N1243" s="5"/>
      <c r="O1243" s="5"/>
    </row>
    <row r="1244" spans="1:15" x14ac:dyDescent="0.3">
      <c r="A1244" s="27" t="s">
        <v>79</v>
      </c>
      <c r="B1244" s="8" t="e">
        <f>+#REF!</f>
        <v>#REF!</v>
      </c>
      <c r="C1244" s="28">
        <v>7559</v>
      </c>
      <c r="D1244" s="56"/>
      <c r="E1244" s="29">
        <v>866200</v>
      </c>
      <c r="F1244" s="100"/>
      <c r="G1244" s="100"/>
      <c r="H1244" s="32">
        <v>252200</v>
      </c>
      <c r="I1244" s="33">
        <v>605575</v>
      </c>
      <c r="J1244" s="101">
        <f t="shared" si="577"/>
        <v>15984</v>
      </c>
      <c r="L1244" s="5"/>
      <c r="M1244" s="5"/>
      <c r="N1244" s="5"/>
      <c r="O1244" s="5"/>
    </row>
    <row r="1245" spans="1:15" x14ac:dyDescent="0.3">
      <c r="A1245" s="27" t="s">
        <v>79</v>
      </c>
      <c r="B1245" s="8" t="str">
        <f t="shared" ref="B1245:B1248" si="578">+A981</f>
        <v>JUILLET</v>
      </c>
      <c r="C1245" s="28">
        <v>214000</v>
      </c>
      <c r="D1245" s="29"/>
      <c r="E1245" s="29">
        <v>724100</v>
      </c>
      <c r="F1245" s="100"/>
      <c r="G1245" s="100"/>
      <c r="H1245" s="32"/>
      <c r="I1245" s="33">
        <v>960000</v>
      </c>
      <c r="J1245" s="101">
        <f>+SUM(C1245:G1245)-(H1245+I1245)</f>
        <v>-21900</v>
      </c>
      <c r="L1245" s="5"/>
      <c r="M1245" s="5"/>
      <c r="N1245" s="5"/>
      <c r="O1245" s="5"/>
    </row>
    <row r="1246" spans="1:15" x14ac:dyDescent="0.3">
      <c r="A1246" s="27" t="s">
        <v>79</v>
      </c>
      <c r="B1246" s="8" t="str">
        <f t="shared" si="578"/>
        <v>JUILLET</v>
      </c>
      <c r="C1246" s="28">
        <v>-13805</v>
      </c>
      <c r="D1246" s="29"/>
      <c r="E1246" s="29">
        <v>333400</v>
      </c>
      <c r="F1246" s="29">
        <v>150000</v>
      </c>
      <c r="G1246" s="29"/>
      <c r="H1246" s="32">
        <v>129000</v>
      </c>
      <c r="I1246" s="33">
        <v>338905</v>
      </c>
      <c r="J1246" s="30">
        <f>+SUM(C1246:G1246)-(H1246+I1246)</f>
        <v>1690</v>
      </c>
      <c r="L1246" s="5"/>
      <c r="M1246" s="5"/>
      <c r="N1246" s="5"/>
      <c r="O1246" s="5"/>
    </row>
    <row r="1247" spans="1:15" x14ac:dyDescent="0.3">
      <c r="A1247" s="27" t="s">
        <v>79</v>
      </c>
      <c r="B1247" s="8" t="str">
        <f t="shared" si="578"/>
        <v>JUILLET</v>
      </c>
      <c r="C1247" s="28">
        <v>84350</v>
      </c>
      <c r="D1247" s="29"/>
      <c r="E1247" s="29">
        <v>669400</v>
      </c>
      <c r="F1247" s="29"/>
      <c r="G1247" s="29"/>
      <c r="H1247" s="32">
        <v>100000</v>
      </c>
      <c r="I1247" s="33">
        <v>674700</v>
      </c>
      <c r="J1247" s="30">
        <f>+SUM(C1247:G1247)-(H1247+I1247)</f>
        <v>-20950</v>
      </c>
      <c r="L1247" s="5"/>
      <c r="M1247" s="5"/>
      <c r="N1247" s="5"/>
      <c r="O1247" s="5"/>
    </row>
    <row r="1248" spans="1:15" x14ac:dyDescent="0.3">
      <c r="A1248" s="27" t="s">
        <v>79</v>
      </c>
      <c r="B1248" s="8" t="str">
        <f t="shared" si="578"/>
        <v>JUILLET</v>
      </c>
      <c r="C1248" s="28">
        <v>-216251</v>
      </c>
      <c r="D1248" s="29"/>
      <c r="E1248" s="29">
        <v>242000</v>
      </c>
      <c r="F1248" s="29"/>
      <c r="G1248" s="29"/>
      <c r="H1248" s="32"/>
      <c r="I1248" s="54">
        <v>34830</v>
      </c>
      <c r="J1248" s="30">
        <f t="shared" si="577"/>
        <v>-9081</v>
      </c>
      <c r="L1248" s="5"/>
      <c r="M1248" s="5"/>
      <c r="N1248" s="5"/>
      <c r="O1248" s="5"/>
    </row>
    <row r="1249" spans="1:15" x14ac:dyDescent="0.3">
      <c r="A1249" s="27" t="s">
        <v>79</v>
      </c>
      <c r="B1249" s="8" t="s">
        <v>33</v>
      </c>
      <c r="C1249" s="28">
        <v>2025</v>
      </c>
      <c r="D1249" s="29"/>
      <c r="E1249" s="29">
        <v>25000</v>
      </c>
      <c r="F1249" s="29"/>
      <c r="G1249" s="29"/>
      <c r="H1249" s="32">
        <v>3025</v>
      </c>
      <c r="I1249" s="33">
        <v>24000</v>
      </c>
      <c r="J1249" s="30">
        <f>+SUM(C1249:G1249)-(H1249+I1249)</f>
        <v>0</v>
      </c>
      <c r="L1249" s="5"/>
      <c r="M1249" s="5"/>
      <c r="N1249" s="5"/>
      <c r="O1249" s="5"/>
    </row>
    <row r="1250" spans="1:15" x14ac:dyDescent="0.3">
      <c r="A1250" s="27" t="s">
        <v>79</v>
      </c>
      <c r="B1250" s="8" t="s">
        <v>32</v>
      </c>
      <c r="C1250" s="28">
        <v>10000</v>
      </c>
      <c r="D1250" s="31"/>
      <c r="E1250" s="29">
        <v>0</v>
      </c>
      <c r="F1250" s="31"/>
      <c r="G1250" s="31"/>
      <c r="H1250" s="32"/>
      <c r="I1250" s="33">
        <v>4700</v>
      </c>
      <c r="J1250" s="30">
        <f>+SUM(C1250:G1250)-(H1250+I1250)</f>
        <v>5300</v>
      </c>
      <c r="L1250" s="5"/>
      <c r="M1250" s="5"/>
      <c r="N1250" s="5"/>
      <c r="O1250" s="5"/>
    </row>
    <row r="1251" spans="1:15" x14ac:dyDescent="0.3">
      <c r="A1251" s="34" t="s">
        <v>60</v>
      </c>
      <c r="B1251" s="35"/>
      <c r="C1251" s="35"/>
      <c r="D1251" s="35"/>
      <c r="E1251" s="35"/>
      <c r="F1251" s="35"/>
      <c r="G1251" s="35"/>
      <c r="H1251" s="35"/>
      <c r="I1251" s="35"/>
      <c r="J1251" s="36"/>
      <c r="L1251" s="5"/>
      <c r="M1251" s="5"/>
      <c r="N1251" s="5"/>
      <c r="O1251" s="5"/>
    </row>
    <row r="1252" spans="1:15" x14ac:dyDescent="0.3">
      <c r="A1252" s="27" t="s">
        <v>79</v>
      </c>
      <c r="B1252" s="37" t="s">
        <v>61</v>
      </c>
      <c r="C1252" s="38">
        <v>791675</v>
      </c>
      <c r="D1252" s="39">
        <v>3185100</v>
      </c>
      <c r="E1252" s="39"/>
      <c r="F1252" s="39"/>
      <c r="G1252" s="40">
        <v>237025</v>
      </c>
      <c r="H1252" s="47">
        <v>3045100</v>
      </c>
      <c r="I1252" s="41">
        <v>876121</v>
      </c>
      <c r="J1252" s="42">
        <f>+SUM(C1252:G1252)-(H1252+I1252)</f>
        <v>292579</v>
      </c>
      <c r="L1252" s="5"/>
      <c r="M1252" s="5"/>
      <c r="N1252" s="5"/>
      <c r="O1252" s="5"/>
    </row>
    <row r="1253" spans="1:15" x14ac:dyDescent="0.3">
      <c r="A1253" s="43" t="s">
        <v>62</v>
      </c>
      <c r="B1253" s="24"/>
      <c r="C1253" s="35"/>
      <c r="D1253" s="24"/>
      <c r="E1253" s="24"/>
      <c r="F1253" s="24"/>
      <c r="G1253" s="24"/>
      <c r="H1253" s="24"/>
      <c r="I1253" s="24"/>
      <c r="J1253" s="36"/>
      <c r="L1253" s="5"/>
      <c r="M1253" s="5"/>
      <c r="N1253" s="5"/>
      <c r="O1253" s="5"/>
    </row>
    <row r="1254" spans="1:15" x14ac:dyDescent="0.3">
      <c r="A1254" s="27" t="s">
        <v>79</v>
      </c>
      <c r="B1254" s="37" t="s">
        <v>63</v>
      </c>
      <c r="C1254" s="44">
        <v>8039273</v>
      </c>
      <c r="D1254" s="52">
        <v>0</v>
      </c>
      <c r="E1254" s="49"/>
      <c r="F1254" s="49"/>
      <c r="G1254" s="49"/>
      <c r="H1254" s="51">
        <v>3000000</v>
      </c>
      <c r="I1254" s="53">
        <v>224679</v>
      </c>
      <c r="J1254" s="30">
        <f>+SUM(C1254:G1254)-(H1254+I1254)</f>
        <v>4814594</v>
      </c>
      <c r="L1254" s="5"/>
      <c r="M1254" s="5"/>
      <c r="N1254" s="5"/>
      <c r="O1254" s="5"/>
    </row>
    <row r="1255" spans="1:15" x14ac:dyDescent="0.3">
      <c r="A1255" s="27" t="s">
        <v>79</v>
      </c>
      <c r="B1255" s="37" t="s">
        <v>64</v>
      </c>
      <c r="C1255" s="44">
        <v>13283340</v>
      </c>
      <c r="D1255" s="49">
        <v>0</v>
      </c>
      <c r="E1255" s="48"/>
      <c r="F1255" s="48"/>
      <c r="G1255" s="48"/>
      <c r="H1255" s="32">
        <v>185100</v>
      </c>
      <c r="I1255" s="50">
        <v>8352406</v>
      </c>
      <c r="J1255" s="30">
        <f>SUM(C1255:G1255)-(H1255+I1255)</f>
        <v>4745834</v>
      </c>
    </row>
    <row r="1256" spans="1:15" x14ac:dyDescent="0.3">
      <c r="A1256" s="45" t="s">
        <v>79</v>
      </c>
      <c r="B1256" s="145" t="s">
        <v>82</v>
      </c>
      <c r="C1256" s="44">
        <v>3721074</v>
      </c>
      <c r="D1256" s="45"/>
      <c r="E1256" s="45"/>
      <c r="F1256" s="45"/>
      <c r="G1256" s="45"/>
      <c r="H1256" s="45"/>
      <c r="I1256" s="45"/>
      <c r="J1256" s="101">
        <f>SUM(C1256:G1256)-(H1256+I1256)</f>
        <v>3721074</v>
      </c>
    </row>
    <row r="1257" spans="1:15" x14ac:dyDescent="0.3">
      <c r="A1257" s="45" t="s">
        <v>79</v>
      </c>
      <c r="B1257" s="145" t="s">
        <v>83</v>
      </c>
      <c r="C1257" s="44">
        <v>249769</v>
      </c>
      <c r="D1257" s="49"/>
      <c r="E1257" s="49"/>
      <c r="F1257" s="49"/>
      <c r="G1257" s="49"/>
      <c r="H1257" s="32"/>
      <c r="I1257" s="50"/>
      <c r="J1257" s="101">
        <f>SUM(C1257:G1257)-(H1257+I1257)</f>
        <v>249769</v>
      </c>
    </row>
    <row r="1258" spans="1:15" x14ac:dyDescent="0.3">
      <c r="A1258" s="45" t="s">
        <v>79</v>
      </c>
      <c r="B1258" s="146" t="s">
        <v>84</v>
      </c>
      <c r="C1258" s="44">
        <v>233614</v>
      </c>
      <c r="D1258" s="49"/>
      <c r="E1258" s="49"/>
      <c r="F1258" s="49"/>
      <c r="G1258" s="49"/>
      <c r="H1258" s="32"/>
      <c r="I1258" s="50"/>
      <c r="J1258" s="101">
        <f>SUM(C1258:G1258)-(H1258+I1258)</f>
        <v>233614</v>
      </c>
    </row>
    <row r="1259" spans="1:15" x14ac:dyDescent="0.3">
      <c r="A1259" s="45" t="s">
        <v>79</v>
      </c>
      <c r="B1259" s="147" t="s">
        <v>85</v>
      </c>
      <c r="C1259" s="44">
        <v>330169</v>
      </c>
      <c r="D1259" s="45"/>
      <c r="E1259" s="45"/>
      <c r="F1259" s="45"/>
      <c r="G1259" s="45"/>
      <c r="H1259" s="45"/>
      <c r="I1259" s="45"/>
      <c r="J1259" s="101">
        <f>SUM(C1259:G1259)-(H1259+I1259)</f>
        <v>330169</v>
      </c>
    </row>
    <row r="1260" spans="1:15" ht="15.6" x14ac:dyDescent="0.3">
      <c r="C1260" s="9"/>
      <c r="I1260" s="9"/>
      <c r="J1260" s="105">
        <f>+SUM(J1240:J1259)</f>
        <v>14369131</v>
      </c>
    </row>
    <row r="1261" spans="1:15" x14ac:dyDescent="0.3">
      <c r="C1261" s="9"/>
      <c r="I1261" s="9"/>
      <c r="J1261" s="9"/>
    </row>
    <row r="1262" spans="1:15" s="70" customFormat="1" x14ac:dyDescent="0.3">
      <c r="A1262" s="69" t="s">
        <v>65</v>
      </c>
      <c r="B1262" s="69"/>
      <c r="C1262" s="69"/>
      <c r="D1262" s="69"/>
      <c r="E1262" s="69"/>
      <c r="F1262" s="69"/>
      <c r="G1262" s="69"/>
      <c r="H1262" s="69"/>
      <c r="I1262" s="69"/>
      <c r="J1262" s="17"/>
      <c r="L1262" s="71"/>
      <c r="M1262" s="71"/>
      <c r="N1262" s="71"/>
      <c r="O1262" s="71"/>
    </row>
    <row r="1263" spans="1:15" s="70" customFormat="1" x14ac:dyDescent="0.3">
      <c r="A1263" s="19"/>
      <c r="B1263" s="17"/>
      <c r="C1263" s="72"/>
      <c r="D1263" s="72"/>
      <c r="E1263" s="72"/>
      <c r="F1263" s="72"/>
      <c r="G1263" s="72"/>
      <c r="H1263" s="17"/>
      <c r="I1263" s="17"/>
      <c r="J1263" s="69"/>
      <c r="L1263" s="71"/>
      <c r="M1263" s="71"/>
      <c r="N1263" s="71"/>
      <c r="O1263" s="71"/>
    </row>
    <row r="1264" spans="1:15" s="70" customFormat="1" x14ac:dyDescent="0.3">
      <c r="A1264" s="315" t="s">
        <v>53</v>
      </c>
      <c r="B1264" s="317" t="s">
        <v>54</v>
      </c>
      <c r="C1264" s="319" t="s">
        <v>67</v>
      </c>
      <c r="D1264" s="338" t="s">
        <v>55</v>
      </c>
      <c r="E1264" s="339"/>
      <c r="F1264" s="339"/>
      <c r="G1264" s="340"/>
      <c r="H1264" s="341" t="s">
        <v>56</v>
      </c>
      <c r="I1264" s="343" t="s">
        <v>57</v>
      </c>
      <c r="J1264" s="17"/>
      <c r="L1264" s="71"/>
      <c r="M1264" s="71"/>
      <c r="N1264" s="71"/>
      <c r="O1264" s="71"/>
    </row>
    <row r="1265" spans="1:15" s="70" customFormat="1" x14ac:dyDescent="0.3">
      <c r="A1265" s="316"/>
      <c r="B1265" s="318"/>
      <c r="C1265" s="320"/>
      <c r="D1265" s="21" t="s">
        <v>24</v>
      </c>
      <c r="E1265" s="21" t="s">
        <v>25</v>
      </c>
      <c r="F1265" s="22" t="s">
        <v>69</v>
      </c>
      <c r="G1265" s="21" t="s">
        <v>58</v>
      </c>
      <c r="H1265" s="342"/>
      <c r="I1265" s="344"/>
      <c r="J1265" s="313" t="s">
        <v>68</v>
      </c>
      <c r="L1265" s="71"/>
      <c r="M1265" s="71"/>
      <c r="N1265" s="71"/>
      <c r="O1265" s="71"/>
    </row>
    <row r="1266" spans="1:15" s="70" customFormat="1" x14ac:dyDescent="0.3">
      <c r="A1266" s="73"/>
      <c r="B1266" s="74" t="s">
        <v>59</v>
      </c>
      <c r="C1266" s="75"/>
      <c r="D1266" s="75"/>
      <c r="E1266" s="75"/>
      <c r="F1266" s="75"/>
      <c r="G1266" s="75"/>
      <c r="H1266" s="75"/>
      <c r="I1266" s="76"/>
      <c r="J1266" s="314"/>
      <c r="L1266" s="71"/>
      <c r="M1266" s="71"/>
      <c r="N1266" s="71"/>
      <c r="O1266" s="71"/>
    </row>
    <row r="1267" spans="1:15" s="70" customFormat="1" x14ac:dyDescent="0.3">
      <c r="A1267" s="77" t="s">
        <v>66</v>
      </c>
      <c r="B1267" s="8" t="s">
        <v>47</v>
      </c>
      <c r="C1267" s="78">
        <v>40560</v>
      </c>
      <c r="D1267" s="29"/>
      <c r="E1267" s="29">
        <v>0</v>
      </c>
      <c r="F1267" s="29"/>
      <c r="G1267" s="29"/>
      <c r="H1267" s="79"/>
      <c r="I1267" s="80">
        <f>+SUM([1]COMPTA_CREPIN!$F$3050:$F$3066)</f>
        <v>21500</v>
      </c>
      <c r="J1267" s="30">
        <f>+SUM(C1267:G1267)-(H1267+I1267)</f>
        <v>19060</v>
      </c>
      <c r="L1267" s="71"/>
      <c r="M1267" s="71"/>
      <c r="N1267" s="71"/>
      <c r="O1267" s="71"/>
    </row>
    <row r="1268" spans="1:15" s="70" customFormat="1" x14ac:dyDescent="0.3">
      <c r="A1268" s="77" t="s">
        <v>66</v>
      </c>
      <c r="B1268" s="8" t="s">
        <v>28</v>
      </c>
      <c r="C1268" s="78">
        <v>227975</v>
      </c>
      <c r="D1268" s="29"/>
      <c r="E1268" s="29">
        <f>+'[2]Compta Dalia (2)'!$E$1908+'[2]Compta Dalia (2)'!$E$1909+'[2]Compta Dalia (2)'!$E$1911+'[2]Compta Dalia (2)'!$E$1917</f>
        <v>119600</v>
      </c>
      <c r="F1268" s="29"/>
      <c r="G1268" s="29"/>
      <c r="H1268" s="79">
        <f>+'[2]Compta Dalia (2)'!$F$1919</f>
        <v>1635</v>
      </c>
      <c r="I1268" s="80">
        <v>345940</v>
      </c>
      <c r="J1268" s="30">
        <f t="shared" ref="J1268:J1275" si="579">+SUM(C1268:G1268)-(H1268+I1268)</f>
        <v>0</v>
      </c>
      <c r="L1268" s="71"/>
      <c r="M1268" s="71"/>
      <c r="N1268" s="71"/>
      <c r="O1268" s="71"/>
    </row>
    <row r="1269" spans="1:15" s="70" customFormat="1" x14ac:dyDescent="0.3">
      <c r="A1269" s="77" t="s">
        <v>66</v>
      </c>
      <c r="B1269" s="8" t="s">
        <v>31</v>
      </c>
      <c r="C1269" s="78">
        <v>-605</v>
      </c>
      <c r="D1269" s="29"/>
      <c r="E1269" s="29">
        <f>+'[3]compta (3)'!$E$2556+'[3]compta (3)'!$E$2557+'[3]compta (3)'!$E$2558</f>
        <v>30000</v>
      </c>
      <c r="F1269" s="29"/>
      <c r="G1269" s="29"/>
      <c r="H1269" s="81"/>
      <c r="I1269" s="82">
        <f>'[3]compta (3)'!$F$2559</f>
        <v>21000</v>
      </c>
      <c r="J1269" s="30">
        <f t="shared" si="579"/>
        <v>8395</v>
      </c>
      <c r="L1269" s="71"/>
      <c r="M1269" s="71"/>
      <c r="N1269" s="71"/>
      <c r="O1269" s="71"/>
    </row>
    <row r="1270" spans="1:15" s="70" customFormat="1" x14ac:dyDescent="0.3">
      <c r="A1270" s="77" t="s">
        <v>66</v>
      </c>
      <c r="B1270" s="99" t="s">
        <v>26</v>
      </c>
      <c r="C1270" s="78">
        <v>264659</v>
      </c>
      <c r="D1270" s="100"/>
      <c r="E1270" s="100">
        <f>+'[4]compta (2)'!$E$2521+'[4]compta (2)'!$E$2525+'[4]compta (2)'!$E$2527+'[4]compta (2)'!$E$2529</f>
        <v>325000</v>
      </c>
      <c r="F1270" s="100"/>
      <c r="G1270" s="100"/>
      <c r="H1270" s="32">
        <f>'[4]compta (2)'!$F$2528+60000</f>
        <v>75000</v>
      </c>
      <c r="I1270" s="32">
        <f>'[4]compta (2)'!$F$2522+'[4]compta (2)'!$F$2523+'[4]compta (2)'!$F$2524+'[4]compta (2)'!$F$2526+'[4]compta (2)'!$F$2530+'[4]compta (2)'!$F$2532+'[4]compta (2)'!$F$2533+'[4]compta (2)'!$F$2534</f>
        <v>507100</v>
      </c>
      <c r="J1270" s="101">
        <f t="shared" si="579"/>
        <v>7559</v>
      </c>
      <c r="L1270" s="71"/>
      <c r="M1270" s="71"/>
      <c r="N1270" s="71"/>
      <c r="O1270" s="71"/>
    </row>
    <row r="1271" spans="1:15" s="70" customFormat="1" x14ac:dyDescent="0.3">
      <c r="A1271" s="77" t="s">
        <v>66</v>
      </c>
      <c r="B1271" s="99" t="s">
        <v>48</v>
      </c>
      <c r="C1271" s="78">
        <v>272500</v>
      </c>
      <c r="D1271" s="100"/>
      <c r="E1271" s="100">
        <f>+'[5]COMPTA_I23C (2)'!$E$4171+'[5]COMPTA_I23C (2)'!$E$4172+'[5]COMPTA_I23C (2)'!$E$4174+'[5]COMPTA_I23C (2)'!$E$4178+'[5]COMPTA_I23C (2)'!$E$4180+'[5]COMPTA_I23C (2)'!$E$4181</f>
        <v>695000</v>
      </c>
      <c r="F1271" s="100"/>
      <c r="G1271" s="100"/>
      <c r="H1271" s="32"/>
      <c r="I1271" s="78">
        <v>753500</v>
      </c>
      <c r="J1271" s="101">
        <f t="shared" si="579"/>
        <v>214000</v>
      </c>
      <c r="L1271" s="71"/>
      <c r="M1271" s="71"/>
      <c r="N1271" s="71"/>
      <c r="O1271" s="71"/>
    </row>
    <row r="1272" spans="1:15" s="70" customFormat="1" x14ac:dyDescent="0.3">
      <c r="A1272" s="77" t="s">
        <v>66</v>
      </c>
      <c r="B1272" s="8" t="s">
        <v>35</v>
      </c>
      <c r="C1272" s="78">
        <v>284595</v>
      </c>
      <c r="D1272" s="29"/>
      <c r="E1272" s="29">
        <f>+'[6]Feuil1 (2)'!$E$2684+'[6]Feuil1 (2)'!$E$2689+'[6]Feuil1 (2)'!$E$2691</f>
        <v>275000</v>
      </c>
      <c r="F1272" s="29">
        <f>'[4]compta (2)'!$F$2531</f>
        <v>60000</v>
      </c>
      <c r="G1272" s="29"/>
      <c r="H1272" s="81"/>
      <c r="I1272" s="80">
        <v>633400</v>
      </c>
      <c r="J1272" s="30">
        <f t="shared" si="579"/>
        <v>-13805</v>
      </c>
      <c r="L1272" s="71"/>
      <c r="M1272" s="71"/>
      <c r="N1272" s="71"/>
      <c r="O1272" s="71"/>
    </row>
    <row r="1273" spans="1:15" s="70" customFormat="1" x14ac:dyDescent="0.3">
      <c r="A1273" s="77" t="s">
        <v>66</v>
      </c>
      <c r="B1273" s="8" t="s">
        <v>27</v>
      </c>
      <c r="C1273" s="78">
        <v>-1750</v>
      </c>
      <c r="D1273" s="29"/>
      <c r="E1273" s="29">
        <f>+'[7]Compta Jospin (2)'!$E$1583+'[7]Compta Jospin (2)'!$E$1584+'[7]Compta Jospin (2)'!$E$1587</f>
        <v>96400</v>
      </c>
      <c r="F1273" s="29"/>
      <c r="G1273" s="29"/>
      <c r="H1273" s="81">
        <f>+'[7]Compta Jospin (2)'!$F$1592</f>
        <v>950</v>
      </c>
      <c r="I1273" s="80">
        <v>93700</v>
      </c>
      <c r="J1273" s="30">
        <f t="shared" si="579"/>
        <v>0</v>
      </c>
      <c r="L1273" s="71"/>
      <c r="M1273" s="71"/>
      <c r="N1273" s="71"/>
      <c r="O1273" s="71"/>
    </row>
    <row r="1274" spans="1:15" s="70" customFormat="1" x14ac:dyDescent="0.3">
      <c r="A1274" s="77" t="s">
        <v>66</v>
      </c>
      <c r="B1274" s="8" t="s">
        <v>29</v>
      </c>
      <c r="C1274" s="78">
        <v>265600</v>
      </c>
      <c r="D1274" s="29"/>
      <c r="E1274" s="29">
        <f>+'[8]COMPT-P29 (2)'!$E$190+'[8]COMPT-P29 (2)'!$E$191+'[8]COMPT-P29 (2)'!$E$196+'[8]COMPT-P29 (2)'!$E$201+'[8]COMPT-P29 (2)'!$E$202+'[8]COMPT-P29 (2)'!$E$204+'[8]COMPT-P29 (2)'!$E$207+'[8]COMPT-P29 (2)'!$E$215</f>
        <v>855600</v>
      </c>
      <c r="F1274" s="29"/>
      <c r="G1274" s="29"/>
      <c r="H1274" s="81"/>
      <c r="I1274" s="80">
        <v>1036850</v>
      </c>
      <c r="J1274" s="30">
        <f t="shared" si="579"/>
        <v>84350</v>
      </c>
      <c r="L1274" s="71"/>
      <c r="M1274" s="71"/>
      <c r="N1274" s="71"/>
      <c r="O1274" s="71"/>
    </row>
    <row r="1275" spans="1:15" s="70" customFormat="1" x14ac:dyDescent="0.3">
      <c r="A1275" s="77" t="s">
        <v>66</v>
      </c>
      <c r="B1275" s="8" t="s">
        <v>49</v>
      </c>
      <c r="C1275" s="78">
        <f t="shared" ref="C1275" si="580">+C1248</f>
        <v>-216251</v>
      </c>
      <c r="D1275" s="29"/>
      <c r="E1275" s="29">
        <v>0</v>
      </c>
      <c r="F1275" s="29"/>
      <c r="G1275" s="29"/>
      <c r="H1275" s="81"/>
      <c r="I1275" s="82">
        <v>0</v>
      </c>
      <c r="J1275" s="30">
        <f t="shared" si="579"/>
        <v>-216251</v>
      </c>
      <c r="L1275" s="71"/>
      <c r="M1275" s="71"/>
      <c r="N1275" s="71"/>
      <c r="O1275" s="71"/>
    </row>
    <row r="1276" spans="1:15" s="70" customFormat="1" x14ac:dyDescent="0.3">
      <c r="A1276" s="77" t="s">
        <v>66</v>
      </c>
      <c r="B1276" s="8" t="s">
        <v>33</v>
      </c>
      <c r="C1276" s="78">
        <v>1025</v>
      </c>
      <c r="D1276" s="29"/>
      <c r="E1276" s="29">
        <f>+'[9]compta shely'!$E$90+'[9]compta shely'!$E$97+'[9]compta shely'!$E$100</f>
        <v>25000</v>
      </c>
      <c r="F1276" s="29"/>
      <c r="G1276" s="29"/>
      <c r="H1276" s="81"/>
      <c r="I1276" s="80">
        <v>24000</v>
      </c>
      <c r="J1276" s="30">
        <f>+SUM(C1276:G1276)-(H1276+I1276)</f>
        <v>2025</v>
      </c>
      <c r="L1276" s="71"/>
      <c r="M1276" s="71"/>
      <c r="N1276" s="71"/>
      <c r="O1276" s="71"/>
    </row>
    <row r="1277" spans="1:15" s="70" customFormat="1" x14ac:dyDescent="0.3">
      <c r="A1277" s="31" t="s">
        <v>66</v>
      </c>
      <c r="B1277" s="8" t="s">
        <v>32</v>
      </c>
      <c r="C1277" s="78">
        <v>0</v>
      </c>
      <c r="D1277" s="31"/>
      <c r="E1277" s="31">
        <f>+'[10]compta ted'!$E$11</f>
        <v>10000</v>
      </c>
      <c r="F1277" s="31"/>
      <c r="G1277" s="31"/>
      <c r="H1277" s="81"/>
      <c r="I1277" s="80">
        <v>0</v>
      </c>
      <c r="J1277" s="30">
        <f>+SUM(C1277:G1277)-(H1277+I1277)</f>
        <v>10000</v>
      </c>
      <c r="L1277" s="71"/>
      <c r="M1277" s="71"/>
      <c r="N1277" s="71"/>
      <c r="O1277" s="71"/>
    </row>
    <row r="1278" spans="1:15" s="70" customFormat="1" x14ac:dyDescent="0.3">
      <c r="A1278" s="83" t="s">
        <v>60</v>
      </c>
      <c r="B1278" s="84"/>
      <c r="C1278" s="84"/>
      <c r="D1278" s="84"/>
      <c r="E1278" s="84"/>
      <c r="F1278" s="84"/>
      <c r="G1278" s="84"/>
      <c r="H1278" s="84"/>
      <c r="I1278" s="84"/>
      <c r="J1278" s="85"/>
      <c r="L1278" s="71"/>
      <c r="M1278" s="71"/>
      <c r="N1278" s="71"/>
      <c r="O1278" s="71"/>
    </row>
    <row r="1279" spans="1:15" s="70" customFormat="1" x14ac:dyDescent="0.3">
      <c r="A1279" s="31" t="s">
        <v>66</v>
      </c>
      <c r="B1279" s="37" t="s">
        <v>61</v>
      </c>
      <c r="C1279" s="38">
        <v>954796</v>
      </c>
      <c r="D1279" s="29">
        <v>3000000</v>
      </c>
      <c r="E1279" s="29"/>
      <c r="F1279" s="29"/>
      <c r="G1279" s="86">
        <v>17585</v>
      </c>
      <c r="H1279" s="87">
        <v>2431600</v>
      </c>
      <c r="I1279" s="88">
        <v>749106</v>
      </c>
      <c r="J1279" s="42">
        <f>+SUM(C1279:G1279)-(H1279+I1279)</f>
        <v>791675</v>
      </c>
      <c r="L1279" s="71"/>
      <c r="M1279" s="71"/>
      <c r="N1279" s="71"/>
      <c r="O1279" s="71"/>
    </row>
    <row r="1280" spans="1:15" s="70" customFormat="1" x14ac:dyDescent="0.3">
      <c r="A1280" s="89" t="s">
        <v>62</v>
      </c>
      <c r="B1280" s="74"/>
      <c r="C1280" s="84"/>
      <c r="D1280" s="74"/>
      <c r="E1280" s="74"/>
      <c r="F1280" s="74"/>
      <c r="G1280" s="74"/>
      <c r="H1280" s="74"/>
      <c r="I1280" s="74"/>
      <c r="J1280" s="85"/>
      <c r="L1280" s="71"/>
      <c r="M1280" s="71"/>
      <c r="N1280" s="71"/>
      <c r="O1280" s="71"/>
    </row>
    <row r="1281" spans="1:15" s="70" customFormat="1" x14ac:dyDescent="0.3">
      <c r="A1281" s="31" t="s">
        <v>66</v>
      </c>
      <c r="B1281" s="37" t="s">
        <v>63</v>
      </c>
      <c r="C1281" s="78">
        <v>705838</v>
      </c>
      <c r="D1281" s="90">
        <v>10801800</v>
      </c>
      <c r="E1281" s="91"/>
      <c r="F1281" s="91"/>
      <c r="G1281" s="91"/>
      <c r="H1281" s="92">
        <v>3000000</v>
      </c>
      <c r="I1281" s="93">
        <v>468365</v>
      </c>
      <c r="J1281" s="30">
        <f>+SUM(C1281:G1281)-(H1281+I1281)</f>
        <v>8039273</v>
      </c>
      <c r="L1281" s="71"/>
      <c r="M1281" s="71"/>
      <c r="N1281" s="71"/>
      <c r="O1281" s="71"/>
    </row>
    <row r="1282" spans="1:15" s="70" customFormat="1" x14ac:dyDescent="0.3">
      <c r="A1282" s="31" t="s">
        <v>66</v>
      </c>
      <c r="B1282" s="37" t="s">
        <v>64</v>
      </c>
      <c r="C1282" s="78">
        <v>14874402</v>
      </c>
      <c r="D1282" s="91">
        <v>3279785</v>
      </c>
      <c r="E1282" s="94"/>
      <c r="F1282" s="94"/>
      <c r="G1282" s="94"/>
      <c r="H1282" s="95"/>
      <c r="I1282" s="96">
        <v>4870847</v>
      </c>
      <c r="J1282" s="30">
        <f>SUM(C1282:G1282)-(H1282+I1282)</f>
        <v>13283340</v>
      </c>
      <c r="L1282" s="71"/>
      <c r="M1282" s="71"/>
      <c r="N1282" s="71"/>
      <c r="O1282" s="71"/>
    </row>
    <row r="1283" spans="1:15" s="70" customFormat="1" x14ac:dyDescent="0.3">
      <c r="L1283" s="71"/>
      <c r="M1283" s="71"/>
      <c r="N1283" s="71"/>
      <c r="O1283" s="71"/>
    </row>
    <row r="1284" spans="1:15" s="70" customFormat="1" x14ac:dyDescent="0.3">
      <c r="C1284" s="97">
        <f>+SUM(C1267:C1282)</f>
        <v>17673344</v>
      </c>
      <c r="I1284" s="97">
        <f>SUM(I1267:I1282)</f>
        <v>9525308</v>
      </c>
      <c r="J1284" s="97">
        <f>+SUM(J1267:J1282)</f>
        <v>22229621</v>
      </c>
      <c r="L1284" s="71"/>
      <c r="M1284" s="71"/>
      <c r="N1284" s="71"/>
      <c r="O1284" s="71"/>
    </row>
    <row r="1285" spans="1:15" x14ac:dyDescent="0.3">
      <c r="C1285" s="9"/>
      <c r="I1285" s="9"/>
      <c r="J1285" s="9"/>
    </row>
    <row r="1286" spans="1:15" x14ac:dyDescent="0.3">
      <c r="A1286" s="62" t="s">
        <v>70</v>
      </c>
      <c r="B1286" s="62"/>
    </row>
    <row r="1287" spans="1:15" x14ac:dyDescent="0.3">
      <c r="A1287" s="63" t="s">
        <v>71</v>
      </c>
      <c r="B1287" s="63"/>
      <c r="C1287" s="63"/>
      <c r="D1287" s="63"/>
      <c r="E1287" s="63"/>
      <c r="F1287" s="63"/>
      <c r="G1287" s="63"/>
      <c r="H1287" s="63"/>
      <c r="I1287" s="63"/>
      <c r="J1287" s="63"/>
      <c r="L1287" s="5"/>
      <c r="M1287" s="5"/>
      <c r="N1287" s="5"/>
      <c r="O1287" s="5"/>
    </row>
    <row r="1289" spans="1:15" ht="15" customHeight="1" x14ac:dyDescent="0.3">
      <c r="A1289" s="326" t="s">
        <v>53</v>
      </c>
      <c r="B1289" s="326" t="s">
        <v>54</v>
      </c>
      <c r="C1289" s="337" t="s">
        <v>73</v>
      </c>
      <c r="D1289" s="332" t="s">
        <v>55</v>
      </c>
      <c r="E1289" s="332"/>
      <c r="F1289" s="332"/>
      <c r="G1289" s="332"/>
      <c r="H1289" s="333" t="s">
        <v>56</v>
      </c>
      <c r="I1289" s="335" t="s">
        <v>57</v>
      </c>
      <c r="J1289" s="328" t="s">
        <v>74</v>
      </c>
      <c r="K1289" s="329"/>
      <c r="L1289" s="5"/>
      <c r="M1289" s="5"/>
      <c r="N1289" s="5"/>
      <c r="O1289" s="5"/>
    </row>
    <row r="1290" spans="1:15" ht="28.5" customHeight="1" x14ac:dyDescent="0.3">
      <c r="A1290" s="327"/>
      <c r="B1290" s="327"/>
      <c r="C1290" s="327"/>
      <c r="D1290" s="67" t="s">
        <v>24</v>
      </c>
      <c r="E1290" s="64" t="s">
        <v>25</v>
      </c>
      <c r="F1290" s="64" t="s">
        <v>27</v>
      </c>
      <c r="G1290" s="64" t="s">
        <v>58</v>
      </c>
      <c r="H1290" s="334"/>
      <c r="I1290" s="336"/>
      <c r="J1290" s="330"/>
      <c r="K1290" s="331"/>
      <c r="L1290" s="5"/>
      <c r="M1290" s="5"/>
      <c r="N1290" s="5"/>
      <c r="O1290" s="5"/>
    </row>
    <row r="1291" spans="1:15" x14ac:dyDescent="0.3">
      <c r="A1291" s="45"/>
      <c r="B1291" s="45" t="s">
        <v>59</v>
      </c>
      <c r="C1291" s="47"/>
      <c r="D1291" s="47"/>
      <c r="E1291" s="47"/>
      <c r="F1291" s="47"/>
      <c r="G1291" s="47"/>
      <c r="H1291" s="47"/>
      <c r="I1291" s="47"/>
      <c r="J1291" s="47"/>
      <c r="K1291" s="45"/>
      <c r="L1291" s="5"/>
      <c r="M1291" s="5"/>
      <c r="N1291" s="5"/>
      <c r="O1291" s="5"/>
    </row>
    <row r="1292" spans="1:15" x14ac:dyDescent="0.3">
      <c r="A1292" s="45" t="s">
        <v>72</v>
      </c>
      <c r="B1292" s="45" t="s">
        <v>47</v>
      </c>
      <c r="C1292" s="47">
        <v>89360</v>
      </c>
      <c r="D1292" s="47"/>
      <c r="E1292" s="47">
        <v>13000</v>
      </c>
      <c r="F1292" s="47"/>
      <c r="G1292" s="47"/>
      <c r="H1292" s="47"/>
      <c r="I1292" s="47">
        <v>61800</v>
      </c>
      <c r="J1292" s="47">
        <v>40560</v>
      </c>
      <c r="K1292" s="45"/>
      <c r="L1292" s="5"/>
      <c r="M1292" s="5"/>
      <c r="N1292" s="5"/>
      <c r="O1292" s="5"/>
    </row>
    <row r="1293" spans="1:15" x14ac:dyDescent="0.3">
      <c r="A1293" s="45" t="s">
        <v>72</v>
      </c>
      <c r="B1293" s="45" t="s">
        <v>28</v>
      </c>
      <c r="C1293" s="47">
        <v>-1025</v>
      </c>
      <c r="D1293" s="47"/>
      <c r="E1293" s="47">
        <v>684500</v>
      </c>
      <c r="F1293" s="47"/>
      <c r="G1293" s="47"/>
      <c r="H1293" s="47"/>
      <c r="I1293" s="47">
        <v>455500</v>
      </c>
      <c r="J1293" s="47">
        <v>227975</v>
      </c>
      <c r="K1293" s="45"/>
      <c r="L1293" s="5"/>
      <c r="M1293" s="5"/>
      <c r="N1293" s="5"/>
      <c r="O1293" s="5"/>
    </row>
    <row r="1294" spans="1:15" x14ac:dyDescent="0.3">
      <c r="A1294" s="45" t="s">
        <v>72</v>
      </c>
      <c r="B1294" s="45" t="s">
        <v>31</v>
      </c>
      <c r="C1294" s="47">
        <v>14395</v>
      </c>
      <c r="D1294" s="47"/>
      <c r="E1294" s="47">
        <v>40000</v>
      </c>
      <c r="F1294" s="47"/>
      <c r="G1294" s="47"/>
      <c r="H1294" s="47"/>
      <c r="I1294" s="47">
        <v>55000</v>
      </c>
      <c r="J1294" s="47">
        <v>-605</v>
      </c>
      <c r="K1294" s="45"/>
      <c r="L1294" s="5"/>
      <c r="M1294" s="5"/>
      <c r="N1294" s="5"/>
      <c r="O1294" s="5"/>
    </row>
    <row r="1295" spans="1:15" x14ac:dyDescent="0.3">
      <c r="A1295" s="45" t="s">
        <v>72</v>
      </c>
      <c r="B1295" s="45" t="s">
        <v>26</v>
      </c>
      <c r="C1295" s="47">
        <v>8559</v>
      </c>
      <c r="D1295" s="47"/>
      <c r="E1295" s="47">
        <v>428750</v>
      </c>
      <c r="F1295" s="47">
        <v>280200</v>
      </c>
      <c r="G1295" s="47"/>
      <c r="H1295" s="47"/>
      <c r="I1295" s="47">
        <v>452850</v>
      </c>
      <c r="J1295" s="47">
        <v>264659</v>
      </c>
      <c r="K1295" s="45"/>
      <c r="L1295" s="5"/>
      <c r="M1295" s="5"/>
      <c r="N1295" s="5"/>
      <c r="O1295" s="5"/>
    </row>
    <row r="1296" spans="1:15" x14ac:dyDescent="0.3">
      <c r="A1296" s="45" t="s">
        <v>72</v>
      </c>
      <c r="B1296" s="45" t="s">
        <v>48</v>
      </c>
      <c r="C1296" s="47">
        <v>-5750</v>
      </c>
      <c r="D1296" s="47"/>
      <c r="E1296" s="47">
        <v>1161750</v>
      </c>
      <c r="F1296" s="47"/>
      <c r="G1296" s="47"/>
      <c r="H1296" s="47">
        <v>124000</v>
      </c>
      <c r="I1296" s="47">
        <v>759500</v>
      </c>
      <c r="J1296" s="47">
        <v>272500</v>
      </c>
      <c r="K1296" s="45"/>
      <c r="L1296" s="5"/>
      <c r="M1296" s="5"/>
      <c r="N1296" s="5"/>
      <c r="O1296" s="5"/>
    </row>
    <row r="1297" spans="1:15" x14ac:dyDescent="0.3">
      <c r="A1297" s="45" t="s">
        <v>72</v>
      </c>
      <c r="B1297" s="45" t="s">
        <v>35</v>
      </c>
      <c r="C1297" s="47">
        <v>12995</v>
      </c>
      <c r="D1297" s="47"/>
      <c r="E1297" s="47">
        <v>726000</v>
      </c>
      <c r="F1297" s="47"/>
      <c r="G1297" s="47"/>
      <c r="H1297" s="47"/>
      <c r="I1297" s="47">
        <v>454400</v>
      </c>
      <c r="J1297" s="47">
        <v>284595</v>
      </c>
      <c r="K1297" s="45"/>
      <c r="L1297" s="5"/>
      <c r="M1297" s="5"/>
      <c r="N1297" s="5"/>
      <c r="O1297" s="5"/>
    </row>
    <row r="1298" spans="1:15" x14ac:dyDescent="0.3">
      <c r="A1298" s="45" t="s">
        <v>72</v>
      </c>
      <c r="B1298" s="45" t="s">
        <v>27</v>
      </c>
      <c r="C1298" s="47">
        <v>6050</v>
      </c>
      <c r="D1298" s="47"/>
      <c r="E1298" s="47">
        <v>736300</v>
      </c>
      <c r="F1298" s="47"/>
      <c r="G1298" s="47"/>
      <c r="H1298" s="47">
        <v>405200</v>
      </c>
      <c r="I1298" s="47">
        <v>338900</v>
      </c>
      <c r="J1298" s="47">
        <v>-1750</v>
      </c>
      <c r="K1298" s="45"/>
      <c r="L1298" s="5"/>
      <c r="M1298" s="5"/>
      <c r="N1298" s="5"/>
      <c r="O1298" s="5"/>
    </row>
    <row r="1299" spans="1:15" x14ac:dyDescent="0.3">
      <c r="A1299" s="45" t="s">
        <v>72</v>
      </c>
      <c r="B1299" s="45" t="s">
        <v>29</v>
      </c>
      <c r="C1299" s="47">
        <v>142400</v>
      </c>
      <c r="D1299" s="47"/>
      <c r="E1299" s="47">
        <v>1014000</v>
      </c>
      <c r="F1299" s="47"/>
      <c r="G1299" s="47"/>
      <c r="H1299" s="47">
        <v>100000</v>
      </c>
      <c r="I1299" s="47">
        <v>790800</v>
      </c>
      <c r="J1299" s="47">
        <v>265600</v>
      </c>
      <c r="K1299" s="45"/>
      <c r="L1299" s="5"/>
      <c r="M1299" s="5"/>
      <c r="N1299" s="5"/>
      <c r="O1299" s="5"/>
    </row>
    <row r="1300" spans="1:15" x14ac:dyDescent="0.3">
      <c r="A1300" s="45" t="s">
        <v>72</v>
      </c>
      <c r="B1300" s="45" t="s">
        <v>49</v>
      </c>
      <c r="C1300" s="47">
        <v>-221251.00072999997</v>
      </c>
      <c r="D1300" s="47"/>
      <c r="E1300" s="47">
        <v>485000</v>
      </c>
      <c r="F1300" s="47"/>
      <c r="G1300" s="47"/>
      <c r="H1300" s="47">
        <v>5000</v>
      </c>
      <c r="I1300" s="47">
        <v>475000</v>
      </c>
      <c r="J1300" s="47">
        <v>-216251.00072999997</v>
      </c>
      <c r="K1300" s="45"/>
      <c r="L1300" s="5"/>
      <c r="M1300" s="5"/>
      <c r="N1300" s="5"/>
      <c r="O1300" s="5"/>
    </row>
    <row r="1301" spans="1:15" x14ac:dyDescent="0.3">
      <c r="A1301" s="45" t="s">
        <v>72</v>
      </c>
      <c r="B1301" s="45" t="s">
        <v>33</v>
      </c>
      <c r="C1301" s="47">
        <v>14225</v>
      </c>
      <c r="D1301" s="47"/>
      <c r="E1301" s="47">
        <v>30000</v>
      </c>
      <c r="F1301" s="47"/>
      <c r="G1301" s="47"/>
      <c r="H1301" s="47"/>
      <c r="I1301" s="47">
        <v>43200</v>
      </c>
      <c r="J1301" s="47">
        <v>1025</v>
      </c>
      <c r="K1301" s="45"/>
      <c r="L1301" s="5"/>
      <c r="M1301" s="5"/>
      <c r="N1301" s="5"/>
      <c r="O1301" s="5"/>
    </row>
    <row r="1302" spans="1:15" x14ac:dyDescent="0.3">
      <c r="A1302" s="65" t="s">
        <v>60</v>
      </c>
      <c r="B1302" s="65"/>
      <c r="C1302" s="66"/>
      <c r="D1302" s="66"/>
      <c r="E1302" s="66"/>
      <c r="F1302" s="66"/>
      <c r="G1302" s="66"/>
      <c r="H1302" s="66"/>
      <c r="I1302" s="66"/>
      <c r="J1302" s="66"/>
      <c r="K1302" s="65"/>
      <c r="L1302" s="5"/>
      <c r="M1302" s="5"/>
      <c r="N1302" s="5"/>
      <c r="O1302" s="5"/>
    </row>
    <row r="1303" spans="1:15" x14ac:dyDescent="0.3">
      <c r="A1303" s="45" t="s">
        <v>72</v>
      </c>
      <c r="B1303" s="45" t="s">
        <v>61</v>
      </c>
      <c r="C1303" s="47">
        <v>494738</v>
      </c>
      <c r="D1303" s="47">
        <v>6000000</v>
      </c>
      <c r="E1303" s="47"/>
      <c r="F1303" s="47"/>
      <c r="G1303" s="47">
        <v>105000</v>
      </c>
      <c r="H1303" s="47">
        <v>5070300</v>
      </c>
      <c r="I1303" s="47">
        <v>574642</v>
      </c>
      <c r="J1303" s="47">
        <v>954796</v>
      </c>
      <c r="K1303" s="45"/>
      <c r="L1303" s="5"/>
      <c r="M1303" s="5"/>
      <c r="N1303" s="5"/>
      <c r="O1303" s="5"/>
    </row>
    <row r="1304" spans="1:15" x14ac:dyDescent="0.3">
      <c r="A1304" s="65" t="s">
        <v>62</v>
      </c>
      <c r="B1304" s="65"/>
      <c r="C1304" s="66"/>
      <c r="D1304" s="66"/>
      <c r="E1304" s="66"/>
      <c r="F1304" s="66"/>
      <c r="G1304" s="66"/>
      <c r="H1304" s="66"/>
      <c r="I1304" s="66"/>
      <c r="J1304" s="66"/>
      <c r="K1304" s="65"/>
      <c r="L1304" s="5"/>
      <c r="M1304" s="5"/>
      <c r="N1304" s="5"/>
      <c r="O1304" s="5"/>
    </row>
    <row r="1305" spans="1:15" x14ac:dyDescent="0.3">
      <c r="A1305" s="45" t="s">
        <v>72</v>
      </c>
      <c r="B1305" s="45" t="s">
        <v>63</v>
      </c>
      <c r="C1305" s="47">
        <v>11363703</v>
      </c>
      <c r="D1305" s="47"/>
      <c r="E1305" s="47"/>
      <c r="F1305" s="47"/>
      <c r="G1305" s="47"/>
      <c r="H1305" s="47">
        <v>10000000</v>
      </c>
      <c r="I1305" s="47">
        <v>657865</v>
      </c>
      <c r="J1305" s="47">
        <v>705838</v>
      </c>
      <c r="K1305" s="45"/>
      <c r="L1305" s="5"/>
      <c r="M1305" s="5"/>
      <c r="N1305" s="5"/>
      <c r="O1305" s="5"/>
    </row>
    <row r="1306" spans="1:15" x14ac:dyDescent="0.3">
      <c r="A1306" s="45" t="s">
        <v>72</v>
      </c>
      <c r="B1306" s="45" t="s">
        <v>64</v>
      </c>
      <c r="C1306" s="47">
        <v>4902843</v>
      </c>
      <c r="D1306" s="47">
        <v>17119140</v>
      </c>
      <c r="E1306" s="47"/>
      <c r="F1306" s="47"/>
      <c r="G1306" s="47"/>
      <c r="H1306" s="47"/>
      <c r="I1306" s="47">
        <v>7147581</v>
      </c>
      <c r="J1306" s="47">
        <v>14874402</v>
      </c>
      <c r="K1306" s="45"/>
      <c r="L1306" s="5"/>
      <c r="M1306" s="5"/>
      <c r="N1306" s="5"/>
      <c r="O1306" s="5"/>
    </row>
    <row r="1307" spans="1:15" x14ac:dyDescent="0.3">
      <c r="A1307" s="45"/>
      <c r="B1307" s="45"/>
      <c r="C1307" s="47"/>
      <c r="D1307" s="47"/>
      <c r="E1307" s="47"/>
      <c r="F1307" s="47"/>
      <c r="G1307" s="47"/>
      <c r="H1307" s="47"/>
      <c r="I1307" s="47"/>
      <c r="J1307" s="47"/>
      <c r="K1307" s="45"/>
      <c r="L1307" s="5"/>
      <c r="M1307" s="5"/>
      <c r="N1307" s="5"/>
      <c r="O1307" s="5"/>
    </row>
    <row r="1308" spans="1:15" x14ac:dyDescent="0.3">
      <c r="A1308" s="45"/>
      <c r="B1308" s="45"/>
      <c r="C1308" s="47"/>
      <c r="D1308" s="47"/>
      <c r="E1308" s="47"/>
      <c r="F1308" s="47"/>
      <c r="G1308" s="47"/>
      <c r="H1308" s="47"/>
      <c r="I1308" s="47">
        <v>12267038</v>
      </c>
      <c r="J1308" s="47">
        <v>17673343.99927</v>
      </c>
      <c r="K1308" s="45" t="b">
        <v>1</v>
      </c>
      <c r="L1308" s="5"/>
      <c r="M1308" s="5"/>
      <c r="N1308" s="5"/>
      <c r="O1308" s="5"/>
    </row>
    <row r="1309" spans="1:15" x14ac:dyDescent="0.3">
      <c r="J1309" s="68" t="b">
        <f>J1308=[11]TABLEAU!$I$16</f>
        <v>1</v>
      </c>
      <c r="L1309" s="5"/>
      <c r="M1309" s="5"/>
      <c r="N1309" s="5"/>
      <c r="O1309" s="5"/>
    </row>
  </sheetData>
  <mergeCells count="133">
    <mergeCell ref="A828:A829"/>
    <mergeCell ref="B828:B829"/>
    <mergeCell ref="C828:C829"/>
    <mergeCell ref="D828:G828"/>
    <mergeCell ref="H828:H829"/>
    <mergeCell ref="I828:I829"/>
    <mergeCell ref="J829:J830"/>
    <mergeCell ref="A781:A782"/>
    <mergeCell ref="B781:B782"/>
    <mergeCell ref="C781:C782"/>
    <mergeCell ref="D781:G781"/>
    <mergeCell ref="H781:H782"/>
    <mergeCell ref="I781:I782"/>
    <mergeCell ref="J782:J783"/>
    <mergeCell ref="A876:A877"/>
    <mergeCell ref="B876:B877"/>
    <mergeCell ref="C876:C877"/>
    <mergeCell ref="D876:G876"/>
    <mergeCell ref="H876:H877"/>
    <mergeCell ref="I876:I877"/>
    <mergeCell ref="J877:J878"/>
    <mergeCell ref="A997:A998"/>
    <mergeCell ref="B997:B998"/>
    <mergeCell ref="C997:C998"/>
    <mergeCell ref="D997:G997"/>
    <mergeCell ref="H997:H998"/>
    <mergeCell ref="I926:I927"/>
    <mergeCell ref="J927:J928"/>
    <mergeCell ref="A926:A927"/>
    <mergeCell ref="B926:B927"/>
    <mergeCell ref="C926:C927"/>
    <mergeCell ref="D926:G926"/>
    <mergeCell ref="H926:H927"/>
    <mergeCell ref="I949:I950"/>
    <mergeCell ref="J950:J951"/>
    <mergeCell ref="A949:A950"/>
    <mergeCell ref="B949:B950"/>
    <mergeCell ref="C949:C950"/>
    <mergeCell ref="B973:B974"/>
    <mergeCell ref="C973:C974"/>
    <mergeCell ref="D973:G973"/>
    <mergeCell ref="H973:H974"/>
    <mergeCell ref="H1074:H1075"/>
    <mergeCell ref="B1022:B1023"/>
    <mergeCell ref="C1022:C1023"/>
    <mergeCell ref="D1022:G1022"/>
    <mergeCell ref="H1022:H1023"/>
    <mergeCell ref="A1289:A1290"/>
    <mergeCell ref="J1238:J1239"/>
    <mergeCell ref="A1237:A1238"/>
    <mergeCell ref="B1237:B1238"/>
    <mergeCell ref="C1237:C1238"/>
    <mergeCell ref="D1237:G1237"/>
    <mergeCell ref="H1237:H1238"/>
    <mergeCell ref="I1237:I1238"/>
    <mergeCell ref="B1289:B1290"/>
    <mergeCell ref="J1289:K1290"/>
    <mergeCell ref="D1289:G1289"/>
    <mergeCell ref="H1289:H1290"/>
    <mergeCell ref="I1289:I1290"/>
    <mergeCell ref="C1289:C1290"/>
    <mergeCell ref="B1264:B1265"/>
    <mergeCell ref="C1264:C1265"/>
    <mergeCell ref="A1264:A1265"/>
    <mergeCell ref="D1264:G1264"/>
    <mergeCell ref="H1264:H1265"/>
    <mergeCell ref="J1265:J1266"/>
    <mergeCell ref="I1264:I1265"/>
    <mergeCell ref="I1074:I1075"/>
    <mergeCell ref="J1075:J1076"/>
    <mergeCell ref="A1074:A1075"/>
    <mergeCell ref="B1074:B1075"/>
    <mergeCell ref="C1074:C1075"/>
    <mergeCell ref="D1074:G1074"/>
    <mergeCell ref="J1211:J1212"/>
    <mergeCell ref="A1210:A1211"/>
    <mergeCell ref="B1210:B1211"/>
    <mergeCell ref="C1210:C1211"/>
    <mergeCell ref="D1210:G1210"/>
    <mergeCell ref="H1210:H1211"/>
    <mergeCell ref="I1101:I1102"/>
    <mergeCell ref="J1102:J1103"/>
    <mergeCell ref="A1101:A1102"/>
    <mergeCell ref="B1101:B1102"/>
    <mergeCell ref="C1101:C1102"/>
    <mergeCell ref="D1101:G1101"/>
    <mergeCell ref="H1101:H1102"/>
    <mergeCell ref="B1157:B1158"/>
    <mergeCell ref="C1157:C1158"/>
    <mergeCell ref="D1157:G1157"/>
    <mergeCell ref="H1157:H1158"/>
    <mergeCell ref="I1210:I1211"/>
    <mergeCell ref="I1184:I1185"/>
    <mergeCell ref="J1185:J1186"/>
    <mergeCell ref="A1184:A1185"/>
    <mergeCell ref="B1184:B1185"/>
    <mergeCell ref="C1184:C1185"/>
    <mergeCell ref="D1184:G1184"/>
    <mergeCell ref="H1184:H1185"/>
    <mergeCell ref="I1129:I1130"/>
    <mergeCell ref="J1130:J1131"/>
    <mergeCell ref="A1129:A1130"/>
    <mergeCell ref="B1129:B1130"/>
    <mergeCell ref="C1129:C1130"/>
    <mergeCell ref="D1129:G1129"/>
    <mergeCell ref="H1129:H1130"/>
    <mergeCell ref="I1157:I1158"/>
    <mergeCell ref="J1158:J1159"/>
    <mergeCell ref="A1157:A1158"/>
    <mergeCell ref="I1048:I1049"/>
    <mergeCell ref="J1049:J1050"/>
    <mergeCell ref="A1048:A1049"/>
    <mergeCell ref="B1048:B1049"/>
    <mergeCell ref="C1048:C1049"/>
    <mergeCell ref="D1048:G1048"/>
    <mergeCell ref="H1048:H1049"/>
    <mergeCell ref="A901:A902"/>
    <mergeCell ref="B901:B902"/>
    <mergeCell ref="C901:C902"/>
    <mergeCell ref="D901:G901"/>
    <mergeCell ref="H901:H902"/>
    <mergeCell ref="I901:I902"/>
    <mergeCell ref="J902:J903"/>
    <mergeCell ref="I973:I974"/>
    <mergeCell ref="J974:J975"/>
    <mergeCell ref="A973:A974"/>
    <mergeCell ref="A1022:A1023"/>
    <mergeCell ref="I997:I998"/>
    <mergeCell ref="I1022:I1023"/>
    <mergeCell ref="J998:J999"/>
    <mergeCell ref="J1023:J1024"/>
    <mergeCell ref="D949:G949"/>
    <mergeCell ref="H949:H9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0"/>
  <sheetViews>
    <sheetView tabSelected="1" workbookViewId="0">
      <selection activeCell="I10" sqref="I10"/>
    </sheetView>
  </sheetViews>
  <sheetFormatPr defaultColWidth="11.5546875" defaultRowHeight="14.4" x14ac:dyDescent="0.3"/>
  <cols>
    <col min="1" max="1" width="21" customWidth="1"/>
    <col min="2" max="2" width="16.109375" customWidth="1"/>
    <col min="3" max="3" width="11.6640625" customWidth="1"/>
    <col min="4" max="4" width="12.5546875" customWidth="1"/>
  </cols>
  <sheetData>
    <row r="3" spans="1:4" x14ac:dyDescent="0.3">
      <c r="A3" s="1" t="s">
        <v>128</v>
      </c>
      <c r="B3" t="s">
        <v>135</v>
      </c>
    </row>
    <row r="4" spans="1:4" x14ac:dyDescent="0.3">
      <c r="A4" s="2" t="s">
        <v>102</v>
      </c>
      <c r="B4" s="255">
        <v>5891566</v>
      </c>
    </row>
    <row r="5" spans="1:4" x14ac:dyDescent="0.3">
      <c r="A5" s="2" t="s">
        <v>297</v>
      </c>
      <c r="B5" s="255">
        <v>4339733</v>
      </c>
    </row>
    <row r="6" spans="1:4" x14ac:dyDescent="0.3">
      <c r="A6" s="2" t="s">
        <v>129</v>
      </c>
      <c r="B6" s="255">
        <v>10231299</v>
      </c>
    </row>
    <row r="13" spans="1:4" x14ac:dyDescent="0.3">
      <c r="A13" s="1" t="s">
        <v>135</v>
      </c>
      <c r="B13" s="1" t="s">
        <v>130</v>
      </c>
    </row>
    <row r="14" spans="1:4" x14ac:dyDescent="0.3">
      <c r="A14" s="1" t="s">
        <v>128</v>
      </c>
      <c r="B14" t="s">
        <v>102</v>
      </c>
      <c r="C14" t="s">
        <v>297</v>
      </c>
      <c r="D14" t="s">
        <v>129</v>
      </c>
    </row>
    <row r="15" spans="1:4" x14ac:dyDescent="0.3">
      <c r="A15" s="2" t="s">
        <v>205</v>
      </c>
      <c r="B15" s="219"/>
      <c r="C15" s="303">
        <v>2224793</v>
      </c>
      <c r="D15" s="303">
        <v>2224793</v>
      </c>
    </row>
    <row r="16" spans="1:4" x14ac:dyDescent="0.3">
      <c r="A16" s="2" t="s">
        <v>206</v>
      </c>
      <c r="B16" s="303">
        <v>5891566</v>
      </c>
      <c r="C16" s="303">
        <v>2114940</v>
      </c>
      <c r="D16" s="303">
        <v>8006506</v>
      </c>
    </row>
    <row r="17" spans="1:4" x14ac:dyDescent="0.3">
      <c r="A17" s="2" t="s">
        <v>129</v>
      </c>
      <c r="B17" s="255">
        <v>5891566</v>
      </c>
      <c r="C17" s="255">
        <v>4339733</v>
      </c>
      <c r="D17" s="255">
        <v>10231299</v>
      </c>
    </row>
    <row r="19" spans="1:4" x14ac:dyDescent="0.3">
      <c r="C19" s="180">
        <f>(B16*100%)/D16</f>
        <v>0.73584732216524906</v>
      </c>
      <c r="D19" s="181" t="s">
        <v>207</v>
      </c>
    </row>
    <row r="20" spans="1:4" x14ac:dyDescent="0.3">
      <c r="C20" s="180">
        <f>((C16)*100%)/D16</f>
        <v>0.26415267783475088</v>
      </c>
      <c r="D20" s="181" t="s">
        <v>303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22"/>
  <sheetViews>
    <sheetView topLeftCell="A2" workbookViewId="0">
      <pane xSplit="1" topLeftCell="AF1" activePane="topRight" state="frozen"/>
      <selection pane="topRight" activeCell="AN6" sqref="AN6"/>
    </sheetView>
  </sheetViews>
  <sheetFormatPr defaultColWidth="11.5546875" defaultRowHeight="14.4" x14ac:dyDescent="0.3"/>
  <cols>
    <col min="1" max="1" width="21" customWidth="1"/>
    <col min="2" max="2" width="23.88671875" bestFit="1" customWidth="1"/>
    <col min="3" max="3" width="16.109375" customWidth="1"/>
    <col min="4" max="4" width="19.109375" customWidth="1"/>
    <col min="5" max="5" width="16.109375" customWidth="1"/>
    <col min="6" max="6" width="19.109375" customWidth="1"/>
    <col min="7" max="7" width="16.109375" customWidth="1"/>
    <col min="8" max="8" width="19.109375" customWidth="1"/>
    <col min="9" max="9" width="16.109375" customWidth="1"/>
    <col min="10" max="10" width="19.109375" customWidth="1"/>
    <col min="11" max="11" width="16.109375" customWidth="1"/>
    <col min="12" max="12" width="19.109375" customWidth="1"/>
    <col min="13" max="13" width="16.109375" customWidth="1"/>
    <col min="14" max="14" width="19.109375" customWidth="1"/>
    <col min="15" max="15" width="16.109375" customWidth="1"/>
    <col min="16" max="16" width="19.109375" customWidth="1"/>
    <col min="17" max="17" width="16.109375" customWidth="1"/>
    <col min="18" max="18" width="19.109375" customWidth="1"/>
    <col min="19" max="19" width="16.109375" customWidth="1"/>
    <col min="20" max="20" width="19.109375" customWidth="1"/>
    <col min="21" max="21" width="16.109375" customWidth="1"/>
    <col min="22" max="22" width="19.109375" customWidth="1"/>
    <col min="23" max="23" width="16.109375" customWidth="1"/>
    <col min="24" max="24" width="19.109375" customWidth="1"/>
    <col min="25" max="25" width="16.109375" customWidth="1"/>
    <col min="26" max="26" width="19.109375" customWidth="1"/>
    <col min="27" max="27" width="16.109375" customWidth="1"/>
    <col min="28" max="28" width="19.109375" customWidth="1"/>
    <col min="29" max="29" width="16.109375" customWidth="1"/>
    <col min="30" max="30" width="19.109375" customWidth="1"/>
    <col min="31" max="31" width="16.109375" customWidth="1"/>
    <col min="32" max="32" width="19.109375" customWidth="1"/>
    <col min="33" max="33" width="16.109375" customWidth="1"/>
    <col min="34" max="34" width="24.109375" customWidth="1"/>
    <col min="35" max="35" width="21" customWidth="1"/>
    <col min="36" max="36" width="24.109375" customWidth="1"/>
    <col min="37" max="37" width="21" customWidth="1"/>
  </cols>
  <sheetData>
    <row r="3" spans="1:41" x14ac:dyDescent="0.3">
      <c r="B3" s="1" t="s">
        <v>130</v>
      </c>
    </row>
    <row r="4" spans="1:41" x14ac:dyDescent="0.3">
      <c r="B4" t="s">
        <v>364</v>
      </c>
      <c r="D4" t="s">
        <v>237</v>
      </c>
      <c r="F4" t="s">
        <v>275</v>
      </c>
      <c r="H4" t="s">
        <v>454</v>
      </c>
      <c r="J4" t="s">
        <v>288</v>
      </c>
      <c r="L4" t="s">
        <v>246</v>
      </c>
      <c r="N4" t="s">
        <v>177</v>
      </c>
      <c r="P4" t="s">
        <v>181</v>
      </c>
      <c r="R4" t="s">
        <v>3</v>
      </c>
      <c r="T4" t="s">
        <v>178</v>
      </c>
      <c r="V4" t="s">
        <v>220</v>
      </c>
      <c r="X4" t="s">
        <v>34</v>
      </c>
      <c r="Z4" t="s">
        <v>349</v>
      </c>
      <c r="AB4" t="s">
        <v>384</v>
      </c>
      <c r="AD4" t="s">
        <v>420</v>
      </c>
      <c r="AF4" t="s">
        <v>75</v>
      </c>
      <c r="AH4" t="s">
        <v>136</v>
      </c>
      <c r="AI4" t="s">
        <v>138</v>
      </c>
    </row>
    <row r="5" spans="1:41" x14ac:dyDescent="0.3">
      <c r="A5" s="1" t="s">
        <v>128</v>
      </c>
      <c r="B5" t="s">
        <v>137</v>
      </c>
      <c r="C5" t="s">
        <v>135</v>
      </c>
      <c r="D5" t="s">
        <v>137</v>
      </c>
      <c r="E5" t="s">
        <v>135</v>
      </c>
      <c r="F5" t="s">
        <v>137</v>
      </c>
      <c r="G5" t="s">
        <v>135</v>
      </c>
      <c r="H5" t="s">
        <v>137</v>
      </c>
      <c r="I5" t="s">
        <v>135</v>
      </c>
      <c r="J5" t="s">
        <v>137</v>
      </c>
      <c r="K5" t="s">
        <v>135</v>
      </c>
      <c r="L5" t="s">
        <v>137</v>
      </c>
      <c r="M5" t="s">
        <v>135</v>
      </c>
      <c r="N5" t="s">
        <v>137</v>
      </c>
      <c r="O5" t="s">
        <v>135</v>
      </c>
      <c r="P5" t="s">
        <v>137</v>
      </c>
      <c r="Q5" t="s">
        <v>135</v>
      </c>
      <c r="R5" t="s">
        <v>137</v>
      </c>
      <c r="S5" t="s">
        <v>135</v>
      </c>
      <c r="T5" t="s">
        <v>137</v>
      </c>
      <c r="U5" t="s">
        <v>135</v>
      </c>
      <c r="V5" t="s">
        <v>137</v>
      </c>
      <c r="W5" t="s">
        <v>135</v>
      </c>
      <c r="X5" t="s">
        <v>137</v>
      </c>
      <c r="Y5" t="s">
        <v>135</v>
      </c>
      <c r="Z5" t="s">
        <v>137</v>
      </c>
      <c r="AA5" t="s">
        <v>135</v>
      </c>
      <c r="AB5" t="s">
        <v>137</v>
      </c>
      <c r="AC5" t="s">
        <v>135</v>
      </c>
      <c r="AD5" t="s">
        <v>137</v>
      </c>
      <c r="AE5" t="s">
        <v>135</v>
      </c>
      <c r="AF5" t="s">
        <v>137</v>
      </c>
      <c r="AG5" t="s">
        <v>135</v>
      </c>
      <c r="AL5" s="45" t="s">
        <v>42</v>
      </c>
      <c r="AM5" s="45" t="s">
        <v>43</v>
      </c>
      <c r="AN5" s="45" t="s">
        <v>44</v>
      </c>
      <c r="AO5" s="45" t="s">
        <v>45</v>
      </c>
    </row>
    <row r="6" spans="1:41" x14ac:dyDescent="0.3">
      <c r="A6" s="2" t="s">
        <v>24</v>
      </c>
      <c r="B6" s="255"/>
      <c r="C6" s="255">
        <v>23345</v>
      </c>
      <c r="D6" s="255"/>
      <c r="E6" s="255"/>
      <c r="F6" s="255"/>
      <c r="G6" s="255"/>
      <c r="H6" s="255"/>
      <c r="I6" s="255"/>
      <c r="J6" s="255"/>
      <c r="K6" s="255">
        <v>300000</v>
      </c>
      <c r="L6" s="255"/>
      <c r="M6" s="255"/>
      <c r="N6" s="255"/>
      <c r="O6" s="255"/>
      <c r="P6" s="255"/>
      <c r="Q6" s="255"/>
      <c r="R6" s="255"/>
      <c r="S6" s="255">
        <v>260000</v>
      </c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>
        <v>2000000</v>
      </c>
      <c r="AH6" s="255"/>
      <c r="AI6" s="255">
        <v>2583345</v>
      </c>
      <c r="AK6" s="182" t="str">
        <f t="shared" ref="AK6:AK20" si="0">A6</f>
        <v>BCI</v>
      </c>
      <c r="AL6" s="47">
        <f t="shared" ref="AL6:AL19" si="1">AH6</f>
        <v>0</v>
      </c>
      <c r="AM6" s="47">
        <f t="shared" ref="AM6:AM19" si="2">AG6</f>
        <v>2000000</v>
      </c>
      <c r="AN6" s="47">
        <f t="shared" ref="AN6:AN19" si="3">AI6-AG6</f>
        <v>583345</v>
      </c>
      <c r="AO6" s="47">
        <f>+F7</f>
        <v>0</v>
      </c>
    </row>
    <row r="7" spans="1:41" x14ac:dyDescent="0.3">
      <c r="A7" s="2" t="s">
        <v>155</v>
      </c>
      <c r="B7" s="255"/>
      <c r="C7" s="255">
        <v>15836</v>
      </c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>
        <v>3687014</v>
      </c>
      <c r="P7" s="255"/>
      <c r="Q7" s="255">
        <v>1000000</v>
      </c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>
        <v>4702850</v>
      </c>
      <c r="AK7" s="182" t="str">
        <f t="shared" si="0"/>
        <v>BCI-Sous Compte</v>
      </c>
      <c r="AL7" s="47">
        <f t="shared" si="1"/>
        <v>0</v>
      </c>
      <c r="AM7" s="47">
        <f t="shared" si="2"/>
        <v>0</v>
      </c>
      <c r="AN7" s="47">
        <f t="shared" si="3"/>
        <v>4702850</v>
      </c>
      <c r="AO7" s="47">
        <f>+F8</f>
        <v>0</v>
      </c>
    </row>
    <row r="8" spans="1:41" x14ac:dyDescent="0.3">
      <c r="A8" s="2" t="s">
        <v>25</v>
      </c>
      <c r="B8" s="255"/>
      <c r="C8" s="255"/>
      <c r="D8" s="255"/>
      <c r="E8" s="255">
        <v>238000</v>
      </c>
      <c r="F8" s="255"/>
      <c r="G8" s="255">
        <v>45050</v>
      </c>
      <c r="H8" s="255"/>
      <c r="I8" s="255"/>
      <c r="J8" s="255"/>
      <c r="K8" s="255">
        <v>76000</v>
      </c>
      <c r="L8" s="255"/>
      <c r="M8" s="255">
        <v>251600</v>
      </c>
      <c r="N8" s="255"/>
      <c r="O8" s="255">
        <v>237623</v>
      </c>
      <c r="P8" s="255"/>
      <c r="Q8" s="255">
        <v>73656</v>
      </c>
      <c r="R8" s="255"/>
      <c r="S8" s="255">
        <v>95625</v>
      </c>
      <c r="T8" s="255"/>
      <c r="U8" s="255">
        <v>310000</v>
      </c>
      <c r="V8" s="255"/>
      <c r="W8" s="255">
        <v>44040</v>
      </c>
      <c r="X8" s="255"/>
      <c r="Y8" s="255"/>
      <c r="Z8" s="255"/>
      <c r="AA8" s="255">
        <v>40000</v>
      </c>
      <c r="AB8" s="255"/>
      <c r="AC8" s="255"/>
      <c r="AD8" s="255"/>
      <c r="AE8" s="255"/>
      <c r="AF8" s="255">
        <v>2180000</v>
      </c>
      <c r="AG8" s="255">
        <v>4306000</v>
      </c>
      <c r="AH8" s="255">
        <v>2180000</v>
      </c>
      <c r="AI8" s="255">
        <v>5717594</v>
      </c>
      <c r="AK8" s="182" t="str">
        <f t="shared" si="0"/>
        <v>Caisse</v>
      </c>
      <c r="AL8" s="47">
        <f t="shared" si="1"/>
        <v>2180000</v>
      </c>
      <c r="AM8" s="47">
        <f t="shared" si="2"/>
        <v>4306000</v>
      </c>
      <c r="AN8" s="47">
        <f t="shared" si="3"/>
        <v>1411594</v>
      </c>
      <c r="AO8" s="47">
        <v>0</v>
      </c>
    </row>
    <row r="9" spans="1:41" x14ac:dyDescent="0.3">
      <c r="A9" s="2" t="s">
        <v>47</v>
      </c>
      <c r="B9" s="255"/>
      <c r="C9" s="255"/>
      <c r="D9" s="255"/>
      <c r="E9" s="255">
        <v>220000</v>
      </c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>
        <v>65900</v>
      </c>
      <c r="Z9" s="255"/>
      <c r="AA9" s="255"/>
      <c r="AB9" s="255"/>
      <c r="AC9" s="255">
        <v>379500</v>
      </c>
      <c r="AD9" s="255"/>
      <c r="AE9" s="255"/>
      <c r="AF9" s="255">
        <v>905000</v>
      </c>
      <c r="AG9" s="255">
        <v>73000</v>
      </c>
      <c r="AH9" s="255">
        <v>905000</v>
      </c>
      <c r="AI9" s="255">
        <v>738400</v>
      </c>
      <c r="AK9" s="182" t="str">
        <f t="shared" si="0"/>
        <v>Crépin</v>
      </c>
      <c r="AL9" s="47">
        <f t="shared" si="1"/>
        <v>905000</v>
      </c>
      <c r="AM9" s="47">
        <f t="shared" si="2"/>
        <v>73000</v>
      </c>
      <c r="AN9" s="47">
        <f t="shared" si="3"/>
        <v>665400</v>
      </c>
      <c r="AO9" s="47">
        <v>0</v>
      </c>
    </row>
    <row r="10" spans="1:41" x14ac:dyDescent="0.3">
      <c r="A10" s="2" t="s">
        <v>277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>
        <v>111800</v>
      </c>
      <c r="Z10" s="255"/>
      <c r="AA10" s="255"/>
      <c r="AB10" s="255"/>
      <c r="AC10" s="255">
        <v>240000</v>
      </c>
      <c r="AD10" s="255"/>
      <c r="AE10" s="255">
        <v>18000</v>
      </c>
      <c r="AF10" s="255">
        <v>384500</v>
      </c>
      <c r="AG10" s="255"/>
      <c r="AH10" s="255">
        <v>384500</v>
      </c>
      <c r="AI10" s="255">
        <v>369800</v>
      </c>
      <c r="AK10" s="182" t="str">
        <f t="shared" si="0"/>
        <v>D58</v>
      </c>
      <c r="AL10" s="47">
        <f t="shared" si="1"/>
        <v>384500</v>
      </c>
      <c r="AM10" s="47">
        <f t="shared" si="2"/>
        <v>0</v>
      </c>
      <c r="AN10" s="47">
        <f t="shared" si="3"/>
        <v>369800</v>
      </c>
      <c r="AO10" s="47">
        <v>0</v>
      </c>
    </row>
    <row r="11" spans="1:41" x14ac:dyDescent="0.3">
      <c r="A11" s="2" t="s">
        <v>263</v>
      </c>
      <c r="B11" s="255"/>
      <c r="C11" s="255"/>
      <c r="D11" s="255"/>
      <c r="E11" s="255"/>
      <c r="F11" s="255"/>
      <c r="G11" s="255"/>
      <c r="H11" s="255"/>
      <c r="I11" s="255">
        <v>130310</v>
      </c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>
        <v>100500</v>
      </c>
      <c r="Z11" s="255"/>
      <c r="AA11" s="255"/>
      <c r="AB11" s="255"/>
      <c r="AC11" s="255">
        <v>309550</v>
      </c>
      <c r="AD11" s="255"/>
      <c r="AE11" s="255"/>
      <c r="AF11" s="255">
        <v>722000</v>
      </c>
      <c r="AG11" s="255">
        <v>98000</v>
      </c>
      <c r="AH11" s="255">
        <v>722000</v>
      </c>
      <c r="AI11" s="255">
        <v>638360</v>
      </c>
      <c r="AK11" s="182" t="str">
        <f t="shared" si="0"/>
        <v>Donald</v>
      </c>
      <c r="AL11" s="47">
        <f t="shared" si="1"/>
        <v>722000</v>
      </c>
      <c r="AM11" s="47">
        <f t="shared" si="2"/>
        <v>98000</v>
      </c>
      <c r="AN11" s="47">
        <f t="shared" si="3"/>
        <v>540360</v>
      </c>
      <c r="AO11" s="47">
        <v>0</v>
      </c>
    </row>
    <row r="12" spans="1:41" x14ac:dyDescent="0.3">
      <c r="A12" s="2" t="s">
        <v>31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>
        <v>250</v>
      </c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>
        <v>52000</v>
      </c>
      <c r="Z12" s="255"/>
      <c r="AA12" s="255"/>
      <c r="AB12" s="255"/>
      <c r="AC12" s="255">
        <v>169800</v>
      </c>
      <c r="AD12" s="255"/>
      <c r="AE12" s="255"/>
      <c r="AF12" s="255">
        <v>211000</v>
      </c>
      <c r="AG12" s="255"/>
      <c r="AH12" s="255">
        <v>211000</v>
      </c>
      <c r="AI12" s="255">
        <v>222050</v>
      </c>
      <c r="AK12" s="182" t="str">
        <f t="shared" si="0"/>
        <v>Evariste</v>
      </c>
      <c r="AL12" s="47">
        <f t="shared" si="1"/>
        <v>211000</v>
      </c>
      <c r="AM12" s="47">
        <f t="shared" si="2"/>
        <v>0</v>
      </c>
      <c r="AN12" s="47">
        <f t="shared" si="3"/>
        <v>222050</v>
      </c>
      <c r="AO12" s="47">
        <v>0</v>
      </c>
    </row>
    <row r="13" spans="1:41" x14ac:dyDescent="0.3">
      <c r="A13" s="2" t="s">
        <v>150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>
        <v>20000</v>
      </c>
      <c r="Z13" s="255"/>
      <c r="AA13" s="255"/>
      <c r="AB13" s="255"/>
      <c r="AC13" s="255">
        <v>71000</v>
      </c>
      <c r="AD13" s="255"/>
      <c r="AE13" s="255"/>
      <c r="AF13" s="255">
        <v>382000</v>
      </c>
      <c r="AG13" s="255">
        <v>300000</v>
      </c>
      <c r="AH13" s="255">
        <v>382000</v>
      </c>
      <c r="AI13" s="255">
        <v>391000</v>
      </c>
      <c r="AK13" s="182" t="str">
        <f t="shared" si="0"/>
        <v>Grace</v>
      </c>
      <c r="AL13" s="47">
        <f t="shared" si="1"/>
        <v>382000</v>
      </c>
      <c r="AM13" s="47">
        <f t="shared" si="2"/>
        <v>300000</v>
      </c>
      <c r="AN13" s="47">
        <f t="shared" si="3"/>
        <v>91000</v>
      </c>
      <c r="AO13" s="47">
        <v>0</v>
      </c>
    </row>
    <row r="14" spans="1:41" x14ac:dyDescent="0.3">
      <c r="A14" s="2" t="s">
        <v>204</v>
      </c>
      <c r="B14" s="255"/>
      <c r="C14" s="255"/>
      <c r="D14" s="255"/>
      <c r="E14" s="255"/>
      <c r="F14" s="255"/>
      <c r="G14" s="255"/>
      <c r="H14" s="255"/>
      <c r="I14" s="255">
        <v>44300</v>
      </c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>
        <v>36200</v>
      </c>
      <c r="Z14" s="255"/>
      <c r="AA14" s="255"/>
      <c r="AB14" s="255"/>
      <c r="AC14" s="255">
        <v>199900</v>
      </c>
      <c r="AD14" s="255"/>
      <c r="AE14" s="255"/>
      <c r="AF14" s="255">
        <v>335000</v>
      </c>
      <c r="AG14" s="255"/>
      <c r="AH14" s="255">
        <v>335000</v>
      </c>
      <c r="AI14" s="255">
        <v>280400</v>
      </c>
      <c r="AK14" s="182" t="str">
        <f t="shared" si="0"/>
        <v>Hurielle</v>
      </c>
      <c r="AL14" s="47">
        <f t="shared" si="1"/>
        <v>335000</v>
      </c>
      <c r="AM14" s="47">
        <f t="shared" si="2"/>
        <v>0</v>
      </c>
      <c r="AN14" s="47">
        <f t="shared" si="3"/>
        <v>280400</v>
      </c>
      <c r="AO14" s="47">
        <v>0</v>
      </c>
    </row>
    <row r="15" spans="1:41" x14ac:dyDescent="0.3">
      <c r="A15" s="2" t="s">
        <v>93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>
        <v>95400</v>
      </c>
      <c r="Z15" s="255"/>
      <c r="AA15" s="255"/>
      <c r="AB15" s="255"/>
      <c r="AC15" s="255">
        <v>65000</v>
      </c>
      <c r="AD15" s="255"/>
      <c r="AE15" s="255"/>
      <c r="AF15" s="255">
        <v>132000</v>
      </c>
      <c r="AG15" s="255"/>
      <c r="AH15" s="255">
        <v>132000</v>
      </c>
      <c r="AI15" s="255">
        <v>160400</v>
      </c>
      <c r="AK15" s="182" t="str">
        <f t="shared" si="0"/>
        <v>Merveille</v>
      </c>
      <c r="AL15" s="47">
        <f t="shared" si="1"/>
        <v>132000</v>
      </c>
      <c r="AM15" s="47">
        <f t="shared" si="2"/>
        <v>0</v>
      </c>
      <c r="AN15" s="47">
        <f t="shared" si="3"/>
        <v>160400</v>
      </c>
      <c r="AO15" s="47">
        <v>0</v>
      </c>
    </row>
    <row r="16" spans="1:41" x14ac:dyDescent="0.3">
      <c r="A16" s="2" t="s">
        <v>346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>
        <v>17000</v>
      </c>
      <c r="Z16" s="255"/>
      <c r="AA16" s="255"/>
      <c r="AB16" s="255"/>
      <c r="AC16" s="255">
        <v>6000</v>
      </c>
      <c r="AD16" s="255"/>
      <c r="AE16" s="255"/>
      <c r="AF16" s="255">
        <v>35000</v>
      </c>
      <c r="AG16" s="255"/>
      <c r="AH16" s="255">
        <v>35000</v>
      </c>
      <c r="AI16" s="255">
        <v>23000</v>
      </c>
      <c r="AK16" s="182" t="str">
        <f t="shared" si="0"/>
        <v>Oracle</v>
      </c>
      <c r="AL16" s="47">
        <f t="shared" si="1"/>
        <v>35000</v>
      </c>
      <c r="AM16" s="47">
        <f t="shared" si="2"/>
        <v>0</v>
      </c>
      <c r="AN16" s="47">
        <f t="shared" si="3"/>
        <v>23000</v>
      </c>
      <c r="AO16" s="47">
        <v>0</v>
      </c>
    </row>
    <row r="17" spans="1:41" x14ac:dyDescent="0.3">
      <c r="A17" s="2" t="s">
        <v>29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>
        <v>69200</v>
      </c>
      <c r="Z17" s="255"/>
      <c r="AA17" s="255"/>
      <c r="AB17" s="255"/>
      <c r="AC17" s="255">
        <v>390000</v>
      </c>
      <c r="AD17" s="255"/>
      <c r="AE17" s="255">
        <v>55000</v>
      </c>
      <c r="AF17" s="255">
        <v>653000</v>
      </c>
      <c r="AG17" s="255"/>
      <c r="AH17" s="255">
        <v>653000</v>
      </c>
      <c r="AI17" s="255">
        <v>514200</v>
      </c>
      <c r="AK17" s="182" t="str">
        <f t="shared" si="0"/>
        <v>P29</v>
      </c>
      <c r="AL17" s="47">
        <f t="shared" si="1"/>
        <v>653000</v>
      </c>
      <c r="AM17" s="47">
        <f t="shared" si="2"/>
        <v>0</v>
      </c>
      <c r="AN17" s="47">
        <f t="shared" si="3"/>
        <v>514200</v>
      </c>
      <c r="AO17" s="47">
        <v>0</v>
      </c>
    </row>
    <row r="18" spans="1:41" x14ac:dyDescent="0.3">
      <c r="A18" s="2" t="s">
        <v>276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>
        <v>99900</v>
      </c>
      <c r="Z18" s="255"/>
      <c r="AA18" s="255"/>
      <c r="AB18" s="255"/>
      <c r="AC18" s="255">
        <v>505000</v>
      </c>
      <c r="AD18" s="255"/>
      <c r="AE18" s="255">
        <v>52000</v>
      </c>
      <c r="AF18" s="255">
        <v>837500</v>
      </c>
      <c r="AG18" s="255"/>
      <c r="AH18" s="255">
        <v>837500</v>
      </c>
      <c r="AI18" s="255">
        <v>656900</v>
      </c>
      <c r="AK18" s="182" t="str">
        <f t="shared" si="0"/>
        <v>T73</v>
      </c>
      <c r="AL18" s="47">
        <f t="shared" si="1"/>
        <v>837500</v>
      </c>
      <c r="AM18" s="47">
        <f t="shared" si="2"/>
        <v>0</v>
      </c>
      <c r="AN18" s="47">
        <f t="shared" si="3"/>
        <v>656900</v>
      </c>
      <c r="AO18" s="47">
        <v>0</v>
      </c>
    </row>
    <row r="19" spans="1:41" x14ac:dyDescent="0.3">
      <c r="A19" s="2" t="s">
        <v>113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>
        <v>10000</v>
      </c>
      <c r="Z19" s="255"/>
      <c r="AA19" s="255"/>
      <c r="AB19" s="255"/>
      <c r="AC19" s="255"/>
      <c r="AD19" s="255"/>
      <c r="AE19" s="255"/>
      <c r="AF19" s="255"/>
      <c r="AG19" s="255"/>
      <c r="AH19" s="255"/>
      <c r="AI19" s="255">
        <v>10000</v>
      </c>
      <c r="AK19" s="182" t="str">
        <f t="shared" si="0"/>
        <v>Tiffany</v>
      </c>
      <c r="AL19" s="47">
        <f t="shared" si="1"/>
        <v>0</v>
      </c>
      <c r="AM19" s="47">
        <f t="shared" si="2"/>
        <v>0</v>
      </c>
      <c r="AN19" s="47">
        <f t="shared" si="3"/>
        <v>10000</v>
      </c>
      <c r="AO19" s="47">
        <v>0</v>
      </c>
    </row>
    <row r="20" spans="1:41" x14ac:dyDescent="0.3">
      <c r="A20" s="2" t="s">
        <v>129</v>
      </c>
      <c r="B20" s="255"/>
      <c r="C20" s="255">
        <v>39181</v>
      </c>
      <c r="D20" s="255"/>
      <c r="E20" s="255">
        <v>458000</v>
      </c>
      <c r="F20" s="255"/>
      <c r="G20" s="255">
        <v>45050</v>
      </c>
      <c r="H20" s="255"/>
      <c r="I20" s="255">
        <v>174610</v>
      </c>
      <c r="J20" s="255"/>
      <c r="K20" s="255">
        <v>376000</v>
      </c>
      <c r="L20" s="255"/>
      <c r="M20" s="255">
        <v>251850</v>
      </c>
      <c r="N20" s="255"/>
      <c r="O20" s="255">
        <v>3924637</v>
      </c>
      <c r="P20" s="255"/>
      <c r="Q20" s="255">
        <v>1073656</v>
      </c>
      <c r="R20" s="255"/>
      <c r="S20" s="255">
        <v>355625</v>
      </c>
      <c r="T20" s="255"/>
      <c r="U20" s="255">
        <v>310000</v>
      </c>
      <c r="V20" s="255"/>
      <c r="W20" s="255">
        <v>44040</v>
      </c>
      <c r="X20" s="255"/>
      <c r="Y20" s="255">
        <v>677900</v>
      </c>
      <c r="Z20" s="255"/>
      <c r="AA20" s="255">
        <v>40000</v>
      </c>
      <c r="AB20" s="255"/>
      <c r="AC20" s="255">
        <v>2335750</v>
      </c>
      <c r="AD20" s="255"/>
      <c r="AE20" s="255">
        <v>125000</v>
      </c>
      <c r="AF20" s="255">
        <v>6777000</v>
      </c>
      <c r="AG20" s="255">
        <v>6777000</v>
      </c>
      <c r="AH20" s="255">
        <v>6777000</v>
      </c>
      <c r="AI20" s="255">
        <v>17008299</v>
      </c>
      <c r="AK20" s="182" t="str">
        <f t="shared" si="0"/>
        <v>Total général</v>
      </c>
      <c r="AL20" s="47">
        <f>+SUM(AL6:AL19)</f>
        <v>6777000</v>
      </c>
      <c r="AM20" s="47">
        <f>+SUM(AM6:AM19)</f>
        <v>6777000</v>
      </c>
      <c r="AN20" s="47">
        <f>+SUM(AN6:AN19)</f>
        <v>10231299</v>
      </c>
      <c r="AO20" s="47">
        <f>+SUM(AO6:AO19)</f>
        <v>0</v>
      </c>
    </row>
    <row r="22" spans="1:41" x14ac:dyDescent="0.3">
      <c r="AL22" s="160">
        <f>+AM20-AL20</f>
        <v>0</v>
      </c>
      <c r="AM22" s="212" t="b">
        <f>AN20=GETPIVOTDATA("Spent",Donateur!$A$13)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7"/>
  <sheetViews>
    <sheetView zoomScale="60" zoomScaleNormal="60" workbookViewId="0">
      <pane ySplit="12" topLeftCell="A246" activePane="bottomLeft" state="frozen"/>
      <selection pane="bottomLeft" activeCell="B246" sqref="B246"/>
    </sheetView>
  </sheetViews>
  <sheetFormatPr defaultColWidth="11.5546875" defaultRowHeight="14.4" x14ac:dyDescent="0.3"/>
  <cols>
    <col min="1" max="1" width="13.44140625" customWidth="1"/>
    <col min="2" max="2" width="105.88671875" customWidth="1"/>
    <col min="3" max="3" width="21" customWidth="1"/>
    <col min="4" max="4" width="13.88671875" customWidth="1"/>
    <col min="5" max="5" width="13.33203125" customWidth="1"/>
    <col min="6" max="6" width="13.5546875" customWidth="1"/>
    <col min="7" max="7" width="18.33203125" customWidth="1"/>
    <col min="8" max="8" width="17.88671875" customWidth="1"/>
    <col min="9" max="9" width="12.109375" customWidth="1"/>
    <col min="10" max="10" width="16.44140625" customWidth="1"/>
    <col min="13" max="13" width="18.109375" customWidth="1"/>
    <col min="14" max="14" width="11.44140625" customWidth="1"/>
    <col min="16" max="16" width="11.44140625" style="212"/>
  </cols>
  <sheetData>
    <row r="1" spans="1:18" s="159" customFormat="1" ht="26.25" customHeight="1" x14ac:dyDescent="0.3">
      <c r="A1" s="345" t="s">
        <v>305</v>
      </c>
      <c r="B1" s="345"/>
      <c r="C1" s="345"/>
      <c r="D1" s="345"/>
      <c r="E1" s="346"/>
      <c r="F1" s="347"/>
      <c r="G1" s="345"/>
      <c r="H1" s="345"/>
      <c r="I1" s="348"/>
      <c r="J1" s="345"/>
      <c r="K1" s="345"/>
      <c r="L1" s="345"/>
      <c r="M1" s="345"/>
      <c r="N1" s="345"/>
      <c r="O1" s="349"/>
      <c r="P1" s="220"/>
    </row>
    <row r="2" spans="1:18" s="157" customFormat="1" ht="13.8" x14ac:dyDescent="0.25">
      <c r="A2" s="190"/>
      <c r="B2" s="198" t="s">
        <v>289</v>
      </c>
      <c r="C2" s="199">
        <v>27242867</v>
      </c>
      <c r="D2" s="193"/>
      <c r="E2" s="194"/>
      <c r="F2" s="200"/>
      <c r="G2" s="201"/>
      <c r="I2" s="192"/>
      <c r="J2" s="192"/>
      <c r="N2" s="193"/>
      <c r="O2" s="202"/>
      <c r="P2" s="221"/>
    </row>
    <row r="3" spans="1:18" s="157" customFormat="1" ht="13.8" x14ac:dyDescent="0.25">
      <c r="A3" s="190"/>
      <c r="C3" s="193"/>
      <c r="D3" s="193"/>
      <c r="E3" s="194"/>
      <c r="F3" s="200"/>
      <c r="G3" s="201"/>
      <c r="I3" s="192"/>
      <c r="J3" s="192"/>
      <c r="N3" s="193"/>
      <c r="O3" s="202"/>
      <c r="P3" s="221"/>
    </row>
    <row r="4" spans="1:18" s="157" customFormat="1" ht="13.8" x14ac:dyDescent="0.25">
      <c r="A4" s="190"/>
      <c r="B4" s="203" t="s">
        <v>6</v>
      </c>
      <c r="C4" s="204" t="s">
        <v>7</v>
      </c>
      <c r="D4" s="193"/>
      <c r="E4" s="194"/>
      <c r="F4" s="200"/>
      <c r="G4" s="201"/>
      <c r="I4" s="58"/>
      <c r="J4" s="192"/>
      <c r="N4" s="193"/>
      <c r="O4" s="202"/>
      <c r="P4" s="221"/>
    </row>
    <row r="5" spans="1:18" s="157" customFormat="1" ht="13.8" x14ac:dyDescent="0.25">
      <c r="A5" s="190"/>
      <c r="B5" s="157" t="s">
        <v>8</v>
      </c>
      <c r="C5" s="205">
        <f>SUM(E13:E1083)</f>
        <v>6777000</v>
      </c>
      <c r="D5" s="193"/>
      <c r="E5" s="206" t="s">
        <v>100</v>
      </c>
      <c r="F5" s="200"/>
      <c r="G5" s="201"/>
      <c r="H5" s="195"/>
      <c r="I5" s="192"/>
      <c r="J5" s="192"/>
      <c r="N5" s="193"/>
      <c r="O5" s="202"/>
      <c r="P5" s="221"/>
    </row>
    <row r="6" spans="1:18" s="157" customFormat="1" ht="13.8" x14ac:dyDescent="0.25">
      <c r="A6" s="190"/>
      <c r="B6" s="157" t="s">
        <v>9</v>
      </c>
      <c r="C6" s="205">
        <f>SUM(F13:F1084)</f>
        <v>17008299</v>
      </c>
      <c r="D6" s="193"/>
      <c r="E6" s="207">
        <f>+C7-Récapitulatif!I20</f>
        <v>0</v>
      </c>
      <c r="F6" s="200"/>
      <c r="G6" s="201"/>
      <c r="I6" s="192"/>
      <c r="J6" s="208"/>
      <c r="K6" s="196"/>
      <c r="N6" s="193"/>
      <c r="O6" s="202"/>
      <c r="P6" s="221"/>
    </row>
    <row r="7" spans="1:18" s="157" customFormat="1" ht="13.8" x14ac:dyDescent="0.25">
      <c r="A7" s="190"/>
      <c r="B7" s="209" t="s">
        <v>10</v>
      </c>
      <c r="C7" s="210">
        <f>C2+C5-C6</f>
        <v>17011568</v>
      </c>
      <c r="D7" s="211">
        <f>C7-Récapitulatif!I20</f>
        <v>0</v>
      </c>
      <c r="E7" s="194"/>
      <c r="F7" s="200"/>
      <c r="G7" s="201"/>
      <c r="I7" s="192"/>
      <c r="J7" s="192"/>
      <c r="K7" s="196"/>
      <c r="N7" s="193"/>
      <c r="O7" s="202"/>
      <c r="P7" s="221"/>
    </row>
    <row r="8" spans="1:18" s="157" customFormat="1" ht="13.8" x14ac:dyDescent="0.25">
      <c r="A8" s="190"/>
      <c r="C8" s="193"/>
      <c r="D8" s="193"/>
      <c r="E8" s="194"/>
      <c r="F8" s="200"/>
      <c r="G8" s="201"/>
      <c r="I8" s="192"/>
      <c r="J8" s="192"/>
      <c r="N8" s="193"/>
      <c r="O8" s="202"/>
      <c r="P8" s="221"/>
    </row>
    <row r="9" spans="1:18" s="191" customFormat="1" ht="13.8" x14ac:dyDescent="0.25">
      <c r="P9" s="222"/>
    </row>
    <row r="10" spans="1:18" s="191" customFormat="1" ht="13.8" x14ac:dyDescent="0.25">
      <c r="P10" s="222"/>
    </row>
    <row r="11" spans="1:18" s="191" customFormat="1" ht="13.8" x14ac:dyDescent="0.25">
      <c r="P11" s="222"/>
    </row>
    <row r="12" spans="1:18" s="191" customFormat="1" ht="13.8" x14ac:dyDescent="0.25">
      <c r="A12" s="290" t="s">
        <v>0</v>
      </c>
      <c r="B12" s="291" t="s">
        <v>11</v>
      </c>
      <c r="C12" s="292" t="s">
        <v>12</v>
      </c>
      <c r="D12" s="292" t="s">
        <v>13</v>
      </c>
      <c r="E12" s="293" t="s">
        <v>14</v>
      </c>
      <c r="F12" s="294" t="s">
        <v>15</v>
      </c>
      <c r="G12" s="295" t="s">
        <v>16</v>
      </c>
      <c r="H12" s="291" t="s">
        <v>17</v>
      </c>
      <c r="I12" s="296" t="s">
        <v>18</v>
      </c>
      <c r="J12" s="296" t="s">
        <v>19</v>
      </c>
      <c r="K12" s="291" t="s">
        <v>20</v>
      </c>
      <c r="L12" s="291" t="s">
        <v>21</v>
      </c>
      <c r="M12" s="291" t="s">
        <v>81</v>
      </c>
      <c r="N12" s="292" t="s">
        <v>23</v>
      </c>
      <c r="O12" s="291" t="s">
        <v>22</v>
      </c>
      <c r="P12" s="221"/>
      <c r="Q12" s="157"/>
      <c r="R12" s="157"/>
    </row>
    <row r="13" spans="1:18" s="228" customFormat="1" ht="13.8" x14ac:dyDescent="0.25">
      <c r="A13" s="223">
        <v>45047</v>
      </c>
      <c r="B13" s="224" t="s">
        <v>304</v>
      </c>
      <c r="C13" s="224"/>
      <c r="D13" s="224"/>
      <c r="E13" s="225"/>
      <c r="F13" s="297"/>
      <c r="G13" s="226">
        <f>+C2</f>
        <v>27242867</v>
      </c>
      <c r="H13" s="224"/>
      <c r="I13" s="224"/>
      <c r="J13" s="224"/>
      <c r="K13" s="224"/>
      <c r="L13" s="224"/>
      <c r="M13" s="224"/>
      <c r="N13" s="224"/>
      <c r="O13" s="224"/>
      <c r="P13" s="227"/>
      <c r="Q13" s="224"/>
      <c r="R13" s="224"/>
    </row>
    <row r="14" spans="1:18" s="228" customFormat="1" ht="13.8" x14ac:dyDescent="0.25">
      <c r="A14" s="256">
        <v>45048</v>
      </c>
      <c r="B14" s="228" t="s">
        <v>311</v>
      </c>
      <c r="C14" s="250" t="s">
        <v>246</v>
      </c>
      <c r="D14" s="228" t="s">
        <v>312</v>
      </c>
      <c r="E14" s="217"/>
      <c r="F14" s="298">
        <v>16000</v>
      </c>
      <c r="G14" s="217">
        <f t="shared" ref="G14:G27" si="0">+G13+E14-F14</f>
        <v>27226867</v>
      </c>
      <c r="H14" s="228" t="s">
        <v>25</v>
      </c>
      <c r="I14" s="228" t="s">
        <v>361</v>
      </c>
      <c r="J14" s="228" t="s">
        <v>102</v>
      </c>
      <c r="K14" s="250" t="s">
        <v>206</v>
      </c>
      <c r="L14" s="250" t="s">
        <v>502</v>
      </c>
      <c r="M14" s="257" t="s">
        <v>522</v>
      </c>
      <c r="N14" s="250" t="s">
        <v>506</v>
      </c>
      <c r="P14" s="258"/>
      <c r="Q14" s="259"/>
      <c r="R14" s="259"/>
    </row>
    <row r="15" spans="1:18" s="228" customFormat="1" ht="13.8" x14ac:dyDescent="0.25">
      <c r="A15" s="256">
        <v>45048</v>
      </c>
      <c r="B15" s="250" t="s">
        <v>47</v>
      </c>
      <c r="C15" s="250" t="s">
        <v>75</v>
      </c>
      <c r="F15" s="299">
        <v>140000</v>
      </c>
      <c r="G15" s="217">
        <f t="shared" si="0"/>
        <v>27086867</v>
      </c>
      <c r="H15" s="250" t="s">
        <v>25</v>
      </c>
      <c r="J15" s="250"/>
      <c r="K15" s="250"/>
      <c r="L15" s="250"/>
      <c r="N15" s="250"/>
      <c r="P15" s="258"/>
      <c r="Q15" s="217"/>
      <c r="R15" s="259"/>
    </row>
    <row r="16" spans="1:18" s="228" customFormat="1" ht="13.8" x14ac:dyDescent="0.25">
      <c r="A16" s="260">
        <v>45048</v>
      </c>
      <c r="B16" s="261" t="s">
        <v>276</v>
      </c>
      <c r="C16" s="250" t="s">
        <v>75</v>
      </c>
      <c r="F16" s="298">
        <v>10000</v>
      </c>
      <c r="G16" s="217">
        <f t="shared" si="0"/>
        <v>27076867</v>
      </c>
      <c r="H16" s="228" t="s">
        <v>25</v>
      </c>
      <c r="J16" s="250"/>
      <c r="K16" s="250"/>
      <c r="L16" s="250"/>
      <c r="N16" s="250"/>
      <c r="P16" s="258"/>
      <c r="Q16" s="217"/>
      <c r="R16" s="259"/>
    </row>
    <row r="17" spans="1:18" s="228" customFormat="1" ht="13.8" x14ac:dyDescent="0.25">
      <c r="A17" s="249">
        <v>45048</v>
      </c>
      <c r="B17" s="228" t="s">
        <v>277</v>
      </c>
      <c r="C17" s="228" t="s">
        <v>75</v>
      </c>
      <c r="F17" s="298">
        <v>20000</v>
      </c>
      <c r="G17" s="217">
        <f t="shared" si="0"/>
        <v>27056867</v>
      </c>
      <c r="H17" s="217" t="s">
        <v>25</v>
      </c>
      <c r="P17" s="258"/>
      <c r="Q17" s="217"/>
      <c r="R17" s="259"/>
    </row>
    <row r="18" spans="1:18" s="228" customFormat="1" ht="13.8" x14ac:dyDescent="0.25">
      <c r="A18" s="249">
        <v>45048</v>
      </c>
      <c r="B18" s="261" t="s">
        <v>29</v>
      </c>
      <c r="C18" s="228" t="s">
        <v>75</v>
      </c>
      <c r="D18" s="217"/>
      <c r="F18" s="299">
        <v>100000</v>
      </c>
      <c r="G18" s="217">
        <f t="shared" si="0"/>
        <v>26956867</v>
      </c>
      <c r="H18" s="228" t="s">
        <v>25</v>
      </c>
      <c r="P18" s="258"/>
      <c r="Q18" s="217"/>
      <c r="R18" s="259"/>
    </row>
    <row r="19" spans="1:18" s="228" customFormat="1" ht="13.8" x14ac:dyDescent="0.25">
      <c r="A19" s="260">
        <v>45048</v>
      </c>
      <c r="B19" s="261" t="s">
        <v>314</v>
      </c>
      <c r="C19" s="228" t="s">
        <v>178</v>
      </c>
      <c r="D19" s="236" t="s">
        <v>2</v>
      </c>
      <c r="F19" s="298">
        <v>38000</v>
      </c>
      <c r="G19" s="217">
        <f t="shared" si="0"/>
        <v>26918867</v>
      </c>
      <c r="H19" s="263" t="s">
        <v>25</v>
      </c>
      <c r="I19" s="228" t="s">
        <v>361</v>
      </c>
      <c r="J19" s="228" t="s">
        <v>297</v>
      </c>
      <c r="K19" s="259" t="s">
        <v>206</v>
      </c>
      <c r="L19" s="228" t="s">
        <v>502</v>
      </c>
      <c r="M19" s="257" t="s">
        <v>523</v>
      </c>
      <c r="N19" s="228" t="s">
        <v>514</v>
      </c>
      <c r="P19" s="258"/>
      <c r="Q19" s="217"/>
      <c r="R19" s="259"/>
    </row>
    <row r="20" spans="1:18" s="228" customFormat="1" ht="13.8" x14ac:dyDescent="0.25">
      <c r="A20" s="260">
        <v>45048</v>
      </c>
      <c r="B20" s="261" t="s">
        <v>315</v>
      </c>
      <c r="C20" s="236" t="s">
        <v>178</v>
      </c>
      <c r="D20" s="236" t="s">
        <v>161</v>
      </c>
      <c r="F20" s="298">
        <v>53000</v>
      </c>
      <c r="G20" s="217">
        <f t="shared" si="0"/>
        <v>26865867</v>
      </c>
      <c r="H20" s="263" t="s">
        <v>25</v>
      </c>
      <c r="I20" s="228" t="s">
        <v>361</v>
      </c>
      <c r="J20" s="228" t="s">
        <v>297</v>
      </c>
      <c r="K20" s="259" t="s">
        <v>206</v>
      </c>
      <c r="L20" s="228" t="s">
        <v>502</v>
      </c>
      <c r="M20" s="257" t="s">
        <v>524</v>
      </c>
      <c r="N20" s="228" t="s">
        <v>514</v>
      </c>
      <c r="P20" s="258"/>
      <c r="Q20" s="217"/>
      <c r="R20" s="259"/>
    </row>
    <row r="21" spans="1:18" s="228" customFormat="1" ht="13.8" x14ac:dyDescent="0.25">
      <c r="A21" s="260">
        <v>45048</v>
      </c>
      <c r="B21" s="261" t="s">
        <v>316</v>
      </c>
      <c r="C21" s="236" t="s">
        <v>178</v>
      </c>
      <c r="D21" s="236" t="s">
        <v>4</v>
      </c>
      <c r="F21" s="298">
        <v>52000</v>
      </c>
      <c r="G21" s="217">
        <f t="shared" si="0"/>
        <v>26813867</v>
      </c>
      <c r="H21" s="263" t="s">
        <v>25</v>
      </c>
      <c r="I21" s="228" t="s">
        <v>361</v>
      </c>
      <c r="J21" s="228" t="s">
        <v>297</v>
      </c>
      <c r="K21" s="259" t="s">
        <v>206</v>
      </c>
      <c r="L21" s="228" t="s">
        <v>502</v>
      </c>
      <c r="M21" s="257" t="s">
        <v>525</v>
      </c>
      <c r="N21" s="228" t="s">
        <v>514</v>
      </c>
      <c r="P21" s="258"/>
      <c r="Q21" s="217"/>
      <c r="R21" s="259"/>
    </row>
    <row r="22" spans="1:18" s="228" customFormat="1" ht="13.8" x14ac:dyDescent="0.25">
      <c r="A22" s="260">
        <v>45048</v>
      </c>
      <c r="B22" s="261" t="s">
        <v>317</v>
      </c>
      <c r="C22" s="236" t="s">
        <v>178</v>
      </c>
      <c r="D22" s="236" t="s">
        <v>162</v>
      </c>
      <c r="F22" s="300">
        <v>5000</v>
      </c>
      <c r="G22" s="217">
        <f t="shared" si="0"/>
        <v>26808867</v>
      </c>
      <c r="H22" s="263" t="s">
        <v>25</v>
      </c>
      <c r="I22" s="228" t="s">
        <v>361</v>
      </c>
      <c r="J22" s="228" t="s">
        <v>297</v>
      </c>
      <c r="K22" s="259" t="s">
        <v>206</v>
      </c>
      <c r="L22" s="228" t="s">
        <v>502</v>
      </c>
      <c r="M22" s="257" t="s">
        <v>526</v>
      </c>
      <c r="N22" s="228" t="s">
        <v>514</v>
      </c>
      <c r="P22" s="258"/>
      <c r="Q22" s="217"/>
      <c r="R22" s="259"/>
    </row>
    <row r="23" spans="1:18" s="228" customFormat="1" ht="13.8" x14ac:dyDescent="0.25">
      <c r="A23" s="260">
        <v>45048</v>
      </c>
      <c r="B23" s="261" t="s">
        <v>318</v>
      </c>
      <c r="C23" s="236" t="s">
        <v>178</v>
      </c>
      <c r="D23" s="236" t="s">
        <v>2</v>
      </c>
      <c r="F23" s="298">
        <v>15000</v>
      </c>
      <c r="G23" s="217">
        <f t="shared" si="0"/>
        <v>26793867</v>
      </c>
      <c r="H23" s="263" t="s">
        <v>25</v>
      </c>
      <c r="I23" s="228" t="s">
        <v>361</v>
      </c>
      <c r="J23" s="228" t="s">
        <v>297</v>
      </c>
      <c r="K23" s="259" t="s">
        <v>206</v>
      </c>
      <c r="L23" s="228" t="s">
        <v>502</v>
      </c>
      <c r="M23" s="257" t="s">
        <v>527</v>
      </c>
      <c r="N23" s="228" t="s">
        <v>514</v>
      </c>
      <c r="P23" s="258"/>
      <c r="Q23" s="217"/>
      <c r="R23" s="259"/>
    </row>
    <row r="24" spans="1:18" s="228" customFormat="1" ht="13.8" x14ac:dyDescent="0.25">
      <c r="A24" s="260">
        <v>45048</v>
      </c>
      <c r="B24" s="261" t="s">
        <v>319</v>
      </c>
      <c r="C24" s="236" t="s">
        <v>178</v>
      </c>
      <c r="D24" s="236" t="s">
        <v>161</v>
      </c>
      <c r="F24" s="298">
        <v>10000</v>
      </c>
      <c r="G24" s="217">
        <f t="shared" si="0"/>
        <v>26783867</v>
      </c>
      <c r="H24" s="263" t="s">
        <v>25</v>
      </c>
      <c r="I24" s="228" t="s">
        <v>361</v>
      </c>
      <c r="J24" s="228" t="s">
        <v>297</v>
      </c>
      <c r="K24" s="259" t="s">
        <v>206</v>
      </c>
      <c r="L24" s="228" t="s">
        <v>502</v>
      </c>
      <c r="M24" s="257" t="s">
        <v>528</v>
      </c>
      <c r="N24" s="228" t="s">
        <v>514</v>
      </c>
      <c r="P24" s="258"/>
      <c r="Q24" s="217"/>
      <c r="R24" s="259"/>
    </row>
    <row r="25" spans="1:18" s="228" customFormat="1" ht="13.8" x14ac:dyDescent="0.25">
      <c r="A25" s="260">
        <v>45048</v>
      </c>
      <c r="B25" s="261" t="s">
        <v>320</v>
      </c>
      <c r="C25" s="236" t="s">
        <v>178</v>
      </c>
      <c r="D25" s="236" t="s">
        <v>4</v>
      </c>
      <c r="F25" s="298">
        <v>16000</v>
      </c>
      <c r="G25" s="217">
        <f t="shared" si="0"/>
        <v>26767867</v>
      </c>
      <c r="H25" s="263" t="s">
        <v>25</v>
      </c>
      <c r="I25" s="228" t="s">
        <v>361</v>
      </c>
      <c r="J25" s="228" t="s">
        <v>297</v>
      </c>
      <c r="K25" s="259" t="s">
        <v>206</v>
      </c>
      <c r="L25" s="228" t="s">
        <v>502</v>
      </c>
      <c r="M25" s="257" t="s">
        <v>529</v>
      </c>
      <c r="N25" s="228" t="s">
        <v>514</v>
      </c>
      <c r="P25" s="258"/>
      <c r="Q25" s="217"/>
      <c r="R25" s="259"/>
    </row>
    <row r="26" spans="1:18" s="228" customFormat="1" ht="13.8" x14ac:dyDescent="0.25">
      <c r="A26" s="260">
        <v>45048</v>
      </c>
      <c r="B26" s="261" t="s">
        <v>321</v>
      </c>
      <c r="C26" s="236" t="s">
        <v>178</v>
      </c>
      <c r="D26" s="236" t="s">
        <v>162</v>
      </c>
      <c r="F26" s="298">
        <v>11000</v>
      </c>
      <c r="G26" s="217">
        <f t="shared" si="0"/>
        <v>26756867</v>
      </c>
      <c r="H26" s="263" t="s">
        <v>25</v>
      </c>
      <c r="I26" s="228" t="s">
        <v>361</v>
      </c>
      <c r="J26" s="228" t="s">
        <v>297</v>
      </c>
      <c r="K26" s="259" t="s">
        <v>206</v>
      </c>
      <c r="L26" s="228" t="s">
        <v>502</v>
      </c>
      <c r="M26" s="257" t="s">
        <v>530</v>
      </c>
      <c r="N26" s="228" t="s">
        <v>514</v>
      </c>
      <c r="P26" s="258"/>
      <c r="Q26" s="217"/>
      <c r="R26" s="259"/>
    </row>
    <row r="27" spans="1:18" s="228" customFormat="1" ht="13.8" x14ac:dyDescent="0.25">
      <c r="A27" s="260">
        <v>45048</v>
      </c>
      <c r="B27" s="261" t="s">
        <v>322</v>
      </c>
      <c r="C27" s="236" t="s">
        <v>237</v>
      </c>
      <c r="D27" s="236" t="s">
        <v>162</v>
      </c>
      <c r="F27" s="298">
        <v>42000</v>
      </c>
      <c r="G27" s="217">
        <f t="shared" si="0"/>
        <v>26714867</v>
      </c>
      <c r="H27" s="263" t="s">
        <v>25</v>
      </c>
      <c r="I27" s="228" t="s">
        <v>361</v>
      </c>
      <c r="J27" s="228" t="s">
        <v>297</v>
      </c>
      <c r="K27" s="250" t="s">
        <v>205</v>
      </c>
      <c r="L27" s="250" t="s">
        <v>502</v>
      </c>
      <c r="M27" s="257"/>
      <c r="N27" s="250"/>
      <c r="P27" s="265"/>
      <c r="Q27" s="259"/>
      <c r="R27" s="259"/>
    </row>
    <row r="28" spans="1:18" s="228" customFormat="1" ht="13.8" x14ac:dyDescent="0.25">
      <c r="A28" s="249">
        <v>45048</v>
      </c>
      <c r="B28" s="299" t="s">
        <v>389</v>
      </c>
      <c r="C28" s="299" t="s">
        <v>364</v>
      </c>
      <c r="D28" s="250" t="s">
        <v>312</v>
      </c>
      <c r="F28" s="228">
        <v>15836</v>
      </c>
      <c r="G28" s="217">
        <f>G27+E28-F28</f>
        <v>26699031</v>
      </c>
      <c r="H28" s="228" t="s">
        <v>155</v>
      </c>
      <c r="I28" s="250" t="s">
        <v>362</v>
      </c>
      <c r="J28" s="228" t="s">
        <v>102</v>
      </c>
      <c r="K28" s="228" t="s">
        <v>206</v>
      </c>
      <c r="L28" s="250" t="s">
        <v>502</v>
      </c>
      <c r="M28" s="257" t="s">
        <v>531</v>
      </c>
      <c r="N28" s="250" t="s">
        <v>503</v>
      </c>
      <c r="O28" s="250"/>
      <c r="P28" s="258"/>
      <c r="Q28" s="217"/>
      <c r="R28" s="259"/>
    </row>
    <row r="29" spans="1:18" s="228" customFormat="1" ht="13.8" x14ac:dyDescent="0.25">
      <c r="A29" s="256">
        <v>45048</v>
      </c>
      <c r="B29" s="228" t="s">
        <v>404</v>
      </c>
      <c r="C29" s="250" t="s">
        <v>75</v>
      </c>
      <c r="E29" s="217">
        <v>20000</v>
      </c>
      <c r="F29" s="217"/>
      <c r="G29" s="217">
        <f>G28+E29-F29</f>
        <v>26719031</v>
      </c>
      <c r="H29" s="228" t="s">
        <v>277</v>
      </c>
      <c r="M29" s="257"/>
      <c r="N29" s="250"/>
      <c r="P29" s="258"/>
      <c r="Q29" s="217"/>
      <c r="R29" s="259"/>
    </row>
    <row r="30" spans="1:18" s="228" customFormat="1" ht="13.8" x14ac:dyDescent="0.25">
      <c r="A30" s="249">
        <v>45048</v>
      </c>
      <c r="B30" s="261" t="s">
        <v>422</v>
      </c>
      <c r="C30" s="236" t="s">
        <v>75</v>
      </c>
      <c r="D30" s="236"/>
      <c r="E30" s="228">
        <v>10000</v>
      </c>
      <c r="F30" s="217"/>
      <c r="G30" s="217">
        <f>G29+E30-F30</f>
        <v>26729031</v>
      </c>
      <c r="H30" s="263" t="s">
        <v>276</v>
      </c>
      <c r="I30" s="264"/>
      <c r="K30" s="250"/>
      <c r="L30" s="250"/>
      <c r="M30" s="257"/>
      <c r="N30" s="250"/>
      <c r="P30" s="258"/>
      <c r="Q30" s="217"/>
      <c r="R30" s="259"/>
    </row>
    <row r="31" spans="1:18" s="228" customFormat="1" ht="13.8" x14ac:dyDescent="0.25">
      <c r="A31" s="249">
        <v>45048</v>
      </c>
      <c r="B31" s="228" t="s">
        <v>486</v>
      </c>
      <c r="C31" s="228" t="s">
        <v>75</v>
      </c>
      <c r="E31" s="228">
        <v>140000</v>
      </c>
      <c r="F31" s="304"/>
      <c r="G31" s="217">
        <f>+G30+E31-F31</f>
        <v>26869031</v>
      </c>
      <c r="H31" s="228" t="s">
        <v>47</v>
      </c>
      <c r="P31" s="258"/>
      <c r="Q31" s="217"/>
      <c r="R31" s="259"/>
    </row>
    <row r="32" spans="1:18" s="228" customFormat="1" ht="13.8" x14ac:dyDescent="0.25">
      <c r="A32" s="260">
        <v>45049</v>
      </c>
      <c r="B32" s="228" t="s">
        <v>323</v>
      </c>
      <c r="C32" s="250" t="s">
        <v>246</v>
      </c>
      <c r="D32" s="228" t="s">
        <v>312</v>
      </c>
      <c r="E32" s="217"/>
      <c r="F32" s="298">
        <v>165000</v>
      </c>
      <c r="G32" s="217">
        <f>+G31+E32-F32</f>
        <v>26704031</v>
      </c>
      <c r="H32" s="228" t="s">
        <v>25</v>
      </c>
      <c r="I32" s="228" t="s">
        <v>361</v>
      </c>
      <c r="J32" s="228" t="s">
        <v>102</v>
      </c>
      <c r="K32" s="250" t="s">
        <v>206</v>
      </c>
      <c r="L32" s="250" t="s">
        <v>502</v>
      </c>
      <c r="M32" s="257" t="s">
        <v>532</v>
      </c>
      <c r="N32" s="250" t="s">
        <v>506</v>
      </c>
      <c r="P32" s="258"/>
      <c r="Q32" s="217"/>
      <c r="R32" s="259"/>
    </row>
    <row r="33" spans="1:18" s="228" customFormat="1" ht="13.8" x14ac:dyDescent="0.25">
      <c r="A33" s="256">
        <v>45049</v>
      </c>
      <c r="B33" s="228" t="s">
        <v>204</v>
      </c>
      <c r="C33" s="250" t="s">
        <v>75</v>
      </c>
      <c r="E33" s="217"/>
      <c r="F33" s="298">
        <v>3000</v>
      </c>
      <c r="G33" s="217">
        <f>+G32+E33-F33</f>
        <v>26701031</v>
      </c>
      <c r="H33" s="228" t="s">
        <v>25</v>
      </c>
      <c r="M33" s="257"/>
      <c r="N33" s="250"/>
      <c r="P33" s="258"/>
      <c r="Q33" s="217"/>
      <c r="R33" s="259"/>
    </row>
    <row r="34" spans="1:18" s="228" customFormat="1" ht="13.8" x14ac:dyDescent="0.25">
      <c r="A34" s="260">
        <v>45049</v>
      </c>
      <c r="B34" s="250" t="s">
        <v>434</v>
      </c>
      <c r="C34" s="250" t="s">
        <v>75</v>
      </c>
      <c r="E34" s="228">
        <v>100000</v>
      </c>
      <c r="F34" s="267"/>
      <c r="G34" s="217">
        <f>+G33+E34-F34</f>
        <v>26801031</v>
      </c>
      <c r="H34" s="228" t="s">
        <v>29</v>
      </c>
      <c r="K34" s="259"/>
      <c r="N34" s="250"/>
      <c r="O34" s="250"/>
      <c r="P34" s="258"/>
      <c r="Q34" s="217"/>
      <c r="R34" s="259"/>
    </row>
    <row r="35" spans="1:18" s="228" customFormat="1" ht="13.8" x14ac:dyDescent="0.25">
      <c r="A35" s="256">
        <v>45049</v>
      </c>
      <c r="B35" s="228" t="s">
        <v>449</v>
      </c>
      <c r="C35" s="250" t="s">
        <v>450</v>
      </c>
      <c r="E35" s="217">
        <v>3000</v>
      </c>
      <c r="F35" s="217"/>
      <c r="G35" s="217">
        <f>G34+E35-F35</f>
        <v>26804031</v>
      </c>
      <c r="H35" s="228" t="s">
        <v>204</v>
      </c>
      <c r="J35" s="250"/>
      <c r="K35" s="250"/>
      <c r="L35" s="250"/>
      <c r="O35" s="217"/>
      <c r="P35" s="258"/>
      <c r="Q35" s="259"/>
      <c r="R35" s="259"/>
    </row>
    <row r="36" spans="1:18" s="228" customFormat="1" ht="13.8" x14ac:dyDescent="0.25">
      <c r="A36" s="249">
        <v>45054</v>
      </c>
      <c r="B36" s="228" t="s">
        <v>363</v>
      </c>
      <c r="C36" s="250" t="s">
        <v>364</v>
      </c>
      <c r="D36" s="250" t="s">
        <v>312</v>
      </c>
      <c r="F36" s="299">
        <f>14701+8644</f>
        <v>23345</v>
      </c>
      <c r="G36" s="217">
        <f t="shared" ref="G36:G44" si="1">+G35+E36-F36</f>
        <v>26780686</v>
      </c>
      <c r="H36" s="250" t="s">
        <v>24</v>
      </c>
      <c r="I36" s="250" t="s">
        <v>362</v>
      </c>
      <c r="J36" s="228" t="s">
        <v>297</v>
      </c>
      <c r="K36" s="228" t="s">
        <v>205</v>
      </c>
      <c r="L36" s="228" t="s">
        <v>502</v>
      </c>
      <c r="N36" s="250"/>
      <c r="O36" s="250"/>
      <c r="P36" s="258"/>
      <c r="Q36" s="259"/>
      <c r="R36" s="259"/>
    </row>
    <row r="37" spans="1:18" s="228" customFormat="1" ht="13.8" x14ac:dyDescent="0.25">
      <c r="A37" s="266">
        <v>45054</v>
      </c>
      <c r="B37" s="228" t="s">
        <v>47</v>
      </c>
      <c r="C37" s="228" t="s">
        <v>75</v>
      </c>
      <c r="F37" s="299">
        <v>30000</v>
      </c>
      <c r="G37" s="217">
        <f t="shared" si="1"/>
        <v>26750686</v>
      </c>
      <c r="H37" s="259" t="s">
        <v>25</v>
      </c>
      <c r="O37" s="250"/>
      <c r="P37" s="258"/>
      <c r="Q37" s="259"/>
      <c r="R37" s="259"/>
    </row>
    <row r="38" spans="1:18" s="228" customFormat="1" ht="13.8" x14ac:dyDescent="0.25">
      <c r="A38" s="249">
        <v>45054</v>
      </c>
      <c r="B38" s="228" t="s">
        <v>486</v>
      </c>
      <c r="C38" s="250" t="s">
        <v>75</v>
      </c>
      <c r="E38" s="217">
        <v>30000</v>
      </c>
      <c r="F38" s="262"/>
      <c r="G38" s="217">
        <f t="shared" si="1"/>
        <v>26780686</v>
      </c>
      <c r="H38" s="228" t="s">
        <v>47</v>
      </c>
      <c r="K38" s="259"/>
      <c r="N38" s="250"/>
      <c r="P38" s="258"/>
      <c r="Q38" s="259"/>
      <c r="R38" s="259"/>
    </row>
    <row r="39" spans="1:18" s="228" customFormat="1" ht="13.8" x14ac:dyDescent="0.25">
      <c r="A39" s="249">
        <v>45054</v>
      </c>
      <c r="B39" s="228" t="s">
        <v>488</v>
      </c>
      <c r="C39" s="250" t="s">
        <v>34</v>
      </c>
      <c r="D39" s="217" t="s">
        <v>2</v>
      </c>
      <c r="F39" s="305">
        <v>15000</v>
      </c>
      <c r="G39" s="217">
        <f t="shared" si="1"/>
        <v>26765686</v>
      </c>
      <c r="H39" s="228" t="s">
        <v>47</v>
      </c>
      <c r="I39" s="228" t="s">
        <v>313</v>
      </c>
      <c r="J39" s="228" t="s">
        <v>297</v>
      </c>
      <c r="K39" s="228" t="s">
        <v>206</v>
      </c>
      <c r="L39" s="228" t="s">
        <v>502</v>
      </c>
      <c r="M39" s="257" t="s">
        <v>533</v>
      </c>
      <c r="N39" s="250" t="s">
        <v>515</v>
      </c>
      <c r="P39" s="258"/>
      <c r="Q39" s="259"/>
      <c r="R39" s="259"/>
    </row>
    <row r="40" spans="1:18" s="228" customFormat="1" ht="13.8" x14ac:dyDescent="0.25">
      <c r="A40" s="256">
        <v>45055</v>
      </c>
      <c r="B40" s="250" t="s">
        <v>47</v>
      </c>
      <c r="C40" s="250" t="s">
        <v>75</v>
      </c>
      <c r="E40" s="250"/>
      <c r="F40" s="299">
        <v>120000</v>
      </c>
      <c r="G40" s="217">
        <f t="shared" si="1"/>
        <v>26645686</v>
      </c>
      <c r="H40" s="250" t="s">
        <v>25</v>
      </c>
      <c r="N40" s="250"/>
      <c r="O40" s="250"/>
      <c r="P40" s="258"/>
      <c r="Q40" s="259"/>
      <c r="R40" s="259"/>
    </row>
    <row r="41" spans="1:18" s="228" customFormat="1" ht="13.8" x14ac:dyDescent="0.25">
      <c r="A41" s="249">
        <v>45055</v>
      </c>
      <c r="B41" s="261" t="s">
        <v>324</v>
      </c>
      <c r="C41" s="250" t="s">
        <v>220</v>
      </c>
      <c r="D41" s="236" t="s">
        <v>312</v>
      </c>
      <c r="E41" s="263"/>
      <c r="F41" s="298">
        <v>3600</v>
      </c>
      <c r="G41" s="217">
        <f t="shared" si="1"/>
        <v>26642086</v>
      </c>
      <c r="H41" s="259" t="s">
        <v>25</v>
      </c>
      <c r="I41" s="228" t="s">
        <v>361</v>
      </c>
      <c r="J41" s="228" t="s">
        <v>297</v>
      </c>
      <c r="K41" s="259" t="s">
        <v>206</v>
      </c>
      <c r="L41" s="228" t="s">
        <v>502</v>
      </c>
      <c r="M41" s="257" t="s">
        <v>534</v>
      </c>
      <c r="N41" s="228" t="s">
        <v>503</v>
      </c>
      <c r="P41" s="258"/>
      <c r="Q41" s="259"/>
      <c r="R41" s="259"/>
    </row>
    <row r="42" spans="1:18" s="228" customFormat="1" ht="13.8" x14ac:dyDescent="0.25">
      <c r="A42" s="249">
        <v>45055</v>
      </c>
      <c r="B42" s="228" t="s">
        <v>277</v>
      </c>
      <c r="C42" s="250" t="s">
        <v>75</v>
      </c>
      <c r="E42" s="217"/>
      <c r="F42" s="298">
        <v>83000</v>
      </c>
      <c r="G42" s="217">
        <f t="shared" si="1"/>
        <v>26559086</v>
      </c>
      <c r="H42" s="228" t="s">
        <v>25</v>
      </c>
      <c r="N42" s="250"/>
      <c r="P42" s="258"/>
      <c r="Q42" s="259"/>
      <c r="R42" s="259"/>
    </row>
    <row r="43" spans="1:18" s="228" customFormat="1" ht="13.8" x14ac:dyDescent="0.25">
      <c r="A43" s="260">
        <v>45055</v>
      </c>
      <c r="B43" s="228" t="s">
        <v>276</v>
      </c>
      <c r="C43" s="250" t="s">
        <v>75</v>
      </c>
      <c r="E43" s="217"/>
      <c r="F43" s="298">
        <v>91500</v>
      </c>
      <c r="G43" s="217">
        <f t="shared" si="1"/>
        <v>26467586</v>
      </c>
      <c r="H43" s="228" t="s">
        <v>25</v>
      </c>
      <c r="O43" s="238"/>
      <c r="P43" s="258"/>
      <c r="Q43" s="259"/>
      <c r="R43" s="259"/>
    </row>
    <row r="44" spans="1:18" s="228" customFormat="1" ht="13.8" x14ac:dyDescent="0.25">
      <c r="A44" s="249">
        <v>45055</v>
      </c>
      <c r="B44" s="217" t="s">
        <v>29</v>
      </c>
      <c r="C44" s="250" t="s">
        <v>75</v>
      </c>
      <c r="D44" s="224"/>
      <c r="E44" s="267"/>
      <c r="F44" s="299">
        <v>80000</v>
      </c>
      <c r="G44" s="217">
        <f t="shared" si="1"/>
        <v>26387586</v>
      </c>
      <c r="H44" s="228" t="s">
        <v>25</v>
      </c>
      <c r="I44" s="224"/>
      <c r="N44" s="250"/>
      <c r="O44" s="250"/>
      <c r="P44" s="258"/>
      <c r="Q44" s="259"/>
      <c r="R44" s="259"/>
    </row>
    <row r="45" spans="1:18" s="228" customFormat="1" ht="13.8" x14ac:dyDescent="0.25">
      <c r="A45" s="249">
        <v>45055</v>
      </c>
      <c r="B45" s="250" t="s">
        <v>404</v>
      </c>
      <c r="C45" s="250" t="s">
        <v>75</v>
      </c>
      <c r="E45" s="217">
        <v>83000</v>
      </c>
      <c r="F45" s="250"/>
      <c r="G45" s="217">
        <f>G44+E45-F45</f>
        <v>26470586</v>
      </c>
      <c r="H45" s="250" t="s">
        <v>277</v>
      </c>
      <c r="I45" s="250"/>
      <c r="K45" s="250"/>
      <c r="L45" s="250"/>
      <c r="M45" s="257"/>
      <c r="N45" s="250"/>
      <c r="P45" s="265"/>
      <c r="Q45" s="259"/>
      <c r="R45" s="259"/>
    </row>
    <row r="46" spans="1:18" s="228" customFormat="1" ht="13.8" x14ac:dyDescent="0.25">
      <c r="A46" s="249">
        <v>45055</v>
      </c>
      <c r="B46" s="228" t="s">
        <v>405</v>
      </c>
      <c r="C46" s="250" t="s">
        <v>34</v>
      </c>
      <c r="D46" s="236" t="s">
        <v>4</v>
      </c>
      <c r="E46" s="217"/>
      <c r="F46" s="262">
        <v>15000</v>
      </c>
      <c r="G46" s="217">
        <f>G45+E46-F46</f>
        <v>26455586</v>
      </c>
      <c r="H46" s="228" t="s">
        <v>277</v>
      </c>
      <c r="I46" s="228" t="s">
        <v>361</v>
      </c>
      <c r="J46" s="228" t="s">
        <v>297</v>
      </c>
      <c r="K46" s="228" t="s">
        <v>206</v>
      </c>
      <c r="L46" s="228" t="s">
        <v>502</v>
      </c>
      <c r="M46" s="257" t="s">
        <v>535</v>
      </c>
      <c r="N46" s="250" t="s">
        <v>515</v>
      </c>
      <c r="P46" s="258"/>
      <c r="Q46" s="259"/>
      <c r="R46" s="259"/>
    </row>
    <row r="47" spans="1:18" s="228" customFormat="1" ht="13.8" x14ac:dyDescent="0.25">
      <c r="A47" s="249">
        <v>45055</v>
      </c>
      <c r="B47" s="228" t="s">
        <v>422</v>
      </c>
      <c r="C47" s="217" t="s">
        <v>75</v>
      </c>
      <c r="E47" s="217">
        <v>91500</v>
      </c>
      <c r="F47" s="217"/>
      <c r="G47" s="217">
        <f>G46+E47-F47</f>
        <v>26547086</v>
      </c>
      <c r="H47" s="228" t="s">
        <v>276</v>
      </c>
      <c r="O47" s="217"/>
      <c r="P47" s="258"/>
      <c r="Q47" s="259"/>
      <c r="R47" s="259"/>
    </row>
    <row r="48" spans="1:18" s="228" customFormat="1" ht="13.8" x14ac:dyDescent="0.25">
      <c r="A48" s="266">
        <v>45055</v>
      </c>
      <c r="B48" s="261" t="s">
        <v>435</v>
      </c>
      <c r="C48" s="236" t="s">
        <v>75</v>
      </c>
      <c r="D48" s="236"/>
      <c r="E48" s="263">
        <v>80000</v>
      </c>
      <c r="F48" s="262"/>
      <c r="G48" s="217">
        <f t="shared" ref="G48:G54" si="2">+G47+E48-F48</f>
        <v>26627086</v>
      </c>
      <c r="H48" s="259" t="s">
        <v>29</v>
      </c>
      <c r="P48" s="258"/>
      <c r="Q48" s="259"/>
      <c r="R48" s="259"/>
    </row>
    <row r="49" spans="1:18" s="228" customFormat="1" ht="13.8" x14ac:dyDescent="0.25">
      <c r="A49" s="249">
        <v>45055</v>
      </c>
      <c r="B49" s="228" t="s">
        <v>487</v>
      </c>
      <c r="C49" s="250" t="s">
        <v>384</v>
      </c>
      <c r="D49" s="228" t="s">
        <v>2</v>
      </c>
      <c r="E49" s="217"/>
      <c r="F49" s="262">
        <v>40000</v>
      </c>
      <c r="G49" s="217">
        <f t="shared" si="2"/>
        <v>26587086</v>
      </c>
      <c r="H49" s="228" t="s">
        <v>47</v>
      </c>
      <c r="I49" s="228" t="s">
        <v>370</v>
      </c>
      <c r="J49" s="250" t="s">
        <v>102</v>
      </c>
      <c r="K49" s="228" t="s">
        <v>206</v>
      </c>
      <c r="L49" s="228" t="s">
        <v>502</v>
      </c>
      <c r="M49" s="257" t="s">
        <v>536</v>
      </c>
      <c r="N49" s="228" t="s">
        <v>516</v>
      </c>
      <c r="P49" s="258"/>
      <c r="Q49" s="259"/>
      <c r="R49" s="259"/>
    </row>
    <row r="50" spans="1:18" s="228" customFormat="1" ht="13.8" x14ac:dyDescent="0.25">
      <c r="A50" s="249">
        <v>45055</v>
      </c>
      <c r="B50" s="228" t="s">
        <v>486</v>
      </c>
      <c r="C50" s="250" t="s">
        <v>75</v>
      </c>
      <c r="D50" s="217"/>
      <c r="E50" s="228">
        <v>120000</v>
      </c>
      <c r="F50" s="217"/>
      <c r="G50" s="217">
        <f t="shared" si="2"/>
        <v>26707086</v>
      </c>
      <c r="H50" s="217" t="s">
        <v>47</v>
      </c>
      <c r="J50" s="250"/>
      <c r="K50" s="250"/>
      <c r="L50" s="250"/>
      <c r="N50" s="250"/>
      <c r="P50" s="265"/>
      <c r="Q50" s="259"/>
      <c r="R50" s="259"/>
    </row>
    <row r="51" spans="1:18" s="228" customFormat="1" ht="13.8" x14ac:dyDescent="0.25">
      <c r="A51" s="256">
        <v>45055</v>
      </c>
      <c r="B51" s="228" t="s">
        <v>437</v>
      </c>
      <c r="C51" s="250" t="s">
        <v>34</v>
      </c>
      <c r="D51" s="236" t="s">
        <v>4</v>
      </c>
      <c r="F51" s="250">
        <v>5000</v>
      </c>
      <c r="G51" s="217">
        <f t="shared" si="2"/>
        <v>26702086</v>
      </c>
      <c r="H51" s="259" t="s">
        <v>29</v>
      </c>
      <c r="I51" s="228" t="s">
        <v>438</v>
      </c>
      <c r="J51" s="228" t="s">
        <v>297</v>
      </c>
      <c r="K51" s="228" t="s">
        <v>206</v>
      </c>
      <c r="L51" s="228" t="s">
        <v>502</v>
      </c>
      <c r="M51" s="257" t="s">
        <v>537</v>
      </c>
      <c r="N51" s="250" t="s">
        <v>515</v>
      </c>
      <c r="O51" s="250"/>
      <c r="P51" s="258"/>
      <c r="Q51" s="259"/>
      <c r="R51" s="259"/>
    </row>
    <row r="52" spans="1:18" s="228" customFormat="1" ht="13.8" x14ac:dyDescent="0.25">
      <c r="A52" s="249">
        <v>45056</v>
      </c>
      <c r="B52" s="228" t="s">
        <v>325</v>
      </c>
      <c r="C52" s="228" t="s">
        <v>246</v>
      </c>
      <c r="D52" s="228" t="s">
        <v>312</v>
      </c>
      <c r="E52" s="217"/>
      <c r="F52" s="298">
        <v>52600</v>
      </c>
      <c r="G52" s="217">
        <f t="shared" si="2"/>
        <v>26649486</v>
      </c>
      <c r="H52" s="228" t="s">
        <v>25</v>
      </c>
      <c r="I52" s="228" t="s">
        <v>361</v>
      </c>
      <c r="J52" s="228" t="s">
        <v>102</v>
      </c>
      <c r="K52" s="228" t="s">
        <v>206</v>
      </c>
      <c r="L52" s="228" t="s">
        <v>502</v>
      </c>
      <c r="M52" s="257" t="s">
        <v>538</v>
      </c>
      <c r="N52" s="228" t="s">
        <v>506</v>
      </c>
      <c r="P52" s="258"/>
      <c r="Q52" s="259"/>
      <c r="R52" s="259"/>
    </row>
    <row r="53" spans="1:18" s="228" customFormat="1" ht="13.8" x14ac:dyDescent="0.25">
      <c r="A53" s="249">
        <v>45056</v>
      </c>
      <c r="B53" s="228" t="s">
        <v>322</v>
      </c>
      <c r="C53" s="236" t="s">
        <v>237</v>
      </c>
      <c r="D53" s="217" t="s">
        <v>162</v>
      </c>
      <c r="F53" s="299">
        <v>16000</v>
      </c>
      <c r="G53" s="217">
        <f t="shared" si="2"/>
        <v>26633486</v>
      </c>
      <c r="H53" s="228" t="s">
        <v>25</v>
      </c>
      <c r="I53" s="228" t="s">
        <v>370</v>
      </c>
      <c r="J53" s="228" t="s">
        <v>297</v>
      </c>
      <c r="K53" s="250" t="s">
        <v>205</v>
      </c>
      <c r="L53" s="250" t="s">
        <v>502</v>
      </c>
      <c r="N53" s="250"/>
      <c r="P53" s="265"/>
      <c r="Q53" s="259"/>
      <c r="R53" s="259"/>
    </row>
    <row r="54" spans="1:18" s="228" customFormat="1" ht="13.8" x14ac:dyDescent="0.25">
      <c r="A54" s="266">
        <v>45056</v>
      </c>
      <c r="B54" s="261" t="s">
        <v>326</v>
      </c>
      <c r="C54" s="236" t="s">
        <v>246</v>
      </c>
      <c r="D54" s="236" t="s">
        <v>312</v>
      </c>
      <c r="E54" s="263"/>
      <c r="F54" s="298">
        <v>18000</v>
      </c>
      <c r="G54" s="217">
        <f t="shared" si="2"/>
        <v>26615486</v>
      </c>
      <c r="H54" s="259" t="s">
        <v>25</v>
      </c>
      <c r="I54" s="228" t="s">
        <v>361</v>
      </c>
      <c r="J54" s="228" t="s">
        <v>102</v>
      </c>
      <c r="K54" s="228" t="s">
        <v>206</v>
      </c>
      <c r="L54" s="228" t="s">
        <v>502</v>
      </c>
      <c r="M54" s="257" t="s">
        <v>539</v>
      </c>
      <c r="N54" s="228" t="s">
        <v>506</v>
      </c>
      <c r="P54" s="268"/>
      <c r="Q54" s="259"/>
      <c r="R54" s="259"/>
    </row>
    <row r="55" spans="1:18" s="228" customFormat="1" ht="13.8" x14ac:dyDescent="0.25">
      <c r="A55" s="249">
        <v>45056</v>
      </c>
      <c r="B55" s="228" t="s">
        <v>406</v>
      </c>
      <c r="C55" s="250" t="s">
        <v>384</v>
      </c>
      <c r="D55" s="236" t="s">
        <v>4</v>
      </c>
      <c r="E55" s="217"/>
      <c r="F55" s="262">
        <v>50000</v>
      </c>
      <c r="G55" s="217">
        <f>G54+E55-F55</f>
        <v>26565486</v>
      </c>
      <c r="H55" s="228" t="s">
        <v>277</v>
      </c>
      <c r="I55" s="228" t="s">
        <v>370</v>
      </c>
      <c r="J55" s="250" t="s">
        <v>102</v>
      </c>
      <c r="K55" s="228" t="s">
        <v>206</v>
      </c>
      <c r="L55" s="228" t="s">
        <v>502</v>
      </c>
      <c r="M55" s="257" t="s">
        <v>540</v>
      </c>
      <c r="N55" s="228" t="s">
        <v>516</v>
      </c>
      <c r="P55" s="258"/>
      <c r="Q55" s="259"/>
      <c r="R55" s="259"/>
    </row>
    <row r="56" spans="1:18" s="228" customFormat="1" ht="13.8" x14ac:dyDescent="0.25">
      <c r="A56" s="256">
        <v>45056</v>
      </c>
      <c r="B56" s="228" t="s">
        <v>423</v>
      </c>
      <c r="C56" s="217" t="s">
        <v>34</v>
      </c>
      <c r="D56" s="236" t="s">
        <v>4</v>
      </c>
      <c r="E56" s="305"/>
      <c r="F56" s="305">
        <v>15000</v>
      </c>
      <c r="G56" s="217">
        <f>G55+E56-F56</f>
        <v>26550486</v>
      </c>
      <c r="H56" s="228" t="s">
        <v>276</v>
      </c>
      <c r="I56" s="224" t="s">
        <v>361</v>
      </c>
      <c r="J56" s="228" t="s">
        <v>297</v>
      </c>
      <c r="K56" s="228" t="s">
        <v>206</v>
      </c>
      <c r="L56" s="228" t="s">
        <v>502</v>
      </c>
      <c r="M56" s="257" t="s">
        <v>541</v>
      </c>
      <c r="N56" s="250" t="s">
        <v>515</v>
      </c>
      <c r="P56" s="258"/>
      <c r="Q56" s="259"/>
      <c r="R56" s="259"/>
    </row>
    <row r="57" spans="1:18" s="228" customFormat="1" ht="13.8" x14ac:dyDescent="0.25">
      <c r="A57" s="249">
        <v>45056</v>
      </c>
      <c r="B57" s="217" t="s">
        <v>424</v>
      </c>
      <c r="C57" s="250" t="s">
        <v>384</v>
      </c>
      <c r="D57" s="236" t="s">
        <v>4</v>
      </c>
      <c r="F57" s="224">
        <v>170000</v>
      </c>
      <c r="G57" s="217">
        <f>G56+E57-F57</f>
        <v>26380486</v>
      </c>
      <c r="H57" s="228" t="s">
        <v>276</v>
      </c>
      <c r="I57" s="224" t="s">
        <v>361</v>
      </c>
      <c r="J57" s="250" t="s">
        <v>102</v>
      </c>
      <c r="K57" s="228" t="s">
        <v>206</v>
      </c>
      <c r="L57" s="228" t="s">
        <v>502</v>
      </c>
      <c r="M57" s="257" t="s">
        <v>542</v>
      </c>
      <c r="N57" s="228" t="s">
        <v>516</v>
      </c>
      <c r="P57" s="258"/>
      <c r="Q57" s="259"/>
      <c r="R57" s="259"/>
    </row>
    <row r="58" spans="1:18" s="228" customFormat="1" ht="13.8" x14ac:dyDescent="0.25">
      <c r="A58" s="249">
        <v>45056</v>
      </c>
      <c r="B58" s="228" t="s">
        <v>436</v>
      </c>
      <c r="C58" s="250" t="s">
        <v>384</v>
      </c>
      <c r="D58" s="236" t="s">
        <v>4</v>
      </c>
      <c r="E58" s="217"/>
      <c r="F58" s="217">
        <v>50000</v>
      </c>
      <c r="G58" s="217">
        <f t="shared" ref="G58:G64" si="3">+G57+E58-F58</f>
        <v>26330486</v>
      </c>
      <c r="H58" s="228" t="s">
        <v>29</v>
      </c>
      <c r="I58" s="228" t="s">
        <v>370</v>
      </c>
      <c r="J58" s="250" t="s">
        <v>102</v>
      </c>
      <c r="K58" s="228" t="s">
        <v>206</v>
      </c>
      <c r="L58" s="228" t="s">
        <v>502</v>
      </c>
      <c r="M58" s="257" t="s">
        <v>543</v>
      </c>
      <c r="N58" s="228" t="s">
        <v>516</v>
      </c>
      <c r="P58" s="258"/>
      <c r="Q58" s="259"/>
      <c r="R58" s="259"/>
    </row>
    <row r="59" spans="1:18" s="228" customFormat="1" ht="13.8" x14ac:dyDescent="0.25">
      <c r="A59" s="249">
        <v>45058</v>
      </c>
      <c r="B59" s="250" t="s">
        <v>277</v>
      </c>
      <c r="C59" s="250" t="s">
        <v>75</v>
      </c>
      <c r="E59" s="250"/>
      <c r="F59" s="299">
        <v>100000</v>
      </c>
      <c r="G59" s="217">
        <f t="shared" si="3"/>
        <v>26230486</v>
      </c>
      <c r="H59" s="250" t="s">
        <v>25</v>
      </c>
      <c r="N59" s="250"/>
      <c r="O59" s="250"/>
      <c r="P59" s="265"/>
      <c r="Q59" s="259"/>
      <c r="R59" s="259"/>
    </row>
    <row r="60" spans="1:18" s="228" customFormat="1" ht="13.8" x14ac:dyDescent="0.25">
      <c r="A60" s="266">
        <v>45058</v>
      </c>
      <c r="B60" s="228" t="s">
        <v>276</v>
      </c>
      <c r="C60" s="236" t="s">
        <v>75</v>
      </c>
      <c r="E60" s="217"/>
      <c r="F60" s="298">
        <v>100000</v>
      </c>
      <c r="G60" s="217">
        <f t="shared" si="3"/>
        <v>26130486</v>
      </c>
      <c r="H60" s="228" t="s">
        <v>25</v>
      </c>
      <c r="K60" s="250"/>
      <c r="L60" s="250"/>
      <c r="N60" s="250"/>
      <c r="P60" s="258"/>
      <c r="Q60" s="259"/>
      <c r="R60" s="259"/>
    </row>
    <row r="61" spans="1:18" s="228" customFormat="1" ht="13.8" x14ac:dyDescent="0.25">
      <c r="A61" s="249">
        <v>45058</v>
      </c>
      <c r="B61" s="228" t="s">
        <v>29</v>
      </c>
      <c r="C61" s="228" t="s">
        <v>75</v>
      </c>
      <c r="F61" s="299">
        <v>100000</v>
      </c>
      <c r="G61" s="217">
        <f t="shared" si="3"/>
        <v>26030486</v>
      </c>
      <c r="H61" s="228" t="s">
        <v>25</v>
      </c>
      <c r="M61" s="257"/>
      <c r="N61" s="217"/>
      <c r="O61" s="217"/>
      <c r="P61" s="258"/>
      <c r="Q61" s="259"/>
      <c r="R61" s="259"/>
    </row>
    <row r="62" spans="1:18" s="228" customFormat="1" ht="13.8" x14ac:dyDescent="0.25">
      <c r="A62" s="260">
        <v>45058</v>
      </c>
      <c r="B62" s="228" t="s">
        <v>327</v>
      </c>
      <c r="C62" s="250" t="s">
        <v>220</v>
      </c>
      <c r="D62" s="217" t="s">
        <v>312</v>
      </c>
      <c r="F62" s="299">
        <v>9000</v>
      </c>
      <c r="G62" s="217">
        <f t="shared" si="3"/>
        <v>26021486</v>
      </c>
      <c r="H62" s="259" t="s">
        <v>25</v>
      </c>
      <c r="I62" s="228" t="s">
        <v>361</v>
      </c>
      <c r="J62" s="228" t="s">
        <v>297</v>
      </c>
      <c r="K62" s="259" t="s">
        <v>206</v>
      </c>
      <c r="L62" s="228" t="s">
        <v>502</v>
      </c>
      <c r="M62" s="257" t="s">
        <v>544</v>
      </c>
      <c r="N62" s="228" t="s">
        <v>503</v>
      </c>
      <c r="P62" s="258"/>
      <c r="Q62" s="259"/>
      <c r="R62" s="259"/>
    </row>
    <row r="63" spans="1:18" s="228" customFormat="1" ht="13.8" x14ac:dyDescent="0.25">
      <c r="A63" s="249">
        <v>45058</v>
      </c>
      <c r="B63" s="261" t="s">
        <v>328</v>
      </c>
      <c r="C63" s="250" t="s">
        <v>75</v>
      </c>
      <c r="E63" s="194"/>
      <c r="F63" s="298">
        <v>144000</v>
      </c>
      <c r="G63" s="217">
        <f t="shared" si="3"/>
        <v>25877486</v>
      </c>
      <c r="H63" s="217" t="s">
        <v>25</v>
      </c>
      <c r="P63" s="258"/>
      <c r="Q63" s="259"/>
      <c r="R63" s="259"/>
    </row>
    <row r="64" spans="1:18" s="228" customFormat="1" ht="13.8" x14ac:dyDescent="0.25">
      <c r="A64" s="249">
        <v>45058</v>
      </c>
      <c r="B64" s="228" t="s">
        <v>329</v>
      </c>
      <c r="C64" s="250" t="s">
        <v>177</v>
      </c>
      <c r="D64" s="228" t="s">
        <v>2</v>
      </c>
      <c r="E64" s="217"/>
      <c r="F64" s="298">
        <v>237623</v>
      </c>
      <c r="G64" s="217">
        <f t="shared" si="3"/>
        <v>25639863</v>
      </c>
      <c r="H64" s="228" t="s">
        <v>25</v>
      </c>
      <c r="I64" s="228" t="s">
        <v>361</v>
      </c>
      <c r="J64" s="228" t="s">
        <v>297</v>
      </c>
      <c r="K64" s="228" t="s">
        <v>205</v>
      </c>
      <c r="L64" s="228" t="s">
        <v>502</v>
      </c>
      <c r="P64" s="258"/>
      <c r="Q64" s="259"/>
      <c r="R64" s="259"/>
    </row>
    <row r="65" spans="1:18" s="228" customFormat="1" ht="13.8" x14ac:dyDescent="0.25">
      <c r="A65" s="256">
        <v>45058</v>
      </c>
      <c r="B65" s="228" t="s">
        <v>404</v>
      </c>
      <c r="C65" s="228" t="s">
        <v>75</v>
      </c>
      <c r="E65" s="217">
        <v>100000</v>
      </c>
      <c r="F65" s="217"/>
      <c r="G65" s="217">
        <f>G64+E65-F65</f>
        <v>25739863</v>
      </c>
      <c r="H65" s="228" t="s">
        <v>277</v>
      </c>
      <c r="P65" s="258"/>
      <c r="Q65" s="259"/>
      <c r="R65" s="259"/>
    </row>
    <row r="66" spans="1:18" s="228" customFormat="1" ht="13.8" x14ac:dyDescent="0.25">
      <c r="A66" s="249">
        <v>45058</v>
      </c>
      <c r="B66" s="250" t="s">
        <v>422</v>
      </c>
      <c r="C66" s="250" t="s">
        <v>75</v>
      </c>
      <c r="E66" s="250">
        <v>100000</v>
      </c>
      <c r="F66" s="250"/>
      <c r="G66" s="217">
        <f>G65+E66-F66</f>
        <v>25839863</v>
      </c>
      <c r="H66" s="250" t="s">
        <v>276</v>
      </c>
      <c r="M66" s="257"/>
      <c r="N66" s="250"/>
      <c r="O66" s="250"/>
      <c r="P66" s="258"/>
      <c r="Q66" s="217"/>
      <c r="R66" s="259"/>
    </row>
    <row r="67" spans="1:18" s="228" customFormat="1" ht="13.8" x14ac:dyDescent="0.25">
      <c r="A67" s="260">
        <v>45058</v>
      </c>
      <c r="B67" s="228" t="s">
        <v>434</v>
      </c>
      <c r="C67" s="250" t="s">
        <v>75</v>
      </c>
      <c r="D67" s="217"/>
      <c r="E67" s="228">
        <v>100000</v>
      </c>
      <c r="G67" s="217">
        <f>+G66+E67-F67</f>
        <v>25939863</v>
      </c>
      <c r="H67" s="259" t="s">
        <v>29</v>
      </c>
      <c r="N67" s="250"/>
      <c r="O67" s="238"/>
      <c r="P67" s="258"/>
      <c r="Q67" s="217"/>
      <c r="R67" s="259"/>
    </row>
    <row r="68" spans="1:18" s="228" customFormat="1" ht="13.8" x14ac:dyDescent="0.25">
      <c r="A68" s="256">
        <v>45058</v>
      </c>
      <c r="B68" s="250" t="s">
        <v>469</v>
      </c>
      <c r="C68" s="250" t="s">
        <v>75</v>
      </c>
      <c r="E68" s="250">
        <v>144000</v>
      </c>
      <c r="F68" s="267"/>
      <c r="G68" s="217">
        <f t="shared" ref="G68:G74" si="4">G67+E68-F68</f>
        <v>26083863</v>
      </c>
      <c r="H68" s="250" t="s">
        <v>263</v>
      </c>
      <c r="O68" s="250"/>
      <c r="P68" s="258"/>
      <c r="Q68" s="259"/>
      <c r="R68" s="259"/>
    </row>
    <row r="69" spans="1:18" s="228" customFormat="1" ht="13.8" x14ac:dyDescent="0.25">
      <c r="A69" s="256">
        <v>45058</v>
      </c>
      <c r="B69" s="250" t="s">
        <v>470</v>
      </c>
      <c r="C69" s="250" t="s">
        <v>34</v>
      </c>
      <c r="D69" s="217" t="s">
        <v>161</v>
      </c>
      <c r="E69" s="250"/>
      <c r="F69" s="305">
        <v>10000</v>
      </c>
      <c r="G69" s="217">
        <f t="shared" si="4"/>
        <v>26073863</v>
      </c>
      <c r="H69" s="228" t="s">
        <v>263</v>
      </c>
      <c r="I69" s="228" t="s">
        <v>361</v>
      </c>
      <c r="J69" s="228" t="s">
        <v>297</v>
      </c>
      <c r="K69" s="228" t="s">
        <v>206</v>
      </c>
      <c r="L69" s="228" t="s">
        <v>502</v>
      </c>
      <c r="M69" s="257" t="s">
        <v>545</v>
      </c>
      <c r="N69" s="250" t="s">
        <v>515</v>
      </c>
      <c r="O69" s="250"/>
      <c r="P69" s="258"/>
      <c r="Q69" s="259"/>
      <c r="R69" s="259"/>
    </row>
    <row r="70" spans="1:18" s="228" customFormat="1" ht="13.8" x14ac:dyDescent="0.25">
      <c r="A70" s="249">
        <v>45059</v>
      </c>
      <c r="B70" s="261" t="s">
        <v>407</v>
      </c>
      <c r="C70" s="250" t="s">
        <v>384</v>
      </c>
      <c r="D70" s="236" t="s">
        <v>4</v>
      </c>
      <c r="E70" s="194"/>
      <c r="F70" s="262">
        <v>45000</v>
      </c>
      <c r="G70" s="217">
        <f t="shared" si="4"/>
        <v>26028863</v>
      </c>
      <c r="H70" s="217" t="s">
        <v>277</v>
      </c>
      <c r="I70" s="228" t="s">
        <v>361</v>
      </c>
      <c r="J70" s="250" t="s">
        <v>102</v>
      </c>
      <c r="K70" s="228" t="s">
        <v>206</v>
      </c>
      <c r="L70" s="228" t="s">
        <v>502</v>
      </c>
      <c r="M70" s="257" t="s">
        <v>546</v>
      </c>
      <c r="N70" s="228" t="s">
        <v>516</v>
      </c>
      <c r="P70" s="258"/>
      <c r="Q70" s="259"/>
      <c r="R70" s="259"/>
    </row>
    <row r="71" spans="1:18" s="228" customFormat="1" ht="17.25" customHeight="1" x14ac:dyDescent="0.25">
      <c r="A71" s="271">
        <v>45059</v>
      </c>
      <c r="B71" s="228" t="s">
        <v>408</v>
      </c>
      <c r="C71" s="272" t="s">
        <v>34</v>
      </c>
      <c r="D71" s="236" t="s">
        <v>4</v>
      </c>
      <c r="F71" s="273">
        <v>5000</v>
      </c>
      <c r="G71" s="217">
        <f t="shared" si="4"/>
        <v>26023863</v>
      </c>
      <c r="H71" s="274" t="s">
        <v>277</v>
      </c>
      <c r="I71" s="274" t="s">
        <v>361</v>
      </c>
      <c r="J71" s="228" t="s">
        <v>297</v>
      </c>
      <c r="K71" s="228" t="s">
        <v>206</v>
      </c>
      <c r="L71" s="228" t="s">
        <v>502</v>
      </c>
      <c r="M71" s="257" t="s">
        <v>547</v>
      </c>
      <c r="N71" s="250" t="s">
        <v>515</v>
      </c>
      <c r="P71" s="258"/>
    </row>
    <row r="72" spans="1:18" s="228" customFormat="1" ht="17.25" customHeight="1" x14ac:dyDescent="0.25">
      <c r="A72" s="249">
        <v>45059</v>
      </c>
      <c r="B72" s="228" t="s">
        <v>425</v>
      </c>
      <c r="C72" s="250" t="s">
        <v>384</v>
      </c>
      <c r="D72" s="236" t="s">
        <v>4</v>
      </c>
      <c r="F72" s="228">
        <v>45000</v>
      </c>
      <c r="G72" s="217">
        <f t="shared" si="4"/>
        <v>25978863</v>
      </c>
      <c r="H72" s="228" t="s">
        <v>276</v>
      </c>
      <c r="I72" s="228" t="s">
        <v>361</v>
      </c>
      <c r="J72" s="250" t="s">
        <v>102</v>
      </c>
      <c r="K72" s="228" t="s">
        <v>206</v>
      </c>
      <c r="L72" s="228" t="s">
        <v>502</v>
      </c>
      <c r="M72" s="257" t="s">
        <v>548</v>
      </c>
      <c r="N72" s="228" t="s">
        <v>516</v>
      </c>
      <c r="P72" s="258"/>
    </row>
    <row r="73" spans="1:18" s="228" customFormat="1" ht="17.25" customHeight="1" x14ac:dyDescent="0.25">
      <c r="A73" s="249">
        <v>45059</v>
      </c>
      <c r="B73" s="250" t="s">
        <v>426</v>
      </c>
      <c r="C73" s="250" t="s">
        <v>34</v>
      </c>
      <c r="D73" s="236" t="s">
        <v>4</v>
      </c>
      <c r="E73" s="250"/>
      <c r="F73" s="250">
        <v>7000</v>
      </c>
      <c r="G73" s="217">
        <f t="shared" si="4"/>
        <v>25971863</v>
      </c>
      <c r="H73" s="250" t="s">
        <v>276</v>
      </c>
      <c r="I73" s="228" t="s">
        <v>361</v>
      </c>
      <c r="J73" s="228" t="s">
        <v>297</v>
      </c>
      <c r="K73" s="228" t="s">
        <v>206</v>
      </c>
      <c r="L73" s="228" t="s">
        <v>502</v>
      </c>
      <c r="M73" s="257" t="s">
        <v>549</v>
      </c>
      <c r="N73" s="250" t="s">
        <v>515</v>
      </c>
      <c r="O73" s="250"/>
      <c r="P73" s="258"/>
    </row>
    <row r="74" spans="1:18" s="228" customFormat="1" ht="17.25" customHeight="1" x14ac:dyDescent="0.25">
      <c r="A74" s="256">
        <v>45059</v>
      </c>
      <c r="B74" s="228" t="s">
        <v>427</v>
      </c>
      <c r="C74" s="250" t="s">
        <v>34</v>
      </c>
      <c r="D74" s="236" t="s">
        <v>4</v>
      </c>
      <c r="F74" s="250">
        <v>3500</v>
      </c>
      <c r="G74" s="217">
        <f t="shared" si="4"/>
        <v>25968363</v>
      </c>
      <c r="H74" s="228" t="s">
        <v>276</v>
      </c>
      <c r="I74" s="224" t="s">
        <v>361</v>
      </c>
      <c r="J74" s="228" t="s">
        <v>297</v>
      </c>
      <c r="K74" s="228" t="s">
        <v>206</v>
      </c>
      <c r="L74" s="228" t="s">
        <v>502</v>
      </c>
      <c r="M74" s="257" t="s">
        <v>550</v>
      </c>
      <c r="N74" s="250" t="s">
        <v>515</v>
      </c>
      <c r="O74" s="250"/>
      <c r="P74" s="258"/>
    </row>
    <row r="75" spans="1:18" s="228" customFormat="1" ht="17.25" customHeight="1" x14ac:dyDescent="0.25">
      <c r="A75" s="249">
        <v>45059</v>
      </c>
      <c r="B75" s="236" t="s">
        <v>439</v>
      </c>
      <c r="C75" s="250" t="s">
        <v>384</v>
      </c>
      <c r="D75" s="236" t="s">
        <v>4</v>
      </c>
      <c r="E75" s="306"/>
      <c r="F75" s="267">
        <v>45000</v>
      </c>
      <c r="G75" s="217">
        <f>+G74+E75-F75</f>
        <v>25923363</v>
      </c>
      <c r="H75" s="228" t="s">
        <v>29</v>
      </c>
      <c r="I75" s="224" t="s">
        <v>361</v>
      </c>
      <c r="J75" s="250" t="s">
        <v>102</v>
      </c>
      <c r="K75" s="228" t="s">
        <v>206</v>
      </c>
      <c r="L75" s="228" t="s">
        <v>502</v>
      </c>
      <c r="M75" s="257" t="s">
        <v>551</v>
      </c>
      <c r="N75" s="228" t="s">
        <v>516</v>
      </c>
      <c r="P75" s="258"/>
    </row>
    <row r="76" spans="1:18" s="228" customFormat="1" ht="17.25" customHeight="1" x14ac:dyDescent="0.25">
      <c r="A76" s="249">
        <v>45059</v>
      </c>
      <c r="B76" s="228" t="s">
        <v>440</v>
      </c>
      <c r="C76" s="217" t="s">
        <v>34</v>
      </c>
      <c r="D76" s="236" t="s">
        <v>4</v>
      </c>
      <c r="E76" s="217"/>
      <c r="F76" s="217">
        <v>4000</v>
      </c>
      <c r="G76" s="217">
        <f>+G75+E76-F76</f>
        <v>25919363</v>
      </c>
      <c r="H76" s="228" t="s">
        <v>29</v>
      </c>
      <c r="I76" s="228" t="s">
        <v>438</v>
      </c>
      <c r="J76" s="228" t="s">
        <v>297</v>
      </c>
      <c r="K76" s="228" t="s">
        <v>206</v>
      </c>
      <c r="L76" s="228" t="s">
        <v>502</v>
      </c>
      <c r="M76" s="257" t="s">
        <v>552</v>
      </c>
      <c r="N76" s="250" t="s">
        <v>515</v>
      </c>
      <c r="O76" s="238"/>
      <c r="P76" s="258"/>
    </row>
    <row r="77" spans="1:18" s="228" customFormat="1" ht="17.25" customHeight="1" x14ac:dyDescent="0.25">
      <c r="A77" s="249">
        <v>45059</v>
      </c>
      <c r="B77" s="228" t="s">
        <v>471</v>
      </c>
      <c r="C77" s="250" t="s">
        <v>384</v>
      </c>
      <c r="D77" s="228" t="s">
        <v>161</v>
      </c>
      <c r="E77" s="217"/>
      <c r="F77" s="262">
        <v>40000</v>
      </c>
      <c r="G77" s="217">
        <f>G76+E77-F77</f>
        <v>25879363</v>
      </c>
      <c r="H77" s="228" t="s">
        <v>263</v>
      </c>
      <c r="I77" s="228" t="s">
        <v>361</v>
      </c>
      <c r="J77" s="250" t="s">
        <v>102</v>
      </c>
      <c r="K77" s="228" t="s">
        <v>206</v>
      </c>
      <c r="L77" s="228" t="s">
        <v>502</v>
      </c>
      <c r="M77" s="257" t="s">
        <v>553</v>
      </c>
      <c r="N77" s="228" t="s">
        <v>516</v>
      </c>
      <c r="P77" s="258"/>
    </row>
    <row r="78" spans="1:18" s="228" customFormat="1" ht="17.25" customHeight="1" x14ac:dyDescent="0.25">
      <c r="A78" s="249">
        <v>45059</v>
      </c>
      <c r="B78" s="261" t="s">
        <v>489</v>
      </c>
      <c r="C78" s="250" t="s">
        <v>384</v>
      </c>
      <c r="D78" s="228" t="s">
        <v>2</v>
      </c>
      <c r="F78" s="263">
        <v>60000</v>
      </c>
      <c r="G78" s="217">
        <f>+G77+E78-F78</f>
        <v>25819363</v>
      </c>
      <c r="H78" s="228" t="s">
        <v>47</v>
      </c>
      <c r="I78" s="228" t="s">
        <v>313</v>
      </c>
      <c r="J78" s="250" t="s">
        <v>102</v>
      </c>
      <c r="K78" s="228" t="s">
        <v>206</v>
      </c>
      <c r="L78" s="228" t="s">
        <v>502</v>
      </c>
      <c r="M78" s="257" t="s">
        <v>554</v>
      </c>
      <c r="N78" s="228" t="s">
        <v>516</v>
      </c>
      <c r="P78" s="258"/>
    </row>
    <row r="79" spans="1:18" s="228" customFormat="1" ht="17.25" customHeight="1" x14ac:dyDescent="0.25">
      <c r="A79" s="260">
        <v>45059</v>
      </c>
      <c r="B79" s="228" t="s">
        <v>490</v>
      </c>
      <c r="C79" s="250" t="s">
        <v>34</v>
      </c>
      <c r="D79" s="228" t="s">
        <v>2</v>
      </c>
      <c r="F79" s="228">
        <v>15000</v>
      </c>
      <c r="G79" s="217">
        <f>+G78+E79-F79</f>
        <v>25804363</v>
      </c>
      <c r="H79" s="259" t="s">
        <v>47</v>
      </c>
      <c r="I79" s="228" t="s">
        <v>313</v>
      </c>
      <c r="J79" s="228" t="s">
        <v>297</v>
      </c>
      <c r="K79" s="228" t="s">
        <v>206</v>
      </c>
      <c r="L79" s="228" t="s">
        <v>502</v>
      </c>
      <c r="M79" s="257" t="s">
        <v>555</v>
      </c>
      <c r="N79" s="250" t="s">
        <v>515</v>
      </c>
      <c r="P79" s="258"/>
    </row>
    <row r="80" spans="1:18" s="228" customFormat="1" ht="17.25" customHeight="1" x14ac:dyDescent="0.25">
      <c r="A80" s="256">
        <v>45061</v>
      </c>
      <c r="B80" s="228" t="s">
        <v>276</v>
      </c>
      <c r="C80" s="217" t="s">
        <v>75</v>
      </c>
      <c r="D80" s="270"/>
      <c r="E80" s="305"/>
      <c r="F80" s="299">
        <v>65000</v>
      </c>
      <c r="G80" s="217">
        <f>+G89+E80-F80</f>
        <v>25734363</v>
      </c>
      <c r="H80" s="228" t="s">
        <v>25</v>
      </c>
      <c r="I80" s="261"/>
      <c r="J80" s="250"/>
      <c r="L80" s="250"/>
      <c r="N80" s="250"/>
      <c r="P80" s="258"/>
    </row>
    <row r="81" spans="1:18" s="228" customFormat="1" ht="17.25" customHeight="1" x14ac:dyDescent="0.25">
      <c r="A81" s="256">
        <v>45061</v>
      </c>
      <c r="B81" s="250" t="s">
        <v>328</v>
      </c>
      <c r="C81" s="250" t="s">
        <v>75</v>
      </c>
      <c r="E81" s="250"/>
      <c r="F81" s="299">
        <v>126000</v>
      </c>
      <c r="G81" s="217">
        <f t="shared" ref="G81:G88" si="5">+G80+E81-F81</f>
        <v>25608363</v>
      </c>
      <c r="H81" s="250" t="s">
        <v>25</v>
      </c>
      <c r="K81" s="259"/>
      <c r="N81" s="250"/>
      <c r="O81" s="250"/>
      <c r="P81" s="258"/>
    </row>
    <row r="82" spans="1:18" s="228" customFormat="1" ht="17.25" customHeight="1" x14ac:dyDescent="0.25">
      <c r="A82" s="249">
        <v>45061</v>
      </c>
      <c r="B82" s="228" t="s">
        <v>331</v>
      </c>
      <c r="C82" s="228" t="s">
        <v>220</v>
      </c>
      <c r="D82" s="228" t="s">
        <v>312</v>
      </c>
      <c r="F82" s="299">
        <f>3780+1950</f>
        <v>5730</v>
      </c>
      <c r="G82" s="217">
        <f t="shared" si="5"/>
        <v>25602633</v>
      </c>
      <c r="H82" s="250" t="s">
        <v>25</v>
      </c>
      <c r="I82" s="228" t="s">
        <v>361</v>
      </c>
      <c r="J82" s="228" t="s">
        <v>297</v>
      </c>
      <c r="K82" s="259" t="s">
        <v>206</v>
      </c>
      <c r="L82" s="228" t="s">
        <v>502</v>
      </c>
      <c r="M82" s="257" t="s">
        <v>556</v>
      </c>
      <c r="N82" s="228" t="s">
        <v>503</v>
      </c>
      <c r="P82" s="258"/>
    </row>
    <row r="83" spans="1:18" s="228" customFormat="1" ht="17.25" customHeight="1" x14ac:dyDescent="0.25">
      <c r="A83" s="256">
        <v>45061</v>
      </c>
      <c r="B83" s="261" t="s">
        <v>332</v>
      </c>
      <c r="C83" s="250" t="s">
        <v>178</v>
      </c>
      <c r="D83" s="236" t="s">
        <v>2</v>
      </c>
      <c r="E83" s="194"/>
      <c r="F83" s="298">
        <v>25000</v>
      </c>
      <c r="G83" s="217">
        <f t="shared" si="5"/>
        <v>25577633</v>
      </c>
      <c r="H83" s="228" t="s">
        <v>25</v>
      </c>
      <c r="I83" s="228" t="s">
        <v>361</v>
      </c>
      <c r="J83" s="228" t="s">
        <v>297</v>
      </c>
      <c r="K83" s="259" t="s">
        <v>206</v>
      </c>
      <c r="L83" s="228" t="s">
        <v>502</v>
      </c>
      <c r="M83" s="257" t="s">
        <v>557</v>
      </c>
      <c r="N83" s="228" t="s">
        <v>514</v>
      </c>
      <c r="P83" s="258"/>
    </row>
    <row r="84" spans="1:18" s="228" customFormat="1" ht="17.25" customHeight="1" x14ac:dyDescent="0.25">
      <c r="A84" s="256">
        <v>45061</v>
      </c>
      <c r="B84" s="250" t="s">
        <v>333</v>
      </c>
      <c r="C84" s="250" t="s">
        <v>178</v>
      </c>
      <c r="D84" s="228" t="s">
        <v>161</v>
      </c>
      <c r="F84" s="299">
        <v>20000</v>
      </c>
      <c r="G84" s="217">
        <f t="shared" si="5"/>
        <v>25557633</v>
      </c>
      <c r="H84" s="228" t="s">
        <v>25</v>
      </c>
      <c r="I84" s="228" t="s">
        <v>361</v>
      </c>
      <c r="J84" s="228" t="s">
        <v>297</v>
      </c>
      <c r="K84" s="259" t="s">
        <v>206</v>
      </c>
      <c r="L84" s="228" t="s">
        <v>502</v>
      </c>
      <c r="M84" s="257" t="s">
        <v>558</v>
      </c>
      <c r="N84" s="228" t="s">
        <v>514</v>
      </c>
      <c r="P84" s="258"/>
    </row>
    <row r="85" spans="1:18" s="228" customFormat="1" ht="17.25" customHeight="1" x14ac:dyDescent="0.25">
      <c r="A85" s="256">
        <v>45061</v>
      </c>
      <c r="B85" s="228" t="s">
        <v>334</v>
      </c>
      <c r="C85" s="250" t="s">
        <v>178</v>
      </c>
      <c r="D85" s="236" t="s">
        <v>4</v>
      </c>
      <c r="E85" s="217"/>
      <c r="F85" s="298">
        <v>30000</v>
      </c>
      <c r="G85" s="217">
        <f t="shared" si="5"/>
        <v>25527633</v>
      </c>
      <c r="H85" s="228" t="s">
        <v>25</v>
      </c>
      <c r="I85" s="228" t="s">
        <v>361</v>
      </c>
      <c r="J85" s="228" t="s">
        <v>297</v>
      </c>
      <c r="K85" s="259" t="s">
        <v>206</v>
      </c>
      <c r="L85" s="228" t="s">
        <v>502</v>
      </c>
      <c r="M85" s="257" t="s">
        <v>559</v>
      </c>
      <c r="N85" s="228" t="s">
        <v>514</v>
      </c>
      <c r="P85" s="258"/>
    </row>
    <row r="86" spans="1:18" s="228" customFormat="1" ht="17.25" customHeight="1" x14ac:dyDescent="0.25">
      <c r="A86" s="249">
        <v>45061</v>
      </c>
      <c r="B86" s="228" t="s">
        <v>335</v>
      </c>
      <c r="C86" s="228" t="s">
        <v>178</v>
      </c>
      <c r="D86" s="228" t="s">
        <v>162</v>
      </c>
      <c r="E86" s="217"/>
      <c r="F86" s="298">
        <v>10000</v>
      </c>
      <c r="G86" s="217">
        <f t="shared" si="5"/>
        <v>25517633</v>
      </c>
      <c r="H86" s="228" t="s">
        <v>25</v>
      </c>
      <c r="I86" s="228" t="s">
        <v>361</v>
      </c>
      <c r="J86" s="228" t="s">
        <v>297</v>
      </c>
      <c r="K86" s="259" t="s">
        <v>206</v>
      </c>
      <c r="L86" s="228" t="s">
        <v>502</v>
      </c>
      <c r="M86" s="257" t="s">
        <v>560</v>
      </c>
      <c r="N86" s="228" t="s">
        <v>514</v>
      </c>
      <c r="P86" s="258"/>
    </row>
    <row r="87" spans="1:18" s="228" customFormat="1" ht="17.25" customHeight="1" x14ac:dyDescent="0.25">
      <c r="A87" s="249">
        <v>45061</v>
      </c>
      <c r="B87" s="250" t="s">
        <v>336</v>
      </c>
      <c r="C87" s="217" t="s">
        <v>178</v>
      </c>
      <c r="D87" s="228" t="s">
        <v>2</v>
      </c>
      <c r="F87" s="299">
        <v>5000</v>
      </c>
      <c r="G87" s="217">
        <f t="shared" si="5"/>
        <v>25512633</v>
      </c>
      <c r="H87" s="228" t="s">
        <v>25</v>
      </c>
      <c r="I87" s="228" t="s">
        <v>361</v>
      </c>
      <c r="J87" s="228" t="s">
        <v>297</v>
      </c>
      <c r="K87" s="259" t="s">
        <v>206</v>
      </c>
      <c r="L87" s="228" t="s">
        <v>502</v>
      </c>
      <c r="M87" s="257" t="s">
        <v>561</v>
      </c>
      <c r="N87" s="228" t="s">
        <v>514</v>
      </c>
      <c r="O87" s="238"/>
      <c r="P87" s="258"/>
    </row>
    <row r="88" spans="1:18" s="228" customFormat="1" ht="13.8" x14ac:dyDescent="0.25">
      <c r="A88" s="249">
        <v>45061</v>
      </c>
      <c r="B88" s="228" t="s">
        <v>337</v>
      </c>
      <c r="C88" s="250" t="s">
        <v>178</v>
      </c>
      <c r="D88" s="228" t="s">
        <v>161</v>
      </c>
      <c r="E88" s="217"/>
      <c r="F88" s="298">
        <v>10000</v>
      </c>
      <c r="G88" s="217">
        <f t="shared" si="5"/>
        <v>25502633</v>
      </c>
      <c r="H88" s="228" t="s">
        <v>25</v>
      </c>
      <c r="I88" s="228" t="s">
        <v>361</v>
      </c>
      <c r="J88" s="228" t="s">
        <v>297</v>
      </c>
      <c r="K88" s="259" t="s">
        <v>206</v>
      </c>
      <c r="L88" s="228" t="s">
        <v>502</v>
      </c>
      <c r="M88" s="257" t="s">
        <v>562</v>
      </c>
      <c r="N88" s="228" t="s">
        <v>514</v>
      </c>
      <c r="P88" s="258"/>
      <c r="Q88" s="259"/>
      <c r="R88" s="259"/>
    </row>
    <row r="89" spans="1:18" s="228" customFormat="1" ht="17.25" customHeight="1" x14ac:dyDescent="0.25">
      <c r="A89" s="266">
        <v>45061</v>
      </c>
      <c r="B89" s="217" t="s">
        <v>330</v>
      </c>
      <c r="C89" s="217" t="s">
        <v>178</v>
      </c>
      <c r="D89" s="236" t="s">
        <v>4</v>
      </c>
      <c r="E89" s="305"/>
      <c r="F89" s="299">
        <v>5000</v>
      </c>
      <c r="G89" s="217">
        <f>+G79+E89-F89</f>
        <v>25799363</v>
      </c>
      <c r="H89" s="228" t="s">
        <v>25</v>
      </c>
      <c r="I89" s="228" t="s">
        <v>361</v>
      </c>
      <c r="J89" s="228" t="s">
        <v>297</v>
      </c>
      <c r="K89" s="259" t="s">
        <v>206</v>
      </c>
      <c r="L89" s="228" t="s">
        <v>502</v>
      </c>
      <c r="M89" s="257" t="s">
        <v>563</v>
      </c>
      <c r="N89" s="228" t="s">
        <v>514</v>
      </c>
      <c r="P89" s="258"/>
    </row>
    <row r="90" spans="1:18" s="228" customFormat="1" ht="13.8" x14ac:dyDescent="0.25">
      <c r="A90" s="260">
        <v>45061</v>
      </c>
      <c r="B90" s="261" t="s">
        <v>409</v>
      </c>
      <c r="C90" s="250" t="s">
        <v>384</v>
      </c>
      <c r="D90" s="236" t="s">
        <v>4</v>
      </c>
      <c r="F90" s="262">
        <v>30000</v>
      </c>
      <c r="G90" s="217">
        <f>G88+E90-F90</f>
        <v>25472633</v>
      </c>
      <c r="H90" s="228" t="s">
        <v>277</v>
      </c>
      <c r="I90" s="228" t="s">
        <v>361</v>
      </c>
      <c r="J90" s="250" t="s">
        <v>102</v>
      </c>
      <c r="K90" s="228" t="s">
        <v>206</v>
      </c>
      <c r="L90" s="228" t="s">
        <v>502</v>
      </c>
      <c r="M90" s="257" t="s">
        <v>564</v>
      </c>
      <c r="N90" s="228" t="s">
        <v>516</v>
      </c>
      <c r="P90" s="258"/>
      <c r="Q90" s="259"/>
      <c r="R90" s="259"/>
    </row>
    <row r="91" spans="1:18" s="228" customFormat="1" ht="13.8" x14ac:dyDescent="0.25">
      <c r="A91" s="249">
        <v>45061</v>
      </c>
      <c r="B91" s="250" t="s">
        <v>410</v>
      </c>
      <c r="C91" s="250" t="s">
        <v>34</v>
      </c>
      <c r="D91" s="236" t="s">
        <v>4</v>
      </c>
      <c r="E91" s="250"/>
      <c r="F91" s="250">
        <v>10000</v>
      </c>
      <c r="G91" s="217">
        <f>G90+E91-F91</f>
        <v>25462633</v>
      </c>
      <c r="H91" s="250" t="s">
        <v>277</v>
      </c>
      <c r="I91" s="228" t="s">
        <v>361</v>
      </c>
      <c r="J91" s="228" t="s">
        <v>297</v>
      </c>
      <c r="K91" s="228" t="s">
        <v>206</v>
      </c>
      <c r="L91" s="228" t="s">
        <v>502</v>
      </c>
      <c r="M91" s="257" t="s">
        <v>565</v>
      </c>
      <c r="N91" s="250" t="s">
        <v>515</v>
      </c>
      <c r="O91" s="250"/>
      <c r="P91" s="269"/>
      <c r="Q91" s="259"/>
      <c r="R91" s="259"/>
    </row>
    <row r="92" spans="1:18" s="228" customFormat="1" ht="13.8" x14ac:dyDescent="0.25">
      <c r="A92" s="249">
        <v>45061</v>
      </c>
      <c r="B92" s="250" t="s">
        <v>428</v>
      </c>
      <c r="C92" s="250" t="s">
        <v>384</v>
      </c>
      <c r="D92" s="236" t="s">
        <v>4</v>
      </c>
      <c r="E92" s="217"/>
      <c r="F92" s="217">
        <v>20000</v>
      </c>
      <c r="G92" s="217">
        <f>G91+E92-F92</f>
        <v>25442633</v>
      </c>
      <c r="H92" s="228" t="s">
        <v>276</v>
      </c>
      <c r="I92" s="228" t="s">
        <v>361</v>
      </c>
      <c r="J92" s="250" t="s">
        <v>102</v>
      </c>
      <c r="K92" s="228" t="s">
        <v>206</v>
      </c>
      <c r="L92" s="228" t="s">
        <v>502</v>
      </c>
      <c r="M92" s="257" t="s">
        <v>566</v>
      </c>
      <c r="N92" s="228" t="s">
        <v>516</v>
      </c>
      <c r="P92" s="269"/>
      <c r="Q92" s="259"/>
      <c r="R92" s="259"/>
    </row>
    <row r="93" spans="1:18" s="228" customFormat="1" ht="13.8" x14ac:dyDescent="0.25">
      <c r="A93" s="271">
        <v>45061</v>
      </c>
      <c r="B93" s="228" t="s">
        <v>429</v>
      </c>
      <c r="C93" s="272" t="s">
        <v>34</v>
      </c>
      <c r="D93" s="236" t="s">
        <v>4</v>
      </c>
      <c r="F93" s="273">
        <v>5000</v>
      </c>
      <c r="G93" s="217">
        <f>G92+E93-F93</f>
        <v>25437633</v>
      </c>
      <c r="H93" s="274" t="s">
        <v>276</v>
      </c>
      <c r="I93" s="274" t="s">
        <v>361</v>
      </c>
      <c r="J93" s="228" t="s">
        <v>297</v>
      </c>
      <c r="K93" s="228" t="s">
        <v>206</v>
      </c>
      <c r="L93" s="228" t="s">
        <v>502</v>
      </c>
      <c r="M93" s="257" t="s">
        <v>567</v>
      </c>
      <c r="N93" s="250" t="s">
        <v>515</v>
      </c>
      <c r="P93" s="269"/>
      <c r="Q93" s="259"/>
      <c r="R93" s="259"/>
    </row>
    <row r="94" spans="1:18" s="228" customFormat="1" ht="13.8" x14ac:dyDescent="0.25">
      <c r="A94" s="249">
        <v>45061</v>
      </c>
      <c r="B94" s="250" t="s">
        <v>422</v>
      </c>
      <c r="C94" s="250" t="s">
        <v>75</v>
      </c>
      <c r="E94" s="250">
        <v>65000</v>
      </c>
      <c r="F94" s="267"/>
      <c r="G94" s="217">
        <f>G93+E94-F94</f>
        <v>25502633</v>
      </c>
      <c r="H94" s="250" t="s">
        <v>276</v>
      </c>
      <c r="M94" s="257"/>
      <c r="N94" s="250"/>
      <c r="O94" s="250"/>
      <c r="P94" s="269"/>
      <c r="Q94" s="259"/>
      <c r="R94" s="259"/>
    </row>
    <row r="95" spans="1:18" s="228" customFormat="1" ht="13.8" x14ac:dyDescent="0.25">
      <c r="A95" s="249">
        <v>45061</v>
      </c>
      <c r="B95" s="228" t="s">
        <v>441</v>
      </c>
      <c r="C95" s="228" t="s">
        <v>34</v>
      </c>
      <c r="D95" s="236" t="s">
        <v>4</v>
      </c>
      <c r="E95" s="217"/>
      <c r="F95" s="217">
        <v>8000</v>
      </c>
      <c r="G95" s="217">
        <f>+G94+E95-F95</f>
        <v>25494633</v>
      </c>
      <c r="H95" s="228" t="s">
        <v>29</v>
      </c>
      <c r="I95" s="228" t="s">
        <v>438</v>
      </c>
      <c r="J95" s="228" t="s">
        <v>297</v>
      </c>
      <c r="K95" s="228" t="s">
        <v>206</v>
      </c>
      <c r="L95" s="228" t="s">
        <v>502</v>
      </c>
      <c r="M95" s="257" t="s">
        <v>568</v>
      </c>
      <c r="N95" s="250" t="s">
        <v>515</v>
      </c>
      <c r="P95" s="269"/>
      <c r="Q95" s="259"/>
      <c r="R95" s="259"/>
    </row>
    <row r="96" spans="1:18" s="228" customFormat="1" ht="13.8" x14ac:dyDescent="0.25">
      <c r="A96" s="249">
        <v>45061</v>
      </c>
      <c r="B96" s="228" t="s">
        <v>442</v>
      </c>
      <c r="C96" s="250" t="s">
        <v>384</v>
      </c>
      <c r="D96" s="236" t="s">
        <v>4</v>
      </c>
      <c r="E96" s="217"/>
      <c r="F96" s="217">
        <v>30000</v>
      </c>
      <c r="G96" s="217">
        <f>+G95+E96-F96</f>
        <v>25464633</v>
      </c>
      <c r="H96" s="228" t="s">
        <v>29</v>
      </c>
      <c r="I96" s="228" t="s">
        <v>438</v>
      </c>
      <c r="J96" s="250" t="s">
        <v>297</v>
      </c>
      <c r="K96" s="228" t="s">
        <v>206</v>
      </c>
      <c r="L96" s="228" t="s">
        <v>502</v>
      </c>
      <c r="M96" s="257" t="s">
        <v>569</v>
      </c>
      <c r="N96" s="228" t="s">
        <v>516</v>
      </c>
      <c r="P96" s="265"/>
      <c r="Q96" s="259"/>
      <c r="R96" s="259"/>
    </row>
    <row r="97" spans="1:18" s="228" customFormat="1" ht="13.8" x14ac:dyDescent="0.25">
      <c r="A97" s="249">
        <v>45061</v>
      </c>
      <c r="B97" s="274" t="s">
        <v>469</v>
      </c>
      <c r="C97" s="250" t="s">
        <v>75</v>
      </c>
      <c r="D97" s="274"/>
      <c r="E97" s="304">
        <v>126000</v>
      </c>
      <c r="F97" s="273"/>
      <c r="G97" s="217">
        <f>G96+E97-F97</f>
        <v>25590633</v>
      </c>
      <c r="H97" s="307" t="s">
        <v>263</v>
      </c>
      <c r="J97" s="250"/>
      <c r="P97" s="265"/>
      <c r="Q97" s="259"/>
      <c r="R97" s="259"/>
    </row>
    <row r="98" spans="1:18" s="228" customFormat="1" ht="13.8" x14ac:dyDescent="0.25">
      <c r="A98" s="249">
        <v>45062</v>
      </c>
      <c r="B98" s="228" t="s">
        <v>472</v>
      </c>
      <c r="C98" s="250" t="s">
        <v>454</v>
      </c>
      <c r="D98" s="228" t="s">
        <v>161</v>
      </c>
      <c r="E98" s="267"/>
      <c r="F98" s="267">
        <v>4500</v>
      </c>
      <c r="G98" s="217">
        <f>G97+E98-F98</f>
        <v>25586133</v>
      </c>
      <c r="H98" s="228" t="s">
        <v>263</v>
      </c>
      <c r="I98" s="224" t="s">
        <v>361</v>
      </c>
      <c r="J98" s="250" t="s">
        <v>297</v>
      </c>
      <c r="K98" s="228" t="s">
        <v>205</v>
      </c>
      <c r="L98" s="250" t="s">
        <v>502</v>
      </c>
      <c r="N98" s="250"/>
      <c r="O98" s="250"/>
      <c r="P98" s="258"/>
    </row>
    <row r="99" spans="1:18" s="228" customFormat="1" ht="13.8" x14ac:dyDescent="0.25">
      <c r="A99" s="266">
        <v>45062</v>
      </c>
      <c r="B99" s="228" t="s">
        <v>473</v>
      </c>
      <c r="C99" s="250" t="s">
        <v>454</v>
      </c>
      <c r="D99" s="228" t="s">
        <v>161</v>
      </c>
      <c r="E99" s="267"/>
      <c r="F99" s="305">
        <v>12450</v>
      </c>
      <c r="G99" s="217">
        <f>G98+E99-F99</f>
        <v>25573683</v>
      </c>
      <c r="H99" s="228" t="s">
        <v>263</v>
      </c>
      <c r="I99" s="224" t="s">
        <v>361</v>
      </c>
      <c r="J99" s="250" t="s">
        <v>297</v>
      </c>
      <c r="K99" s="228" t="s">
        <v>205</v>
      </c>
      <c r="L99" s="250" t="s">
        <v>502</v>
      </c>
      <c r="N99" s="250"/>
      <c r="P99" s="258"/>
    </row>
    <row r="100" spans="1:18" s="228" customFormat="1" ht="13.8" x14ac:dyDescent="0.25">
      <c r="A100" s="256">
        <v>45063</v>
      </c>
      <c r="B100" s="250" t="s">
        <v>276</v>
      </c>
      <c r="C100" s="250" t="s">
        <v>75</v>
      </c>
      <c r="E100" s="250"/>
      <c r="F100" s="299">
        <v>90000</v>
      </c>
      <c r="G100" s="217">
        <f>+G99+E100-F100</f>
        <v>25483683</v>
      </c>
      <c r="H100" s="250" t="s">
        <v>25</v>
      </c>
      <c r="J100" s="250"/>
      <c r="K100" s="250"/>
      <c r="L100" s="250"/>
      <c r="N100" s="250"/>
      <c r="O100" s="250"/>
      <c r="P100" s="258"/>
    </row>
    <row r="101" spans="1:18" s="228" customFormat="1" ht="13.8" x14ac:dyDescent="0.25">
      <c r="A101" s="249">
        <v>45063</v>
      </c>
      <c r="B101" s="250" t="s">
        <v>338</v>
      </c>
      <c r="C101" s="250" t="s">
        <v>220</v>
      </c>
      <c r="D101" s="228" t="s">
        <v>312</v>
      </c>
      <c r="E101" s="250"/>
      <c r="F101" s="299">
        <v>3150</v>
      </c>
      <c r="G101" s="217">
        <f>+G100+E101-F101</f>
        <v>25480533</v>
      </c>
      <c r="H101" s="250" t="s">
        <v>25</v>
      </c>
      <c r="I101" s="228" t="s">
        <v>361</v>
      </c>
      <c r="J101" s="228" t="s">
        <v>297</v>
      </c>
      <c r="K101" s="259" t="s">
        <v>206</v>
      </c>
      <c r="L101" s="228" t="s">
        <v>502</v>
      </c>
      <c r="M101" s="257" t="s">
        <v>570</v>
      </c>
      <c r="N101" s="228" t="s">
        <v>503</v>
      </c>
      <c r="O101" s="250"/>
      <c r="P101" s="258"/>
    </row>
    <row r="102" spans="1:18" s="228" customFormat="1" ht="13.8" x14ac:dyDescent="0.25">
      <c r="A102" s="256">
        <v>45063</v>
      </c>
      <c r="B102" s="228" t="s">
        <v>339</v>
      </c>
      <c r="C102" s="228" t="s">
        <v>181</v>
      </c>
      <c r="D102" s="228" t="s">
        <v>312</v>
      </c>
      <c r="F102" s="299">
        <v>61066</v>
      </c>
      <c r="G102" s="217">
        <f>+G101+E102-F102</f>
        <v>25419467</v>
      </c>
      <c r="H102" s="250" t="s">
        <v>25</v>
      </c>
      <c r="I102" s="228" t="s">
        <v>361</v>
      </c>
      <c r="J102" s="228" t="s">
        <v>102</v>
      </c>
      <c r="K102" s="228" t="s">
        <v>206</v>
      </c>
      <c r="L102" s="228" t="s">
        <v>502</v>
      </c>
      <c r="M102" s="257" t="s">
        <v>571</v>
      </c>
      <c r="N102" s="228" t="s">
        <v>512</v>
      </c>
      <c r="P102" s="258"/>
    </row>
    <row r="103" spans="1:18" s="228" customFormat="1" ht="13.8" x14ac:dyDescent="0.25">
      <c r="A103" s="249">
        <v>45063</v>
      </c>
      <c r="B103" s="250" t="s">
        <v>340</v>
      </c>
      <c r="C103" s="228" t="s">
        <v>181</v>
      </c>
      <c r="D103" s="228" t="s">
        <v>312</v>
      </c>
      <c r="E103" s="250"/>
      <c r="F103" s="300">
        <v>12590</v>
      </c>
      <c r="G103" s="217">
        <f>+G102+E103-F103</f>
        <v>25406877</v>
      </c>
      <c r="H103" s="250" t="s">
        <v>25</v>
      </c>
      <c r="I103" s="228" t="s">
        <v>361</v>
      </c>
      <c r="J103" s="228" t="s">
        <v>297</v>
      </c>
      <c r="K103" s="228" t="s">
        <v>205</v>
      </c>
      <c r="L103" s="228" t="s">
        <v>502</v>
      </c>
      <c r="O103" s="250"/>
      <c r="P103" s="265"/>
      <c r="Q103" s="259"/>
      <c r="R103" s="259"/>
    </row>
    <row r="104" spans="1:18" s="228" customFormat="1" ht="13.8" x14ac:dyDescent="0.25">
      <c r="A104" s="249">
        <v>45063</v>
      </c>
      <c r="B104" s="228" t="s">
        <v>277</v>
      </c>
      <c r="C104" s="228" t="s">
        <v>75</v>
      </c>
      <c r="E104" s="217"/>
      <c r="F104" s="298">
        <v>181500</v>
      </c>
      <c r="G104" s="217">
        <f>+G103+E104-F104</f>
        <v>25225377</v>
      </c>
      <c r="H104" s="228" t="s">
        <v>25</v>
      </c>
      <c r="P104" s="265"/>
      <c r="Q104" s="259"/>
      <c r="R104" s="259"/>
    </row>
    <row r="105" spans="1:18" s="228" customFormat="1" ht="13.8" x14ac:dyDescent="0.25">
      <c r="A105" s="249">
        <v>45063</v>
      </c>
      <c r="B105" s="228" t="s">
        <v>404</v>
      </c>
      <c r="C105" s="228" t="s">
        <v>75</v>
      </c>
      <c r="D105" s="217"/>
      <c r="E105" s="217">
        <v>181500</v>
      </c>
      <c r="F105" s="262"/>
      <c r="G105" s="217">
        <f>G104+E105-F105</f>
        <v>25406877</v>
      </c>
      <c r="H105" s="228" t="s">
        <v>277</v>
      </c>
      <c r="P105" s="265"/>
      <c r="Q105" s="259"/>
      <c r="R105" s="259"/>
    </row>
    <row r="106" spans="1:18" s="228" customFormat="1" ht="13.8" x14ac:dyDescent="0.25">
      <c r="A106" s="249">
        <v>45063</v>
      </c>
      <c r="B106" s="228" t="s">
        <v>422</v>
      </c>
      <c r="C106" s="250" t="s">
        <v>75</v>
      </c>
      <c r="E106" s="217">
        <v>90000</v>
      </c>
      <c r="F106" s="217"/>
      <c r="G106" s="217">
        <f>G105+E106-F106</f>
        <v>25496877</v>
      </c>
      <c r="H106" s="228" t="s">
        <v>276</v>
      </c>
      <c r="K106" s="259"/>
      <c r="N106" s="250"/>
      <c r="P106" s="258"/>
      <c r="Q106" s="259"/>
      <c r="R106" s="259"/>
    </row>
    <row r="107" spans="1:18" s="228" customFormat="1" ht="13.8" x14ac:dyDescent="0.25">
      <c r="A107" s="266">
        <v>45063</v>
      </c>
      <c r="B107" s="236" t="s">
        <v>474</v>
      </c>
      <c r="C107" s="250" t="s">
        <v>384</v>
      </c>
      <c r="D107" s="308" t="s">
        <v>161</v>
      </c>
      <c r="E107" s="306"/>
      <c r="F107" s="267">
        <v>60000</v>
      </c>
      <c r="G107" s="217">
        <f>G106+E107-F107</f>
        <v>25436877</v>
      </c>
      <c r="H107" s="228" t="s">
        <v>263</v>
      </c>
      <c r="I107" s="224" t="s">
        <v>361</v>
      </c>
      <c r="J107" s="250" t="s">
        <v>297</v>
      </c>
      <c r="K107" s="228" t="s">
        <v>206</v>
      </c>
      <c r="L107" s="228" t="s">
        <v>502</v>
      </c>
      <c r="M107" s="257" t="s">
        <v>572</v>
      </c>
      <c r="N107" s="228" t="s">
        <v>516</v>
      </c>
      <c r="P107" s="265"/>
      <c r="Q107" s="259"/>
      <c r="R107" s="259"/>
    </row>
    <row r="108" spans="1:18" s="228" customFormat="1" ht="13.8" x14ac:dyDescent="0.25">
      <c r="A108" s="266">
        <v>45063</v>
      </c>
      <c r="B108" s="236" t="s">
        <v>475</v>
      </c>
      <c r="C108" s="263" t="s">
        <v>34</v>
      </c>
      <c r="D108" s="228" t="s">
        <v>161</v>
      </c>
      <c r="E108" s="306"/>
      <c r="F108" s="267">
        <v>10000</v>
      </c>
      <c r="G108" s="217">
        <f>G107+E108-F108</f>
        <v>25426877</v>
      </c>
      <c r="H108" s="228" t="s">
        <v>263</v>
      </c>
      <c r="I108" s="224" t="s">
        <v>361</v>
      </c>
      <c r="J108" s="228" t="s">
        <v>297</v>
      </c>
      <c r="K108" s="228" t="s">
        <v>206</v>
      </c>
      <c r="L108" s="228" t="s">
        <v>502</v>
      </c>
      <c r="M108" s="257" t="s">
        <v>573</v>
      </c>
      <c r="N108" s="250" t="s">
        <v>515</v>
      </c>
      <c r="P108" s="258"/>
    </row>
    <row r="109" spans="1:18" s="228" customFormat="1" ht="13.8" x14ac:dyDescent="0.25">
      <c r="A109" s="256">
        <v>45065</v>
      </c>
      <c r="B109" s="250" t="s">
        <v>29</v>
      </c>
      <c r="C109" s="250" t="s">
        <v>75</v>
      </c>
      <c r="E109" s="250"/>
      <c r="F109" s="300">
        <v>133000</v>
      </c>
      <c r="G109" s="217">
        <f t="shared" ref="G109:G116" si="6">+G108+E109-F109</f>
        <v>25293877</v>
      </c>
      <c r="H109" s="250" t="s">
        <v>25</v>
      </c>
      <c r="M109" s="257"/>
      <c r="O109" s="250"/>
      <c r="P109" s="258"/>
    </row>
    <row r="110" spans="1:18" s="228" customFormat="1" ht="13.8" x14ac:dyDescent="0.25">
      <c r="A110" s="249">
        <v>45065</v>
      </c>
      <c r="B110" s="228" t="s">
        <v>328</v>
      </c>
      <c r="C110" s="250" t="s">
        <v>75</v>
      </c>
      <c r="E110" s="228">
        <v>70000</v>
      </c>
      <c r="F110" s="301"/>
      <c r="G110" s="217">
        <f t="shared" si="6"/>
        <v>25363877</v>
      </c>
      <c r="H110" s="228" t="s">
        <v>25</v>
      </c>
      <c r="P110" s="258"/>
    </row>
    <row r="111" spans="1:18" s="228" customFormat="1" ht="17.25" customHeight="1" x14ac:dyDescent="0.25">
      <c r="A111" s="249">
        <v>45065</v>
      </c>
      <c r="B111" s="250" t="s">
        <v>341</v>
      </c>
      <c r="C111" s="236" t="s">
        <v>237</v>
      </c>
      <c r="D111" s="228" t="s">
        <v>162</v>
      </c>
      <c r="F111" s="299">
        <v>20000</v>
      </c>
      <c r="G111" s="217">
        <f t="shared" si="6"/>
        <v>25343877</v>
      </c>
      <c r="H111" s="228" t="s">
        <v>25</v>
      </c>
      <c r="I111" s="228" t="s">
        <v>370</v>
      </c>
      <c r="J111" s="228" t="s">
        <v>297</v>
      </c>
      <c r="K111" s="250" t="s">
        <v>205</v>
      </c>
      <c r="L111" s="250" t="s">
        <v>502</v>
      </c>
      <c r="N111" s="250"/>
      <c r="P111" s="258"/>
    </row>
    <row r="112" spans="1:18" s="228" customFormat="1" ht="17.25" customHeight="1" x14ac:dyDescent="0.25">
      <c r="A112" s="266">
        <v>45065</v>
      </c>
      <c r="B112" s="261" t="s">
        <v>342</v>
      </c>
      <c r="C112" s="236" t="s">
        <v>237</v>
      </c>
      <c r="D112" s="236" t="s">
        <v>2</v>
      </c>
      <c r="F112" s="298">
        <v>20000</v>
      </c>
      <c r="G112" s="217">
        <f t="shared" si="6"/>
        <v>25323877</v>
      </c>
      <c r="H112" s="259" t="s">
        <v>25</v>
      </c>
      <c r="I112" s="228" t="s">
        <v>370</v>
      </c>
      <c r="J112" s="228" t="s">
        <v>297</v>
      </c>
      <c r="K112" s="250" t="s">
        <v>205</v>
      </c>
      <c r="L112" s="250" t="s">
        <v>502</v>
      </c>
      <c r="N112" s="250"/>
      <c r="P112" s="258"/>
    </row>
    <row r="113" spans="1:16" s="228" customFormat="1" ht="17.25" customHeight="1" x14ac:dyDescent="0.25">
      <c r="A113" s="249">
        <v>45065</v>
      </c>
      <c r="B113" s="228" t="s">
        <v>343</v>
      </c>
      <c r="C113" s="236" t="s">
        <v>237</v>
      </c>
      <c r="D113" s="228" t="s">
        <v>161</v>
      </c>
      <c r="E113" s="217"/>
      <c r="F113" s="298">
        <v>20000</v>
      </c>
      <c r="G113" s="217">
        <f t="shared" si="6"/>
        <v>25303877</v>
      </c>
      <c r="H113" s="228" t="s">
        <v>25</v>
      </c>
      <c r="I113" s="228" t="s">
        <v>370</v>
      </c>
      <c r="J113" s="228" t="s">
        <v>297</v>
      </c>
      <c r="K113" s="250" t="s">
        <v>205</v>
      </c>
      <c r="L113" s="250" t="s">
        <v>502</v>
      </c>
      <c r="P113" s="258"/>
    </row>
    <row r="114" spans="1:16" s="228" customFormat="1" ht="17.25" customHeight="1" x14ac:dyDescent="0.25">
      <c r="A114" s="256">
        <v>45065</v>
      </c>
      <c r="B114" s="228" t="s">
        <v>344</v>
      </c>
      <c r="C114" s="236" t="s">
        <v>237</v>
      </c>
      <c r="D114" s="228" t="s">
        <v>161</v>
      </c>
      <c r="F114" s="299">
        <v>20000</v>
      </c>
      <c r="G114" s="217">
        <f t="shared" si="6"/>
        <v>25283877</v>
      </c>
      <c r="H114" s="250" t="s">
        <v>25</v>
      </c>
      <c r="I114" s="228" t="s">
        <v>370</v>
      </c>
      <c r="J114" s="228" t="s">
        <v>297</v>
      </c>
      <c r="K114" s="250" t="s">
        <v>205</v>
      </c>
      <c r="L114" s="250" t="s">
        <v>502</v>
      </c>
      <c r="N114" s="250"/>
      <c r="P114" s="258"/>
    </row>
    <row r="115" spans="1:16" s="228" customFormat="1" ht="17.25" customHeight="1" x14ac:dyDescent="0.25">
      <c r="A115" s="249">
        <v>45065</v>
      </c>
      <c r="B115" s="261" t="s">
        <v>345</v>
      </c>
      <c r="C115" s="236" t="s">
        <v>237</v>
      </c>
      <c r="D115" s="228" t="s">
        <v>161</v>
      </c>
      <c r="E115" s="194"/>
      <c r="F115" s="298">
        <v>50000</v>
      </c>
      <c r="G115" s="217">
        <f t="shared" si="6"/>
        <v>25233877</v>
      </c>
      <c r="H115" s="217" t="s">
        <v>25</v>
      </c>
      <c r="I115" s="228" t="s">
        <v>370</v>
      </c>
      <c r="J115" s="228" t="s">
        <v>297</v>
      </c>
      <c r="K115" s="250" t="s">
        <v>205</v>
      </c>
      <c r="L115" s="250" t="s">
        <v>502</v>
      </c>
      <c r="N115" s="250"/>
      <c r="P115" s="258"/>
    </row>
    <row r="116" spans="1:16" s="228" customFormat="1" ht="17.25" customHeight="1" x14ac:dyDescent="0.25">
      <c r="A116" s="249">
        <v>45065</v>
      </c>
      <c r="B116" s="250" t="s">
        <v>276</v>
      </c>
      <c r="C116" s="250" t="s">
        <v>75</v>
      </c>
      <c r="E116" s="250"/>
      <c r="F116" s="300">
        <v>70000</v>
      </c>
      <c r="G116" s="217">
        <f t="shared" si="6"/>
        <v>25163877</v>
      </c>
      <c r="H116" s="250" t="s">
        <v>25</v>
      </c>
      <c r="K116" s="259"/>
      <c r="N116" s="250"/>
      <c r="O116" s="250"/>
      <c r="P116" s="258"/>
    </row>
    <row r="117" spans="1:16" s="228" customFormat="1" ht="17.25" customHeight="1" x14ac:dyDescent="0.25">
      <c r="A117" s="256">
        <v>45065</v>
      </c>
      <c r="B117" s="250" t="s">
        <v>411</v>
      </c>
      <c r="C117" s="250" t="s">
        <v>34</v>
      </c>
      <c r="D117" s="236" t="s">
        <v>4</v>
      </c>
      <c r="F117" s="228">
        <v>7000</v>
      </c>
      <c r="G117" s="217">
        <f>G116+E117-F117</f>
        <v>25156877</v>
      </c>
      <c r="H117" s="228" t="s">
        <v>277</v>
      </c>
      <c r="I117" s="228" t="s">
        <v>361</v>
      </c>
      <c r="J117" s="228" t="s">
        <v>297</v>
      </c>
      <c r="K117" s="228" t="s">
        <v>206</v>
      </c>
      <c r="L117" s="228" t="s">
        <v>502</v>
      </c>
      <c r="M117" s="257" t="s">
        <v>574</v>
      </c>
      <c r="N117" s="250" t="s">
        <v>515</v>
      </c>
      <c r="P117" s="258"/>
    </row>
    <row r="118" spans="1:16" s="228" customFormat="1" ht="17.25" customHeight="1" x14ac:dyDescent="0.25">
      <c r="A118" s="249">
        <v>45065</v>
      </c>
      <c r="B118" s="228" t="s">
        <v>412</v>
      </c>
      <c r="C118" s="250" t="s">
        <v>384</v>
      </c>
      <c r="D118" s="236" t="s">
        <v>4</v>
      </c>
      <c r="F118" s="228">
        <v>50000</v>
      </c>
      <c r="G118" s="217">
        <f>G117+E118-F118</f>
        <v>25106877</v>
      </c>
      <c r="H118" s="228" t="s">
        <v>277</v>
      </c>
      <c r="I118" s="228" t="s">
        <v>370</v>
      </c>
      <c r="J118" s="250" t="s">
        <v>297</v>
      </c>
      <c r="K118" s="228" t="s">
        <v>206</v>
      </c>
      <c r="L118" s="228" t="s">
        <v>502</v>
      </c>
      <c r="M118" s="257" t="s">
        <v>575</v>
      </c>
      <c r="N118" s="228" t="s">
        <v>516</v>
      </c>
      <c r="P118" s="258"/>
    </row>
    <row r="119" spans="1:16" s="228" customFormat="1" ht="17.25" customHeight="1" x14ac:dyDescent="0.25">
      <c r="A119" s="249">
        <v>45065</v>
      </c>
      <c r="B119" s="228" t="s">
        <v>434</v>
      </c>
      <c r="C119" s="250" t="s">
        <v>75</v>
      </c>
      <c r="D119" s="217"/>
      <c r="E119" s="228">
        <v>133000</v>
      </c>
      <c r="F119" s="305"/>
      <c r="G119" s="217">
        <f>+G118+E119-F119</f>
        <v>25239877</v>
      </c>
      <c r="H119" s="259" t="s">
        <v>29</v>
      </c>
      <c r="P119" s="258"/>
    </row>
    <row r="120" spans="1:16" s="228" customFormat="1" ht="17.25" customHeight="1" x14ac:dyDescent="0.25">
      <c r="A120" s="249">
        <v>45065</v>
      </c>
      <c r="B120" s="274" t="s">
        <v>443</v>
      </c>
      <c r="C120" s="250" t="s">
        <v>34</v>
      </c>
      <c r="D120" s="236" t="s">
        <v>4</v>
      </c>
      <c r="E120" s="307"/>
      <c r="F120" s="274">
        <v>10000</v>
      </c>
      <c r="G120" s="217">
        <f>+G119+E120-F120</f>
        <v>25229877</v>
      </c>
      <c r="H120" s="228" t="s">
        <v>29</v>
      </c>
      <c r="I120" s="274" t="s">
        <v>438</v>
      </c>
      <c r="J120" s="228" t="s">
        <v>297</v>
      </c>
      <c r="K120" s="228" t="s">
        <v>206</v>
      </c>
      <c r="L120" s="228" t="s">
        <v>502</v>
      </c>
      <c r="M120" s="257" t="s">
        <v>576</v>
      </c>
      <c r="N120" s="250" t="s">
        <v>515</v>
      </c>
      <c r="P120" s="258"/>
    </row>
    <row r="121" spans="1:16" s="228" customFormat="1" ht="17.25" customHeight="1" x14ac:dyDescent="0.25">
      <c r="A121" s="266">
        <v>45065</v>
      </c>
      <c r="B121" s="236" t="s">
        <v>476</v>
      </c>
      <c r="C121" s="228" t="s">
        <v>75</v>
      </c>
      <c r="D121" s="270"/>
      <c r="E121" s="306"/>
      <c r="F121" s="267">
        <v>70000</v>
      </c>
      <c r="G121" s="217">
        <f>G120+E121-F121</f>
        <v>25159877</v>
      </c>
      <c r="H121" s="228" t="s">
        <v>263</v>
      </c>
      <c r="I121" s="224"/>
      <c r="J121" s="250"/>
      <c r="L121" s="250"/>
      <c r="N121" s="250"/>
      <c r="P121" s="258"/>
    </row>
    <row r="122" spans="1:16" s="228" customFormat="1" ht="17.25" customHeight="1" x14ac:dyDescent="0.25">
      <c r="A122" s="249">
        <v>45066</v>
      </c>
      <c r="B122" s="228" t="s">
        <v>422</v>
      </c>
      <c r="C122" s="250" t="s">
        <v>75</v>
      </c>
      <c r="E122" s="217">
        <v>70000</v>
      </c>
      <c r="F122" s="217"/>
      <c r="G122" s="217">
        <f>G121+E122-F122</f>
        <v>25229877</v>
      </c>
      <c r="H122" s="228" t="s">
        <v>276</v>
      </c>
      <c r="P122" s="258"/>
    </row>
    <row r="123" spans="1:16" s="228" customFormat="1" ht="17.25" customHeight="1" x14ac:dyDescent="0.25">
      <c r="A123" s="266">
        <v>45066</v>
      </c>
      <c r="B123" s="228" t="s">
        <v>444</v>
      </c>
      <c r="C123" s="250" t="s">
        <v>384</v>
      </c>
      <c r="D123" s="236" t="s">
        <v>4</v>
      </c>
      <c r="F123" s="228">
        <v>70000</v>
      </c>
      <c r="G123" s="217">
        <f t="shared" ref="G123:G130" si="7">+G122+E123-F123</f>
        <v>25159877</v>
      </c>
      <c r="H123" s="228" t="s">
        <v>29</v>
      </c>
      <c r="I123" s="228" t="s">
        <v>370</v>
      </c>
      <c r="J123" s="250" t="s">
        <v>297</v>
      </c>
      <c r="K123" s="228" t="s">
        <v>206</v>
      </c>
      <c r="L123" s="228" t="s">
        <v>502</v>
      </c>
      <c r="M123" s="257" t="s">
        <v>577</v>
      </c>
      <c r="N123" s="228" t="s">
        <v>516</v>
      </c>
      <c r="P123" s="258"/>
    </row>
    <row r="124" spans="1:16" s="228" customFormat="1" ht="17.25" customHeight="1" x14ac:dyDescent="0.25">
      <c r="A124" s="249">
        <v>45068</v>
      </c>
      <c r="B124" s="228" t="s">
        <v>346</v>
      </c>
      <c r="C124" s="228" t="s">
        <v>75</v>
      </c>
      <c r="E124" s="217"/>
      <c r="F124" s="298">
        <v>15000</v>
      </c>
      <c r="G124" s="217">
        <f t="shared" si="7"/>
        <v>25144877</v>
      </c>
      <c r="H124" s="228" t="s">
        <v>25</v>
      </c>
      <c r="J124" s="250"/>
      <c r="K124" s="250"/>
      <c r="L124" s="250"/>
      <c r="P124" s="258"/>
    </row>
    <row r="125" spans="1:16" s="228" customFormat="1" ht="13.8" x14ac:dyDescent="0.25">
      <c r="A125" s="249">
        <v>45068</v>
      </c>
      <c r="B125" s="228" t="s">
        <v>29</v>
      </c>
      <c r="C125" s="250" t="s">
        <v>75</v>
      </c>
      <c r="E125" s="217"/>
      <c r="F125" s="298">
        <v>110000</v>
      </c>
      <c r="G125" s="217">
        <f t="shared" si="7"/>
        <v>25034877</v>
      </c>
      <c r="H125" s="228" t="s">
        <v>25</v>
      </c>
      <c r="J125" s="250"/>
      <c r="K125" s="250"/>
      <c r="L125" s="250"/>
      <c r="N125" s="250"/>
      <c r="P125" s="258"/>
    </row>
    <row r="126" spans="1:16" s="228" customFormat="1" ht="13.8" x14ac:dyDescent="0.25">
      <c r="A126" s="249">
        <v>45068</v>
      </c>
      <c r="B126" s="250" t="s">
        <v>276</v>
      </c>
      <c r="C126" s="250" t="s">
        <v>75</v>
      </c>
      <c r="D126" s="250"/>
      <c r="F126" s="299">
        <v>90000</v>
      </c>
      <c r="G126" s="217">
        <f t="shared" si="7"/>
        <v>24944877</v>
      </c>
      <c r="H126" s="228" t="s">
        <v>25</v>
      </c>
      <c r="J126" s="250"/>
      <c r="K126" s="250"/>
      <c r="L126" s="250"/>
      <c r="N126" s="250"/>
      <c r="O126" s="250"/>
      <c r="P126" s="258"/>
    </row>
    <row r="127" spans="1:16" s="228" customFormat="1" ht="13.8" x14ac:dyDescent="0.25">
      <c r="A127" s="249">
        <v>45068</v>
      </c>
      <c r="B127" s="261" t="s">
        <v>347</v>
      </c>
      <c r="C127" s="250" t="s">
        <v>220</v>
      </c>
      <c r="D127" s="236" t="s">
        <v>312</v>
      </c>
      <c r="F127" s="300">
        <v>6000</v>
      </c>
      <c r="G127" s="217">
        <f t="shared" si="7"/>
        <v>24938877</v>
      </c>
      <c r="H127" s="259" t="s">
        <v>25</v>
      </c>
      <c r="I127" s="228" t="s">
        <v>361</v>
      </c>
      <c r="J127" s="228" t="s">
        <v>297</v>
      </c>
      <c r="K127" s="259" t="s">
        <v>206</v>
      </c>
      <c r="L127" s="228" t="s">
        <v>502</v>
      </c>
      <c r="M127" s="257" t="s">
        <v>578</v>
      </c>
      <c r="N127" s="228" t="s">
        <v>503</v>
      </c>
      <c r="P127" s="258"/>
    </row>
    <row r="128" spans="1:16" s="228" customFormat="1" ht="13.8" x14ac:dyDescent="0.25">
      <c r="A128" s="260">
        <v>45068</v>
      </c>
      <c r="B128" s="250" t="s">
        <v>348</v>
      </c>
      <c r="C128" s="250" t="s">
        <v>349</v>
      </c>
      <c r="D128" s="228" t="s">
        <v>350</v>
      </c>
      <c r="F128" s="299">
        <v>10000</v>
      </c>
      <c r="G128" s="217">
        <f t="shared" si="7"/>
        <v>24928877</v>
      </c>
      <c r="H128" s="228" t="s">
        <v>25</v>
      </c>
      <c r="I128" s="228" t="s">
        <v>361</v>
      </c>
      <c r="J128" s="228" t="s">
        <v>297</v>
      </c>
      <c r="K128" s="228" t="s">
        <v>205</v>
      </c>
      <c r="L128" s="228" t="s">
        <v>502</v>
      </c>
      <c r="M128" s="257"/>
      <c r="N128" s="250"/>
      <c r="O128" s="250"/>
      <c r="P128" s="258"/>
    </row>
    <row r="129" spans="1:16" s="228" customFormat="1" ht="13.8" x14ac:dyDescent="0.25">
      <c r="A129" s="249">
        <v>45068</v>
      </c>
      <c r="B129" s="261" t="s">
        <v>351</v>
      </c>
      <c r="C129" s="250" t="s">
        <v>178</v>
      </c>
      <c r="D129" s="228" t="s">
        <v>161</v>
      </c>
      <c r="F129" s="298">
        <v>5000</v>
      </c>
      <c r="G129" s="217">
        <f t="shared" si="7"/>
        <v>24923877</v>
      </c>
      <c r="H129" s="217" t="s">
        <v>25</v>
      </c>
      <c r="I129" s="228" t="s">
        <v>361</v>
      </c>
      <c r="J129" s="228" t="s">
        <v>297</v>
      </c>
      <c r="K129" s="250" t="s">
        <v>205</v>
      </c>
      <c r="L129" s="250" t="s">
        <v>502</v>
      </c>
      <c r="M129" s="257"/>
      <c r="N129" s="250"/>
      <c r="P129" s="258"/>
    </row>
    <row r="130" spans="1:16" s="228" customFormat="1" ht="13.8" x14ac:dyDescent="0.25">
      <c r="A130" s="249">
        <v>45068</v>
      </c>
      <c r="B130" s="261" t="s">
        <v>352</v>
      </c>
      <c r="C130" s="236" t="s">
        <v>237</v>
      </c>
      <c r="D130" s="228" t="s">
        <v>2</v>
      </c>
      <c r="F130" s="298">
        <v>50000</v>
      </c>
      <c r="G130" s="217">
        <f t="shared" si="7"/>
        <v>24873877</v>
      </c>
      <c r="H130" s="228" t="s">
        <v>25</v>
      </c>
      <c r="I130" s="228" t="s">
        <v>370</v>
      </c>
      <c r="J130" s="228" t="s">
        <v>297</v>
      </c>
      <c r="K130" s="250" t="s">
        <v>205</v>
      </c>
      <c r="L130" s="250" t="s">
        <v>502</v>
      </c>
      <c r="P130" s="258"/>
    </row>
    <row r="131" spans="1:16" s="228" customFormat="1" ht="13.8" x14ac:dyDescent="0.25">
      <c r="A131" s="249">
        <v>45068</v>
      </c>
      <c r="B131" s="228" t="s">
        <v>413</v>
      </c>
      <c r="C131" s="250" t="s">
        <v>384</v>
      </c>
      <c r="D131" s="236" t="s">
        <v>4</v>
      </c>
      <c r="F131" s="228">
        <v>45000</v>
      </c>
      <c r="G131" s="217">
        <f>G130+E131-F131</f>
        <v>24828877</v>
      </c>
      <c r="H131" s="228" t="s">
        <v>277</v>
      </c>
      <c r="I131" s="224" t="s">
        <v>361</v>
      </c>
      <c r="J131" s="250" t="s">
        <v>297</v>
      </c>
      <c r="K131" s="228" t="s">
        <v>206</v>
      </c>
      <c r="L131" s="228" t="s">
        <v>502</v>
      </c>
      <c r="M131" s="257" t="s">
        <v>579</v>
      </c>
      <c r="N131" s="228" t="s">
        <v>516</v>
      </c>
      <c r="P131" s="258"/>
    </row>
    <row r="132" spans="1:16" s="228" customFormat="1" ht="13.8" x14ac:dyDescent="0.25">
      <c r="A132" s="249">
        <v>45068</v>
      </c>
      <c r="B132" s="261" t="s">
        <v>414</v>
      </c>
      <c r="C132" s="236" t="s">
        <v>34</v>
      </c>
      <c r="D132" s="236" t="s">
        <v>4</v>
      </c>
      <c r="F132" s="263">
        <v>7000</v>
      </c>
      <c r="G132" s="217">
        <f>G131+E132-F132</f>
        <v>24821877</v>
      </c>
      <c r="H132" s="263" t="s">
        <v>277</v>
      </c>
      <c r="I132" s="264" t="s">
        <v>361</v>
      </c>
      <c r="J132" s="228" t="s">
        <v>297</v>
      </c>
      <c r="K132" s="228" t="s">
        <v>206</v>
      </c>
      <c r="L132" s="228" t="s">
        <v>502</v>
      </c>
      <c r="M132" s="257" t="s">
        <v>580</v>
      </c>
      <c r="N132" s="250" t="s">
        <v>515</v>
      </c>
      <c r="P132" s="258"/>
    </row>
    <row r="133" spans="1:16" s="228" customFormat="1" ht="13.8" x14ac:dyDescent="0.25">
      <c r="A133" s="249">
        <v>45068</v>
      </c>
      <c r="B133" s="261" t="s">
        <v>415</v>
      </c>
      <c r="C133" s="236" t="s">
        <v>34</v>
      </c>
      <c r="D133" s="236" t="s">
        <v>4</v>
      </c>
      <c r="F133" s="263">
        <v>3500</v>
      </c>
      <c r="G133" s="217">
        <f>G132+E133-F133</f>
        <v>24818377</v>
      </c>
      <c r="H133" s="263" t="s">
        <v>277</v>
      </c>
      <c r="I133" s="264" t="s">
        <v>361</v>
      </c>
      <c r="J133" s="228" t="s">
        <v>297</v>
      </c>
      <c r="K133" s="228" t="s">
        <v>206</v>
      </c>
      <c r="L133" s="228" t="s">
        <v>502</v>
      </c>
      <c r="M133" s="257" t="s">
        <v>581</v>
      </c>
      <c r="N133" s="250" t="s">
        <v>515</v>
      </c>
      <c r="P133" s="258"/>
    </row>
    <row r="134" spans="1:16" s="228" customFormat="1" ht="13.8" x14ac:dyDescent="0.25">
      <c r="A134" s="266">
        <v>45068</v>
      </c>
      <c r="B134" s="228" t="s">
        <v>422</v>
      </c>
      <c r="C134" s="250" t="s">
        <v>75</v>
      </c>
      <c r="E134" s="228">
        <v>90000</v>
      </c>
      <c r="G134" s="217">
        <f>G133+E134-F134</f>
        <v>24908377</v>
      </c>
      <c r="H134" s="259" t="s">
        <v>276</v>
      </c>
      <c r="N134" s="250"/>
      <c r="O134" s="250"/>
      <c r="P134" s="258"/>
    </row>
    <row r="135" spans="1:16" s="228" customFormat="1" ht="13.8" x14ac:dyDescent="0.25">
      <c r="A135" s="249">
        <v>45068</v>
      </c>
      <c r="B135" s="261" t="s">
        <v>434</v>
      </c>
      <c r="C135" s="228" t="s">
        <v>75</v>
      </c>
      <c r="E135" s="228">
        <v>110000</v>
      </c>
      <c r="F135" s="262"/>
      <c r="G135" s="217">
        <f>+G134+E135-F135</f>
        <v>25018377</v>
      </c>
      <c r="H135" s="228" t="s">
        <v>29</v>
      </c>
      <c r="P135" s="258"/>
    </row>
    <row r="136" spans="1:16" s="228" customFormat="1" ht="13.8" x14ac:dyDescent="0.25">
      <c r="A136" s="249">
        <v>45068</v>
      </c>
      <c r="B136" s="228" t="s">
        <v>401</v>
      </c>
      <c r="C136" s="250" t="s">
        <v>75</v>
      </c>
      <c r="E136" s="217">
        <v>15000</v>
      </c>
      <c r="F136" s="262"/>
      <c r="G136" s="217">
        <f>G135+E136-F136</f>
        <v>25033377</v>
      </c>
      <c r="H136" s="228" t="s">
        <v>346</v>
      </c>
      <c r="K136" s="250"/>
      <c r="L136" s="250"/>
      <c r="M136" s="257"/>
      <c r="N136" s="250"/>
      <c r="P136" s="258"/>
    </row>
    <row r="137" spans="1:16" s="228" customFormat="1" ht="13.8" x14ac:dyDescent="0.25">
      <c r="A137" s="249">
        <v>45069</v>
      </c>
      <c r="B137" s="228" t="s">
        <v>353</v>
      </c>
      <c r="C137" s="250" t="s">
        <v>349</v>
      </c>
      <c r="D137" s="228" t="s">
        <v>350</v>
      </c>
      <c r="E137" s="217"/>
      <c r="F137" s="298">
        <v>30000</v>
      </c>
      <c r="G137" s="217">
        <f>+G136+E137-F137</f>
        <v>25003377</v>
      </c>
      <c r="H137" s="228" t="s">
        <v>25</v>
      </c>
      <c r="I137" s="228" t="s">
        <v>361</v>
      </c>
      <c r="J137" s="228" t="s">
        <v>297</v>
      </c>
      <c r="K137" s="228" t="s">
        <v>205</v>
      </c>
      <c r="L137" s="228" t="s">
        <v>502</v>
      </c>
      <c r="M137" s="257"/>
      <c r="P137" s="258"/>
    </row>
    <row r="138" spans="1:16" s="228" customFormat="1" ht="13.8" x14ac:dyDescent="0.25">
      <c r="A138" s="249">
        <v>45069</v>
      </c>
      <c r="B138" s="250" t="s">
        <v>354</v>
      </c>
      <c r="C138" s="250" t="s">
        <v>75</v>
      </c>
      <c r="E138" s="228">
        <v>2000000</v>
      </c>
      <c r="F138" s="299"/>
      <c r="G138" s="217">
        <f>+G137+E138-F138</f>
        <v>27003377</v>
      </c>
      <c r="H138" s="228" t="s">
        <v>25</v>
      </c>
      <c r="K138" s="250"/>
      <c r="L138" s="250"/>
      <c r="M138" s="257"/>
      <c r="N138" s="250"/>
      <c r="P138" s="258"/>
    </row>
    <row r="139" spans="1:16" s="228" customFormat="1" ht="13.8" x14ac:dyDescent="0.25">
      <c r="A139" s="260">
        <v>45069</v>
      </c>
      <c r="B139" s="236" t="s">
        <v>365</v>
      </c>
      <c r="C139" s="228" t="s">
        <v>75</v>
      </c>
      <c r="D139" s="217"/>
      <c r="F139" s="299">
        <v>2000000</v>
      </c>
      <c r="G139" s="217">
        <f>+G138+E139-F139</f>
        <v>25003377</v>
      </c>
      <c r="H139" s="250" t="s">
        <v>24</v>
      </c>
      <c r="I139" s="236">
        <v>3654547</v>
      </c>
      <c r="M139" s="238"/>
      <c r="P139" s="258"/>
    </row>
    <row r="140" spans="1:16" s="228" customFormat="1" ht="13.8" x14ac:dyDescent="0.25">
      <c r="A140" s="256">
        <v>45069</v>
      </c>
      <c r="B140" s="299" t="s">
        <v>390</v>
      </c>
      <c r="C140" s="299" t="s">
        <v>177</v>
      </c>
      <c r="D140" s="300" t="s">
        <v>161</v>
      </c>
      <c r="F140" s="228">
        <v>359500</v>
      </c>
      <c r="G140" s="217">
        <f t="shared" ref="G140:G146" si="8">G139+E140-F140</f>
        <v>24643877</v>
      </c>
      <c r="H140" s="228" t="s">
        <v>155</v>
      </c>
      <c r="I140" s="250">
        <v>3667300</v>
      </c>
      <c r="J140" s="228" t="s">
        <v>102</v>
      </c>
      <c r="K140" s="228" t="s">
        <v>206</v>
      </c>
      <c r="L140" s="250" t="s">
        <v>502</v>
      </c>
      <c r="M140" s="257" t="s">
        <v>582</v>
      </c>
      <c r="N140" s="250" t="s">
        <v>507</v>
      </c>
      <c r="O140" s="250"/>
      <c r="P140" s="258"/>
    </row>
    <row r="141" spans="1:16" s="228" customFormat="1" ht="13.8" x14ac:dyDescent="0.25">
      <c r="A141" s="249">
        <v>45069</v>
      </c>
      <c r="B141" s="299" t="s">
        <v>391</v>
      </c>
      <c r="C141" s="299" t="s">
        <v>177</v>
      </c>
      <c r="D141" s="299" t="s">
        <v>2</v>
      </c>
      <c r="F141" s="228">
        <v>1311914</v>
      </c>
      <c r="G141" s="217">
        <f t="shared" si="8"/>
        <v>23331963</v>
      </c>
      <c r="H141" s="228" t="s">
        <v>155</v>
      </c>
      <c r="I141" s="250">
        <v>3667328</v>
      </c>
      <c r="J141" s="228" t="s">
        <v>102</v>
      </c>
      <c r="K141" s="228" t="s">
        <v>206</v>
      </c>
      <c r="L141" s="250" t="s">
        <v>502</v>
      </c>
      <c r="M141" s="257" t="s">
        <v>583</v>
      </c>
      <c r="N141" s="250" t="s">
        <v>508</v>
      </c>
      <c r="O141" s="250"/>
      <c r="P141" s="258"/>
    </row>
    <row r="142" spans="1:16" s="228" customFormat="1" ht="13.8" x14ac:dyDescent="0.25">
      <c r="A142" s="256">
        <v>45069</v>
      </c>
      <c r="B142" s="299" t="s">
        <v>392</v>
      </c>
      <c r="C142" s="298" t="s">
        <v>177</v>
      </c>
      <c r="D142" s="298" t="s">
        <v>161</v>
      </c>
      <c r="F142" s="228">
        <v>200000</v>
      </c>
      <c r="G142" s="217">
        <f t="shared" si="8"/>
        <v>23131963</v>
      </c>
      <c r="H142" s="228" t="s">
        <v>155</v>
      </c>
      <c r="I142" s="250">
        <v>3667339</v>
      </c>
      <c r="J142" s="228" t="s">
        <v>102</v>
      </c>
      <c r="K142" s="228" t="s">
        <v>206</v>
      </c>
      <c r="L142" s="250" t="s">
        <v>502</v>
      </c>
      <c r="M142" s="257" t="s">
        <v>584</v>
      </c>
      <c r="N142" s="250" t="s">
        <v>507</v>
      </c>
      <c r="P142" s="258"/>
    </row>
    <row r="143" spans="1:16" s="228" customFormat="1" ht="13.8" x14ac:dyDescent="0.25">
      <c r="A143" s="249">
        <v>45069</v>
      </c>
      <c r="B143" s="298" t="s">
        <v>393</v>
      </c>
      <c r="C143" s="299" t="s">
        <v>177</v>
      </c>
      <c r="D143" s="299" t="s">
        <v>161</v>
      </c>
      <c r="F143" s="267">
        <v>200000</v>
      </c>
      <c r="G143" s="217">
        <f t="shared" si="8"/>
        <v>22931963</v>
      </c>
      <c r="H143" s="228" t="s">
        <v>155</v>
      </c>
      <c r="I143" s="250">
        <v>3667340</v>
      </c>
      <c r="J143" s="228" t="s">
        <v>102</v>
      </c>
      <c r="K143" s="228" t="s">
        <v>206</v>
      </c>
      <c r="L143" s="250" t="s">
        <v>502</v>
      </c>
      <c r="M143" s="257" t="s">
        <v>585</v>
      </c>
      <c r="N143" s="250" t="s">
        <v>507</v>
      </c>
      <c r="P143" s="258"/>
    </row>
    <row r="144" spans="1:16" s="228" customFormat="1" ht="13.8" x14ac:dyDescent="0.25">
      <c r="A144" s="249">
        <v>45069</v>
      </c>
      <c r="B144" s="299" t="s">
        <v>394</v>
      </c>
      <c r="C144" s="298" t="s">
        <v>177</v>
      </c>
      <c r="D144" s="298" t="s">
        <v>2</v>
      </c>
      <c r="F144" s="228">
        <v>350000</v>
      </c>
      <c r="G144" s="217">
        <f t="shared" si="8"/>
        <v>22581963</v>
      </c>
      <c r="H144" s="228" t="s">
        <v>155</v>
      </c>
      <c r="I144" s="250">
        <v>3667341</v>
      </c>
      <c r="J144" s="228" t="s">
        <v>102</v>
      </c>
      <c r="K144" s="228" t="s">
        <v>206</v>
      </c>
      <c r="L144" s="250" t="s">
        <v>502</v>
      </c>
      <c r="M144" s="257" t="s">
        <v>586</v>
      </c>
      <c r="N144" s="250" t="s">
        <v>509</v>
      </c>
      <c r="P144" s="258"/>
    </row>
    <row r="145" spans="1:18" s="228" customFormat="1" ht="13.8" x14ac:dyDescent="0.25">
      <c r="A145" s="249">
        <v>45069</v>
      </c>
      <c r="B145" s="299" t="s">
        <v>395</v>
      </c>
      <c r="C145" s="298" t="s">
        <v>177</v>
      </c>
      <c r="D145" s="298" t="s">
        <v>2</v>
      </c>
      <c r="F145" s="228">
        <v>300000</v>
      </c>
      <c r="G145" s="217">
        <f t="shared" si="8"/>
        <v>22281963</v>
      </c>
      <c r="H145" s="228" t="s">
        <v>155</v>
      </c>
      <c r="I145" s="250">
        <v>3667342</v>
      </c>
      <c r="J145" s="228" t="s">
        <v>102</v>
      </c>
      <c r="K145" s="228" t="s">
        <v>206</v>
      </c>
      <c r="L145" s="250" t="s">
        <v>502</v>
      </c>
      <c r="M145" s="257" t="s">
        <v>587</v>
      </c>
      <c r="N145" s="250" t="s">
        <v>509</v>
      </c>
      <c r="P145" s="258"/>
    </row>
    <row r="146" spans="1:18" s="228" customFormat="1" ht="13.8" x14ac:dyDescent="0.25">
      <c r="A146" s="266">
        <v>45069</v>
      </c>
      <c r="B146" s="299" t="s">
        <v>396</v>
      </c>
      <c r="C146" s="301" t="s">
        <v>177</v>
      </c>
      <c r="D146" s="302" t="s">
        <v>162</v>
      </c>
      <c r="F146" s="228">
        <v>235600</v>
      </c>
      <c r="G146" s="217">
        <f t="shared" si="8"/>
        <v>22046363</v>
      </c>
      <c r="H146" s="228" t="s">
        <v>155</v>
      </c>
      <c r="I146" s="250">
        <v>3667344</v>
      </c>
      <c r="J146" s="228" t="s">
        <v>102</v>
      </c>
      <c r="K146" s="228" t="s">
        <v>206</v>
      </c>
      <c r="L146" s="250" t="s">
        <v>502</v>
      </c>
      <c r="M146" s="257" t="s">
        <v>588</v>
      </c>
      <c r="N146" s="250" t="s">
        <v>510</v>
      </c>
      <c r="P146" s="258"/>
    </row>
    <row r="147" spans="1:18" s="228" customFormat="1" ht="13.8" x14ac:dyDescent="0.25">
      <c r="A147" s="266">
        <v>45070</v>
      </c>
      <c r="B147" s="250" t="s">
        <v>204</v>
      </c>
      <c r="C147" s="236" t="s">
        <v>75</v>
      </c>
      <c r="F147" s="299">
        <v>193000</v>
      </c>
      <c r="G147" s="217">
        <f t="shared" ref="G147:G155" si="9">+G146+E147-F147</f>
        <v>21853363</v>
      </c>
      <c r="H147" s="228" t="s">
        <v>25</v>
      </c>
      <c r="M147" s="257"/>
      <c r="N147" s="250"/>
      <c r="P147" s="258"/>
    </row>
    <row r="148" spans="1:18" s="228" customFormat="1" ht="13.8" x14ac:dyDescent="0.25">
      <c r="A148" s="249">
        <v>45070</v>
      </c>
      <c r="B148" s="228" t="s">
        <v>328</v>
      </c>
      <c r="C148" s="250" t="s">
        <v>75</v>
      </c>
      <c r="F148" s="298">
        <v>323000</v>
      </c>
      <c r="G148" s="217">
        <f t="shared" si="9"/>
        <v>21530363</v>
      </c>
      <c r="H148" s="217" t="s">
        <v>25</v>
      </c>
      <c r="K148" s="259"/>
      <c r="N148" s="250"/>
      <c r="P148" s="258"/>
    </row>
    <row r="149" spans="1:18" s="228" customFormat="1" ht="13.8" x14ac:dyDescent="0.25">
      <c r="A149" s="249">
        <v>45070</v>
      </c>
      <c r="B149" s="228" t="s">
        <v>47</v>
      </c>
      <c r="C149" s="228" t="s">
        <v>75</v>
      </c>
      <c r="E149" s="217"/>
      <c r="F149" s="298">
        <v>231000</v>
      </c>
      <c r="G149" s="217">
        <f t="shared" si="9"/>
        <v>21299363</v>
      </c>
      <c r="H149" s="228" t="s">
        <v>25</v>
      </c>
      <c r="P149" s="258"/>
    </row>
    <row r="150" spans="1:18" s="228" customFormat="1" ht="13.8" x14ac:dyDescent="0.25">
      <c r="A150" s="249">
        <v>45070</v>
      </c>
      <c r="B150" s="228" t="s">
        <v>150</v>
      </c>
      <c r="C150" s="250" t="s">
        <v>75</v>
      </c>
      <c r="E150" s="217"/>
      <c r="F150" s="298">
        <v>382000</v>
      </c>
      <c r="G150" s="217">
        <f t="shared" si="9"/>
        <v>20917363</v>
      </c>
      <c r="H150" s="228" t="s">
        <v>25</v>
      </c>
      <c r="N150" s="250"/>
      <c r="P150" s="275"/>
      <c r="Q150" s="250"/>
      <c r="R150" s="250"/>
    </row>
    <row r="151" spans="1:18" s="228" customFormat="1" ht="13.8" x14ac:dyDescent="0.25">
      <c r="A151" s="266">
        <v>45070</v>
      </c>
      <c r="B151" s="236" t="s">
        <v>93</v>
      </c>
      <c r="C151" s="236" t="s">
        <v>75</v>
      </c>
      <c r="F151" s="299">
        <v>132000</v>
      </c>
      <c r="G151" s="217">
        <f t="shared" si="9"/>
        <v>20785363</v>
      </c>
      <c r="H151" s="228" t="s">
        <v>25</v>
      </c>
      <c r="M151" s="257"/>
      <c r="N151" s="250"/>
      <c r="P151" s="275"/>
      <c r="Q151" s="250"/>
      <c r="R151" s="250"/>
    </row>
    <row r="152" spans="1:18" s="228" customFormat="1" ht="13.8" x14ac:dyDescent="0.25">
      <c r="A152" s="249">
        <v>45070</v>
      </c>
      <c r="B152" s="228" t="s">
        <v>276</v>
      </c>
      <c r="C152" s="236" t="s">
        <v>75</v>
      </c>
      <c r="F152" s="299">
        <v>128000</v>
      </c>
      <c r="G152" s="217">
        <f t="shared" si="9"/>
        <v>20657363</v>
      </c>
      <c r="H152" s="228" t="s">
        <v>25</v>
      </c>
      <c r="I152" s="224"/>
      <c r="M152" s="257"/>
      <c r="N152" s="250"/>
      <c r="P152" s="275"/>
      <c r="Q152" s="250"/>
      <c r="R152" s="250"/>
    </row>
    <row r="153" spans="1:18" s="228" customFormat="1" ht="13.8" x14ac:dyDescent="0.25">
      <c r="A153" s="260">
        <v>45070</v>
      </c>
      <c r="B153" s="228" t="s">
        <v>29</v>
      </c>
      <c r="C153" s="250" t="s">
        <v>75</v>
      </c>
      <c r="F153" s="299">
        <v>90000</v>
      </c>
      <c r="G153" s="217">
        <f t="shared" si="9"/>
        <v>20567363</v>
      </c>
      <c r="H153" s="228" t="s">
        <v>25</v>
      </c>
      <c r="K153" s="250"/>
      <c r="L153" s="250"/>
      <c r="M153" s="257"/>
      <c r="N153" s="250"/>
      <c r="P153" s="275"/>
      <c r="Q153" s="250"/>
      <c r="R153" s="250"/>
    </row>
    <row r="154" spans="1:18" s="228" customFormat="1" ht="13.8" x14ac:dyDescent="0.25">
      <c r="A154" s="249">
        <v>45070</v>
      </c>
      <c r="B154" s="228" t="s">
        <v>31</v>
      </c>
      <c r="C154" s="236" t="s">
        <v>75</v>
      </c>
      <c r="F154" s="299">
        <v>140000</v>
      </c>
      <c r="G154" s="217">
        <f t="shared" si="9"/>
        <v>20427363</v>
      </c>
      <c r="H154" s="259" t="s">
        <v>25</v>
      </c>
      <c r="K154" s="250"/>
      <c r="L154" s="250"/>
      <c r="M154" s="257"/>
      <c r="N154" s="250"/>
      <c r="P154" s="275"/>
      <c r="Q154" s="250"/>
      <c r="R154" s="250"/>
    </row>
    <row r="155" spans="1:18" s="228" customFormat="1" ht="13.8" x14ac:dyDescent="0.25">
      <c r="A155" s="249">
        <v>45070</v>
      </c>
      <c r="B155" s="250" t="s">
        <v>47</v>
      </c>
      <c r="C155" s="250" t="s">
        <v>75</v>
      </c>
      <c r="E155" s="250">
        <v>30000</v>
      </c>
      <c r="F155" s="299"/>
      <c r="G155" s="217">
        <f t="shared" si="9"/>
        <v>20457363</v>
      </c>
      <c r="H155" s="250" t="s">
        <v>25</v>
      </c>
      <c r="J155" s="250"/>
      <c r="K155" s="250"/>
      <c r="L155" s="250"/>
      <c r="N155" s="250"/>
      <c r="O155" s="250"/>
      <c r="P155" s="275"/>
      <c r="Q155" s="250"/>
      <c r="R155" s="250"/>
    </row>
    <row r="156" spans="1:18" s="228" customFormat="1" ht="13.8" x14ac:dyDescent="0.25">
      <c r="A156" s="256">
        <v>45070</v>
      </c>
      <c r="B156" s="250" t="s">
        <v>371</v>
      </c>
      <c r="C156" s="250" t="s">
        <v>75</v>
      </c>
      <c r="E156" s="250">
        <v>382000</v>
      </c>
      <c r="F156" s="250"/>
      <c r="G156" s="217">
        <f t="shared" ref="G156:G163" si="10">G155+E156-F156</f>
        <v>20839363</v>
      </c>
      <c r="H156" s="250" t="s">
        <v>150</v>
      </c>
      <c r="O156" s="250"/>
      <c r="P156" s="275"/>
      <c r="Q156" s="250"/>
      <c r="R156" s="250"/>
    </row>
    <row r="157" spans="1:18" s="228" customFormat="1" ht="13.8" x14ac:dyDescent="0.25">
      <c r="A157" s="271">
        <v>45070</v>
      </c>
      <c r="B157" s="228" t="s">
        <v>388</v>
      </c>
      <c r="C157" s="272" t="s">
        <v>75</v>
      </c>
      <c r="D157" s="272"/>
      <c r="E157" s="273">
        <v>132000</v>
      </c>
      <c r="F157" s="273"/>
      <c r="G157" s="217">
        <f t="shared" si="10"/>
        <v>20971363</v>
      </c>
      <c r="H157" s="274" t="s">
        <v>93</v>
      </c>
      <c r="I157" s="274"/>
      <c r="P157" s="275"/>
      <c r="Q157" s="250"/>
      <c r="R157" s="250"/>
    </row>
    <row r="158" spans="1:18" s="228" customFormat="1" ht="13.8" x14ac:dyDescent="0.25">
      <c r="A158" s="249">
        <v>45070</v>
      </c>
      <c r="B158" s="261" t="s">
        <v>416</v>
      </c>
      <c r="C158" s="250" t="s">
        <v>384</v>
      </c>
      <c r="D158" s="236" t="s">
        <v>4</v>
      </c>
      <c r="F158" s="263">
        <v>20000</v>
      </c>
      <c r="G158" s="217">
        <f t="shared" si="10"/>
        <v>20951363</v>
      </c>
      <c r="H158" s="263" t="s">
        <v>277</v>
      </c>
      <c r="I158" s="228" t="s">
        <v>370</v>
      </c>
      <c r="J158" s="250" t="s">
        <v>297</v>
      </c>
      <c r="K158" s="228" t="s">
        <v>206</v>
      </c>
      <c r="L158" s="228" t="s">
        <v>502</v>
      </c>
      <c r="M158" s="257" t="s">
        <v>589</v>
      </c>
      <c r="N158" s="228" t="s">
        <v>516</v>
      </c>
      <c r="P158" s="275"/>
      <c r="Q158" s="250"/>
      <c r="R158" s="250"/>
    </row>
    <row r="159" spans="1:18" s="228" customFormat="1" ht="13.8" x14ac:dyDescent="0.25">
      <c r="A159" s="249">
        <v>45070</v>
      </c>
      <c r="B159" s="261" t="s">
        <v>417</v>
      </c>
      <c r="C159" s="236" t="s">
        <v>34</v>
      </c>
      <c r="D159" s="236" t="s">
        <v>4</v>
      </c>
      <c r="F159" s="263">
        <v>3500</v>
      </c>
      <c r="G159" s="217">
        <f t="shared" si="10"/>
        <v>20947863</v>
      </c>
      <c r="H159" s="263" t="s">
        <v>277</v>
      </c>
      <c r="I159" s="264" t="s">
        <v>361</v>
      </c>
      <c r="J159" s="228" t="s">
        <v>297</v>
      </c>
      <c r="K159" s="228" t="s">
        <v>206</v>
      </c>
      <c r="L159" s="228" t="s">
        <v>502</v>
      </c>
      <c r="M159" s="257" t="s">
        <v>590</v>
      </c>
      <c r="N159" s="250" t="s">
        <v>515</v>
      </c>
      <c r="P159" s="275"/>
      <c r="Q159" s="250"/>
      <c r="R159" s="250"/>
    </row>
    <row r="160" spans="1:18" s="228" customFormat="1" ht="13.8" x14ac:dyDescent="0.25">
      <c r="A160" s="249">
        <v>45070</v>
      </c>
      <c r="B160" s="261" t="s">
        <v>418</v>
      </c>
      <c r="C160" s="236" t="s">
        <v>34</v>
      </c>
      <c r="D160" s="236" t="s">
        <v>4</v>
      </c>
      <c r="F160" s="217">
        <v>7000</v>
      </c>
      <c r="G160" s="217">
        <f t="shared" si="10"/>
        <v>20940863</v>
      </c>
      <c r="H160" s="263" t="s">
        <v>277</v>
      </c>
      <c r="I160" s="264" t="s">
        <v>361</v>
      </c>
      <c r="J160" s="228" t="s">
        <v>297</v>
      </c>
      <c r="K160" s="228" t="s">
        <v>206</v>
      </c>
      <c r="L160" s="228" t="s">
        <v>502</v>
      </c>
      <c r="M160" s="257" t="s">
        <v>591</v>
      </c>
      <c r="N160" s="250" t="s">
        <v>515</v>
      </c>
      <c r="P160" s="275"/>
      <c r="Q160" s="250"/>
      <c r="R160" s="250"/>
    </row>
    <row r="161" spans="1:18" s="228" customFormat="1" ht="13.8" x14ac:dyDescent="0.25">
      <c r="A161" s="249">
        <v>45070</v>
      </c>
      <c r="B161" s="228" t="s">
        <v>449</v>
      </c>
      <c r="C161" s="250" t="s">
        <v>450</v>
      </c>
      <c r="E161" s="217">
        <v>193000</v>
      </c>
      <c r="F161" s="217"/>
      <c r="G161" s="217">
        <f t="shared" si="10"/>
        <v>21133863</v>
      </c>
      <c r="H161" s="228" t="s">
        <v>204</v>
      </c>
      <c r="I161" s="228" t="s">
        <v>370</v>
      </c>
      <c r="P161" s="275"/>
      <c r="Q161" s="250"/>
      <c r="R161" s="250"/>
    </row>
    <row r="162" spans="1:18" s="228" customFormat="1" ht="13.8" x14ac:dyDescent="0.25">
      <c r="A162" s="266">
        <v>45070</v>
      </c>
      <c r="B162" s="228" t="s">
        <v>458</v>
      </c>
      <c r="C162" s="250" t="s">
        <v>75</v>
      </c>
      <c r="E162" s="228">
        <v>140000</v>
      </c>
      <c r="G162" s="217">
        <f t="shared" si="10"/>
        <v>21273863</v>
      </c>
      <c r="H162" s="228" t="s">
        <v>31</v>
      </c>
      <c r="P162" s="275"/>
      <c r="Q162" s="250"/>
      <c r="R162" s="250"/>
    </row>
    <row r="163" spans="1:18" s="228" customFormat="1" ht="13.8" x14ac:dyDescent="0.25">
      <c r="A163" s="249">
        <v>45070</v>
      </c>
      <c r="B163" s="250" t="s">
        <v>469</v>
      </c>
      <c r="C163" s="228" t="s">
        <v>75</v>
      </c>
      <c r="D163" s="224"/>
      <c r="E163" s="305">
        <v>323000</v>
      </c>
      <c r="F163" s="267"/>
      <c r="G163" s="217">
        <f t="shared" si="10"/>
        <v>21596863</v>
      </c>
      <c r="H163" s="228" t="s">
        <v>263</v>
      </c>
      <c r="I163" s="224"/>
      <c r="J163" s="250"/>
      <c r="L163" s="250"/>
      <c r="N163" s="250"/>
      <c r="O163" s="250"/>
      <c r="P163" s="275"/>
      <c r="Q163" s="250"/>
      <c r="R163" s="250"/>
    </row>
    <row r="164" spans="1:18" s="228" customFormat="1" ht="13.8" x14ac:dyDescent="0.25">
      <c r="A164" s="249">
        <v>45070</v>
      </c>
      <c r="B164" s="228" t="s">
        <v>491</v>
      </c>
      <c r="C164" s="250" t="s">
        <v>75</v>
      </c>
      <c r="E164" s="217"/>
      <c r="F164" s="217">
        <v>30000</v>
      </c>
      <c r="G164" s="217">
        <f>+G163+E164-F164</f>
        <v>21566863</v>
      </c>
      <c r="H164" s="228" t="s">
        <v>47</v>
      </c>
      <c r="J164" s="250"/>
      <c r="K164" s="250"/>
      <c r="L164" s="250"/>
      <c r="N164" s="217"/>
      <c r="P164" s="275"/>
      <c r="Q164" s="250"/>
      <c r="R164" s="250"/>
    </row>
    <row r="165" spans="1:18" s="228" customFormat="1" ht="13.8" x14ac:dyDescent="0.25">
      <c r="A165" s="249">
        <v>45070</v>
      </c>
      <c r="B165" s="274" t="s">
        <v>486</v>
      </c>
      <c r="C165" s="250" t="s">
        <v>75</v>
      </c>
      <c r="E165" s="304">
        <v>231000</v>
      </c>
      <c r="F165" s="304"/>
      <c r="G165" s="217">
        <f>+G164+E165-F165</f>
        <v>21797863</v>
      </c>
      <c r="H165" s="307" t="s">
        <v>47</v>
      </c>
      <c r="K165" s="250"/>
      <c r="L165" s="250"/>
      <c r="P165" s="275"/>
      <c r="Q165" s="250"/>
      <c r="R165" s="250"/>
    </row>
    <row r="166" spans="1:18" s="228" customFormat="1" ht="13.8" x14ac:dyDescent="0.25">
      <c r="A166" s="249">
        <v>45070</v>
      </c>
      <c r="B166" s="299" t="s">
        <v>397</v>
      </c>
      <c r="C166" s="228" t="s">
        <v>181</v>
      </c>
      <c r="D166" s="298" t="s">
        <v>312</v>
      </c>
      <c r="F166" s="228">
        <v>500000</v>
      </c>
      <c r="G166" s="217">
        <f t="shared" ref="G166:G174" si="11">G165+E166-F166</f>
        <v>21297863</v>
      </c>
      <c r="H166" s="228" t="s">
        <v>155</v>
      </c>
      <c r="I166" s="228">
        <v>3667298</v>
      </c>
      <c r="J166" s="228" t="s">
        <v>102</v>
      </c>
      <c r="K166" s="228" t="s">
        <v>206</v>
      </c>
      <c r="L166" s="228" t="s">
        <v>502</v>
      </c>
      <c r="M166" s="257" t="s">
        <v>592</v>
      </c>
      <c r="N166" s="228" t="s">
        <v>513</v>
      </c>
      <c r="P166" s="275"/>
      <c r="Q166" s="250"/>
      <c r="R166" s="250"/>
    </row>
    <row r="167" spans="1:18" s="228" customFormat="1" ht="13.8" x14ac:dyDescent="0.25">
      <c r="A167" s="249">
        <v>45070</v>
      </c>
      <c r="B167" s="299" t="s">
        <v>398</v>
      </c>
      <c r="C167" s="228" t="s">
        <v>181</v>
      </c>
      <c r="D167" s="298" t="s">
        <v>312</v>
      </c>
      <c r="F167" s="228">
        <v>500000</v>
      </c>
      <c r="G167" s="217">
        <f t="shared" si="11"/>
        <v>20797863</v>
      </c>
      <c r="H167" s="228" t="s">
        <v>155</v>
      </c>
      <c r="I167" s="250">
        <v>3667321</v>
      </c>
      <c r="J167" s="228" t="s">
        <v>102</v>
      </c>
      <c r="K167" s="228" t="s">
        <v>206</v>
      </c>
      <c r="L167" s="250" t="s">
        <v>502</v>
      </c>
      <c r="M167" s="257" t="s">
        <v>593</v>
      </c>
      <c r="N167" s="250" t="s">
        <v>513</v>
      </c>
      <c r="P167" s="275"/>
      <c r="Q167" s="250"/>
      <c r="R167" s="250"/>
    </row>
    <row r="168" spans="1:18" s="228" customFormat="1" ht="13.8" x14ac:dyDescent="0.25">
      <c r="A168" s="266">
        <v>45071</v>
      </c>
      <c r="B168" s="228" t="s">
        <v>372</v>
      </c>
      <c r="C168" s="250" t="s">
        <v>34</v>
      </c>
      <c r="D168" s="228" t="s">
        <v>2</v>
      </c>
      <c r="F168" s="250">
        <v>10000</v>
      </c>
      <c r="G168" s="217">
        <f t="shared" si="11"/>
        <v>20787863</v>
      </c>
      <c r="H168" s="228" t="s">
        <v>150</v>
      </c>
      <c r="I168" s="228" t="s">
        <v>361</v>
      </c>
      <c r="J168" s="228" t="s">
        <v>297</v>
      </c>
      <c r="K168" s="228" t="s">
        <v>206</v>
      </c>
      <c r="L168" s="228" t="s">
        <v>502</v>
      </c>
      <c r="M168" s="257" t="s">
        <v>594</v>
      </c>
      <c r="N168" s="250" t="s">
        <v>515</v>
      </c>
      <c r="P168" s="275"/>
      <c r="Q168" s="250"/>
      <c r="R168" s="250"/>
    </row>
    <row r="169" spans="1:18" s="228" customFormat="1" ht="13.8" x14ac:dyDescent="0.25">
      <c r="A169" s="260">
        <v>45071</v>
      </c>
      <c r="B169" s="261" t="s">
        <v>379</v>
      </c>
      <c r="C169" s="250" t="s">
        <v>384</v>
      </c>
      <c r="D169" s="270" t="s">
        <v>2</v>
      </c>
      <c r="F169" s="228">
        <v>20000</v>
      </c>
      <c r="G169" s="217">
        <f t="shared" si="11"/>
        <v>20767863</v>
      </c>
      <c r="H169" s="228" t="s">
        <v>150</v>
      </c>
      <c r="I169" s="228" t="s">
        <v>370</v>
      </c>
      <c r="J169" s="250" t="s">
        <v>297</v>
      </c>
      <c r="K169" s="228" t="s">
        <v>206</v>
      </c>
      <c r="L169" s="228" t="s">
        <v>502</v>
      </c>
      <c r="M169" s="257" t="s">
        <v>595</v>
      </c>
      <c r="N169" s="228" t="s">
        <v>516</v>
      </c>
      <c r="P169" s="275"/>
      <c r="Q169" s="250"/>
      <c r="R169" s="250"/>
    </row>
    <row r="170" spans="1:18" s="228" customFormat="1" ht="13.8" x14ac:dyDescent="0.25">
      <c r="A170" s="271">
        <v>45071</v>
      </c>
      <c r="B170" s="228" t="s">
        <v>382</v>
      </c>
      <c r="C170" s="250" t="s">
        <v>34</v>
      </c>
      <c r="D170" s="272" t="s">
        <v>312</v>
      </c>
      <c r="F170" s="273">
        <v>10000</v>
      </c>
      <c r="G170" s="217">
        <f t="shared" si="11"/>
        <v>20757863</v>
      </c>
      <c r="H170" s="274" t="s">
        <v>93</v>
      </c>
      <c r="I170" s="274" t="s">
        <v>361</v>
      </c>
      <c r="J170" s="228" t="s">
        <v>297</v>
      </c>
      <c r="K170" s="228" t="s">
        <v>206</v>
      </c>
      <c r="L170" s="228" t="s">
        <v>502</v>
      </c>
      <c r="M170" s="257" t="s">
        <v>596</v>
      </c>
      <c r="N170" s="250" t="s">
        <v>515</v>
      </c>
      <c r="P170" s="275"/>
      <c r="Q170" s="250"/>
      <c r="R170" s="250"/>
    </row>
    <row r="171" spans="1:18" s="228" customFormat="1" ht="13.8" x14ac:dyDescent="0.25">
      <c r="A171" s="249">
        <v>45071</v>
      </c>
      <c r="B171" s="228" t="s">
        <v>383</v>
      </c>
      <c r="C171" s="250" t="s">
        <v>384</v>
      </c>
      <c r="D171" s="228" t="s">
        <v>312</v>
      </c>
      <c r="E171" s="217"/>
      <c r="F171" s="217">
        <v>20000</v>
      </c>
      <c r="G171" s="217">
        <f t="shared" si="11"/>
        <v>20737863</v>
      </c>
      <c r="H171" s="228" t="s">
        <v>93</v>
      </c>
      <c r="I171" s="228" t="s">
        <v>370</v>
      </c>
      <c r="J171" s="250" t="s">
        <v>297</v>
      </c>
      <c r="K171" s="228" t="s">
        <v>206</v>
      </c>
      <c r="L171" s="228" t="s">
        <v>502</v>
      </c>
      <c r="M171" s="257" t="s">
        <v>597</v>
      </c>
      <c r="N171" s="228" t="s">
        <v>516</v>
      </c>
      <c r="P171" s="275"/>
      <c r="Q171" s="250"/>
      <c r="R171" s="250"/>
    </row>
    <row r="172" spans="1:18" s="228" customFormat="1" ht="13.8" x14ac:dyDescent="0.25">
      <c r="A172" s="249">
        <v>45071</v>
      </c>
      <c r="B172" s="261" t="s">
        <v>419</v>
      </c>
      <c r="C172" s="236" t="s">
        <v>420</v>
      </c>
      <c r="D172" s="236" t="s">
        <v>4</v>
      </c>
      <c r="F172" s="217">
        <v>18000</v>
      </c>
      <c r="G172" s="217">
        <f t="shared" si="11"/>
        <v>20719863</v>
      </c>
      <c r="H172" s="263" t="s">
        <v>277</v>
      </c>
      <c r="I172" s="228" t="s">
        <v>370</v>
      </c>
      <c r="J172" s="228" t="s">
        <v>297</v>
      </c>
      <c r="K172" s="250" t="s">
        <v>205</v>
      </c>
      <c r="L172" s="250" t="s">
        <v>502</v>
      </c>
      <c r="M172" s="257"/>
      <c r="N172" s="250"/>
      <c r="P172" s="275"/>
      <c r="Q172" s="250"/>
      <c r="R172" s="250"/>
    </row>
    <row r="173" spans="1:18" s="228" customFormat="1" ht="13.8" x14ac:dyDescent="0.25">
      <c r="A173" s="249">
        <v>45071</v>
      </c>
      <c r="B173" s="261" t="s">
        <v>430</v>
      </c>
      <c r="C173" s="250" t="s">
        <v>384</v>
      </c>
      <c r="D173" s="236" t="s">
        <v>4</v>
      </c>
      <c r="E173" s="263"/>
      <c r="F173" s="217">
        <v>150000</v>
      </c>
      <c r="G173" s="217">
        <f t="shared" si="11"/>
        <v>20569863</v>
      </c>
      <c r="H173" s="259" t="s">
        <v>276</v>
      </c>
      <c r="I173" s="228" t="s">
        <v>361</v>
      </c>
      <c r="J173" s="250" t="s">
        <v>297</v>
      </c>
      <c r="K173" s="228" t="s">
        <v>206</v>
      </c>
      <c r="L173" s="228" t="s">
        <v>502</v>
      </c>
      <c r="M173" s="257" t="s">
        <v>598</v>
      </c>
      <c r="N173" s="228" t="s">
        <v>516</v>
      </c>
      <c r="P173" s="258"/>
    </row>
    <row r="174" spans="1:18" s="228" customFormat="1" ht="13.8" x14ac:dyDescent="0.25">
      <c r="A174" s="249">
        <v>45071</v>
      </c>
      <c r="B174" s="228" t="s">
        <v>422</v>
      </c>
      <c r="C174" s="250" t="s">
        <v>75</v>
      </c>
      <c r="E174" s="217">
        <v>128000</v>
      </c>
      <c r="F174" s="217"/>
      <c r="G174" s="217">
        <f t="shared" si="11"/>
        <v>20697863</v>
      </c>
      <c r="H174" s="228" t="s">
        <v>276</v>
      </c>
      <c r="N174" s="250"/>
      <c r="P174" s="275"/>
      <c r="Q174" s="250"/>
      <c r="R174" s="250"/>
    </row>
    <row r="175" spans="1:18" s="228" customFormat="1" ht="13.8" x14ac:dyDescent="0.25">
      <c r="A175" s="249">
        <v>45071</v>
      </c>
      <c r="B175" s="274" t="s">
        <v>445</v>
      </c>
      <c r="C175" s="250" t="s">
        <v>384</v>
      </c>
      <c r="D175" s="236" t="s">
        <v>4</v>
      </c>
      <c r="E175" s="304"/>
      <c r="F175" s="273">
        <v>75000</v>
      </c>
      <c r="G175" s="217">
        <f>+G174+E175-F175</f>
        <v>20622863</v>
      </c>
      <c r="H175" s="307" t="s">
        <v>29</v>
      </c>
      <c r="I175" s="228" t="s">
        <v>438</v>
      </c>
      <c r="J175" s="250" t="s">
        <v>297</v>
      </c>
      <c r="K175" s="228" t="s">
        <v>206</v>
      </c>
      <c r="L175" s="228" t="s">
        <v>502</v>
      </c>
      <c r="M175" s="257" t="s">
        <v>599</v>
      </c>
      <c r="N175" s="228" t="s">
        <v>516</v>
      </c>
      <c r="P175" s="258"/>
    </row>
    <row r="176" spans="1:18" s="228" customFormat="1" ht="13.8" x14ac:dyDescent="0.25">
      <c r="A176" s="249">
        <v>45071</v>
      </c>
      <c r="B176" s="228" t="s">
        <v>434</v>
      </c>
      <c r="C176" s="250" t="s">
        <v>75</v>
      </c>
      <c r="E176" s="217">
        <v>90000</v>
      </c>
      <c r="F176" s="262"/>
      <c r="G176" s="217">
        <f>+G175+E176-F176</f>
        <v>20712863</v>
      </c>
      <c r="H176" s="228" t="s">
        <v>29</v>
      </c>
      <c r="N176" s="250"/>
      <c r="P176" s="258"/>
    </row>
    <row r="177" spans="1:16" s="228" customFormat="1" ht="13.8" x14ac:dyDescent="0.25">
      <c r="A177" s="256">
        <v>45071</v>
      </c>
      <c r="B177" s="250" t="s">
        <v>457</v>
      </c>
      <c r="C177" s="250" t="s">
        <v>34</v>
      </c>
      <c r="D177" s="228" t="s">
        <v>161</v>
      </c>
      <c r="E177" s="250"/>
      <c r="F177" s="263">
        <v>10000</v>
      </c>
      <c r="G177" s="217">
        <f t="shared" ref="G177:G182" si="12">G176+E177-F177</f>
        <v>20702863</v>
      </c>
      <c r="H177" s="250" t="s">
        <v>204</v>
      </c>
      <c r="I177" s="228" t="s">
        <v>313</v>
      </c>
      <c r="J177" s="228" t="s">
        <v>297</v>
      </c>
      <c r="K177" s="228" t="s">
        <v>206</v>
      </c>
      <c r="L177" s="228" t="s">
        <v>502</v>
      </c>
      <c r="M177" s="257" t="s">
        <v>600</v>
      </c>
      <c r="N177" s="250" t="s">
        <v>515</v>
      </c>
      <c r="O177" s="250"/>
      <c r="P177" s="258"/>
    </row>
    <row r="178" spans="1:16" s="228" customFormat="1" ht="13.8" x14ac:dyDescent="0.25">
      <c r="A178" s="266">
        <v>45071</v>
      </c>
      <c r="B178" s="274" t="s">
        <v>521</v>
      </c>
      <c r="C178" s="250" t="s">
        <v>384</v>
      </c>
      <c r="D178" s="217" t="s">
        <v>161</v>
      </c>
      <c r="F178" s="309">
        <v>90000</v>
      </c>
      <c r="G178" s="217">
        <f t="shared" si="12"/>
        <v>20612863</v>
      </c>
      <c r="H178" s="259" t="s">
        <v>204</v>
      </c>
      <c r="I178" s="228" t="s">
        <v>370</v>
      </c>
      <c r="J178" s="250" t="s">
        <v>297</v>
      </c>
      <c r="K178" s="228" t="s">
        <v>206</v>
      </c>
      <c r="L178" s="228" t="s">
        <v>502</v>
      </c>
      <c r="M178" s="257" t="s">
        <v>601</v>
      </c>
      <c r="N178" s="228" t="s">
        <v>516</v>
      </c>
      <c r="P178" s="258"/>
    </row>
    <row r="179" spans="1:16" s="228" customFormat="1" ht="13.8" x14ac:dyDescent="0.25">
      <c r="A179" s="249">
        <v>45071</v>
      </c>
      <c r="B179" s="250" t="s">
        <v>459</v>
      </c>
      <c r="C179" s="250" t="s">
        <v>34</v>
      </c>
      <c r="D179" s="228" t="s">
        <v>162</v>
      </c>
      <c r="E179" s="250"/>
      <c r="F179" s="263">
        <v>10000</v>
      </c>
      <c r="G179" s="217">
        <f t="shared" si="12"/>
        <v>20602863</v>
      </c>
      <c r="H179" s="250" t="s">
        <v>31</v>
      </c>
      <c r="I179" s="228" t="s">
        <v>361</v>
      </c>
      <c r="J179" s="228" t="s">
        <v>297</v>
      </c>
      <c r="K179" s="228" t="s">
        <v>206</v>
      </c>
      <c r="L179" s="228" t="s">
        <v>502</v>
      </c>
      <c r="M179" s="257" t="s">
        <v>602</v>
      </c>
      <c r="N179" s="250" t="s">
        <v>515</v>
      </c>
      <c r="O179" s="250"/>
      <c r="P179" s="258"/>
    </row>
    <row r="180" spans="1:16" s="228" customFormat="1" ht="13.8" x14ac:dyDescent="0.25">
      <c r="A180" s="249">
        <v>45071</v>
      </c>
      <c r="B180" s="228" t="s">
        <v>460</v>
      </c>
      <c r="C180" s="250" t="s">
        <v>384</v>
      </c>
      <c r="D180" s="228" t="s">
        <v>162</v>
      </c>
      <c r="F180" s="304">
        <v>60000</v>
      </c>
      <c r="G180" s="217">
        <f t="shared" si="12"/>
        <v>20542863</v>
      </c>
      <c r="H180" s="228" t="s">
        <v>31</v>
      </c>
      <c r="I180" s="228" t="s">
        <v>370</v>
      </c>
      <c r="J180" s="250" t="s">
        <v>297</v>
      </c>
      <c r="K180" s="228" t="s">
        <v>206</v>
      </c>
      <c r="L180" s="228" t="s">
        <v>502</v>
      </c>
      <c r="M180" s="257" t="s">
        <v>603</v>
      </c>
      <c r="N180" s="228" t="s">
        <v>516</v>
      </c>
      <c r="P180" s="258"/>
    </row>
    <row r="181" spans="1:16" s="228" customFormat="1" ht="13.8" x14ac:dyDescent="0.25">
      <c r="A181" s="249">
        <v>45071</v>
      </c>
      <c r="B181" s="228" t="s">
        <v>470</v>
      </c>
      <c r="C181" s="228" t="s">
        <v>34</v>
      </c>
      <c r="D181" s="228" t="s">
        <v>161</v>
      </c>
      <c r="E181" s="305"/>
      <c r="F181" s="305">
        <v>10000</v>
      </c>
      <c r="G181" s="217">
        <f t="shared" si="12"/>
        <v>20532863</v>
      </c>
      <c r="H181" s="228" t="s">
        <v>263</v>
      </c>
      <c r="I181" s="224" t="s">
        <v>361</v>
      </c>
      <c r="J181" s="228" t="s">
        <v>297</v>
      </c>
      <c r="K181" s="228" t="s">
        <v>206</v>
      </c>
      <c r="L181" s="228" t="s">
        <v>502</v>
      </c>
      <c r="M181" s="257" t="s">
        <v>604</v>
      </c>
      <c r="N181" s="250" t="s">
        <v>515</v>
      </c>
      <c r="P181" s="258"/>
    </row>
    <row r="182" spans="1:16" s="228" customFormat="1" ht="13.8" x14ac:dyDescent="0.25">
      <c r="A182" s="249">
        <v>45071</v>
      </c>
      <c r="B182" s="228" t="s">
        <v>477</v>
      </c>
      <c r="C182" s="250" t="s">
        <v>384</v>
      </c>
      <c r="D182" s="228" t="s">
        <v>161</v>
      </c>
      <c r="E182" s="217"/>
      <c r="F182" s="217">
        <v>90000</v>
      </c>
      <c r="G182" s="217">
        <f t="shared" si="12"/>
        <v>20442863</v>
      </c>
      <c r="H182" s="228" t="s">
        <v>263</v>
      </c>
      <c r="I182" s="228" t="s">
        <v>313</v>
      </c>
      <c r="J182" s="250" t="s">
        <v>297</v>
      </c>
      <c r="K182" s="228" t="s">
        <v>206</v>
      </c>
      <c r="L182" s="228" t="s">
        <v>502</v>
      </c>
      <c r="M182" s="257" t="s">
        <v>605</v>
      </c>
      <c r="N182" s="228" t="s">
        <v>516</v>
      </c>
      <c r="P182" s="258"/>
    </row>
    <row r="183" spans="1:16" s="228" customFormat="1" ht="13.8" x14ac:dyDescent="0.25">
      <c r="A183" s="260">
        <v>45071</v>
      </c>
      <c r="B183" s="228" t="s">
        <v>492</v>
      </c>
      <c r="C183" s="250" t="s">
        <v>384</v>
      </c>
      <c r="D183" s="228" t="s">
        <v>2</v>
      </c>
      <c r="E183" s="217"/>
      <c r="F183" s="217">
        <v>90000</v>
      </c>
      <c r="G183" s="217">
        <f>+G182+E183-F183</f>
        <v>20352863</v>
      </c>
      <c r="H183" s="228" t="s">
        <v>47</v>
      </c>
      <c r="I183" s="228" t="s">
        <v>370</v>
      </c>
      <c r="J183" s="250" t="s">
        <v>297</v>
      </c>
      <c r="K183" s="228" t="s">
        <v>206</v>
      </c>
      <c r="L183" s="228" t="s">
        <v>502</v>
      </c>
      <c r="M183" s="257" t="s">
        <v>606</v>
      </c>
      <c r="N183" s="228" t="s">
        <v>516</v>
      </c>
      <c r="P183" s="258"/>
    </row>
    <row r="184" spans="1:16" s="228" customFormat="1" ht="13.8" x14ac:dyDescent="0.25">
      <c r="A184" s="249">
        <v>45071</v>
      </c>
      <c r="B184" s="261" t="s">
        <v>493</v>
      </c>
      <c r="C184" s="250" t="s">
        <v>34</v>
      </c>
      <c r="D184" s="236" t="s">
        <v>2</v>
      </c>
      <c r="F184" s="217">
        <v>10000</v>
      </c>
      <c r="G184" s="217">
        <f>+G183+E184-F184</f>
        <v>20342863</v>
      </c>
      <c r="H184" s="228" t="s">
        <v>47</v>
      </c>
      <c r="I184" s="228" t="s">
        <v>313</v>
      </c>
      <c r="J184" s="228" t="s">
        <v>297</v>
      </c>
      <c r="K184" s="228" t="s">
        <v>206</v>
      </c>
      <c r="L184" s="228" t="s">
        <v>502</v>
      </c>
      <c r="M184" s="257" t="s">
        <v>607</v>
      </c>
      <c r="N184" s="250" t="s">
        <v>515</v>
      </c>
      <c r="P184" s="258"/>
    </row>
    <row r="185" spans="1:16" s="228" customFormat="1" ht="13.8" x14ac:dyDescent="0.25">
      <c r="A185" s="256">
        <v>45072</v>
      </c>
      <c r="B185" s="228" t="s">
        <v>373</v>
      </c>
      <c r="C185" s="228" t="s">
        <v>75</v>
      </c>
      <c r="E185" s="217"/>
      <c r="F185" s="217">
        <v>40000</v>
      </c>
      <c r="G185" s="217">
        <f t="shared" ref="G185:G190" si="13">G184+E185-F185</f>
        <v>20302863</v>
      </c>
      <c r="H185" s="228" t="s">
        <v>150</v>
      </c>
      <c r="P185" s="258"/>
    </row>
    <row r="186" spans="1:16" s="228" customFormat="1" ht="13.8" x14ac:dyDescent="0.25">
      <c r="A186" s="249">
        <v>45072</v>
      </c>
      <c r="B186" s="250" t="s">
        <v>374</v>
      </c>
      <c r="C186" s="250" t="s">
        <v>75</v>
      </c>
      <c r="E186" s="250"/>
      <c r="F186" s="263">
        <v>40000</v>
      </c>
      <c r="G186" s="217">
        <f t="shared" si="13"/>
        <v>20262863</v>
      </c>
      <c r="H186" s="250" t="s">
        <v>150</v>
      </c>
      <c r="M186" s="257"/>
      <c r="N186" s="250"/>
      <c r="O186" s="250"/>
      <c r="P186" s="258"/>
    </row>
    <row r="187" spans="1:16" s="228" customFormat="1" ht="13.8" x14ac:dyDescent="0.25">
      <c r="A187" s="249">
        <v>45072</v>
      </c>
      <c r="B187" s="228" t="s">
        <v>375</v>
      </c>
      <c r="C187" s="250" t="s">
        <v>75</v>
      </c>
      <c r="F187" s="228">
        <v>40000</v>
      </c>
      <c r="G187" s="217">
        <f t="shared" si="13"/>
        <v>20222863</v>
      </c>
      <c r="H187" s="228" t="s">
        <v>150</v>
      </c>
      <c r="K187" s="250"/>
      <c r="L187" s="250"/>
      <c r="N187" s="250"/>
      <c r="P187" s="258"/>
    </row>
    <row r="188" spans="1:16" s="228" customFormat="1" ht="13.8" x14ac:dyDescent="0.25">
      <c r="A188" s="249">
        <v>45072</v>
      </c>
      <c r="B188" s="261" t="s">
        <v>421</v>
      </c>
      <c r="C188" s="236" t="s">
        <v>34</v>
      </c>
      <c r="D188" s="236" t="s">
        <v>4</v>
      </c>
      <c r="F188" s="217">
        <v>53800</v>
      </c>
      <c r="G188" s="217">
        <f t="shared" si="13"/>
        <v>20169063</v>
      </c>
      <c r="H188" s="263" t="s">
        <v>277</v>
      </c>
      <c r="I188" s="228" t="s">
        <v>370</v>
      </c>
      <c r="J188" s="228" t="s">
        <v>297</v>
      </c>
      <c r="K188" s="228" t="s">
        <v>206</v>
      </c>
      <c r="L188" s="228" t="s">
        <v>502</v>
      </c>
      <c r="M188" s="257" t="s">
        <v>608</v>
      </c>
      <c r="N188" s="250" t="s">
        <v>515</v>
      </c>
      <c r="P188" s="258"/>
    </row>
    <row r="189" spans="1:16" s="228" customFormat="1" ht="13.8" x14ac:dyDescent="0.25">
      <c r="A189" s="266">
        <v>45072</v>
      </c>
      <c r="B189" s="228" t="s">
        <v>431</v>
      </c>
      <c r="C189" s="228" t="s">
        <v>34</v>
      </c>
      <c r="D189" s="236" t="s">
        <v>4</v>
      </c>
      <c r="E189" s="217"/>
      <c r="F189" s="217">
        <v>69400</v>
      </c>
      <c r="G189" s="217">
        <f t="shared" si="13"/>
        <v>20099663</v>
      </c>
      <c r="H189" s="228" t="s">
        <v>276</v>
      </c>
      <c r="I189" s="228" t="s">
        <v>370</v>
      </c>
      <c r="J189" s="228" t="s">
        <v>297</v>
      </c>
      <c r="K189" s="228" t="s">
        <v>206</v>
      </c>
      <c r="L189" s="228" t="s">
        <v>502</v>
      </c>
      <c r="M189" s="257" t="s">
        <v>609</v>
      </c>
      <c r="N189" s="250" t="s">
        <v>515</v>
      </c>
      <c r="P189" s="258"/>
    </row>
    <row r="190" spans="1:16" s="228" customFormat="1" ht="13.8" x14ac:dyDescent="0.25">
      <c r="A190" s="266">
        <v>45072</v>
      </c>
      <c r="B190" s="228" t="s">
        <v>432</v>
      </c>
      <c r="C190" s="236" t="s">
        <v>420</v>
      </c>
      <c r="D190" s="236" t="s">
        <v>4</v>
      </c>
      <c r="E190" s="217"/>
      <c r="F190" s="217">
        <v>52000</v>
      </c>
      <c r="G190" s="217">
        <f t="shared" si="13"/>
        <v>20047663</v>
      </c>
      <c r="H190" s="228" t="s">
        <v>276</v>
      </c>
      <c r="I190" s="228" t="s">
        <v>370</v>
      </c>
      <c r="J190" s="228" t="s">
        <v>297</v>
      </c>
      <c r="K190" s="250" t="s">
        <v>205</v>
      </c>
      <c r="L190" s="250" t="s">
        <v>502</v>
      </c>
      <c r="P190" s="258"/>
    </row>
    <row r="191" spans="1:16" s="228" customFormat="1" ht="13.8" x14ac:dyDescent="0.25">
      <c r="A191" s="249">
        <v>45072</v>
      </c>
      <c r="B191" s="228" t="s">
        <v>434</v>
      </c>
      <c r="C191" s="250" t="s">
        <v>75</v>
      </c>
      <c r="E191" s="217">
        <v>40000</v>
      </c>
      <c r="F191" s="262"/>
      <c r="G191" s="217">
        <f>+G190+E191-F191</f>
        <v>20087663</v>
      </c>
      <c r="H191" s="228" t="s">
        <v>29</v>
      </c>
      <c r="P191" s="258"/>
    </row>
    <row r="192" spans="1:16" s="228" customFormat="1" ht="13.8" x14ac:dyDescent="0.25">
      <c r="A192" s="249">
        <v>45072</v>
      </c>
      <c r="B192" s="250" t="s">
        <v>461</v>
      </c>
      <c r="C192" s="250" t="s">
        <v>246</v>
      </c>
      <c r="D192" s="228" t="s">
        <v>312</v>
      </c>
      <c r="E192" s="250"/>
      <c r="F192" s="250">
        <v>250</v>
      </c>
      <c r="G192" s="217">
        <f>G191+E192-F192</f>
        <v>20087413</v>
      </c>
      <c r="H192" s="250" t="s">
        <v>31</v>
      </c>
      <c r="I192" s="228" t="s">
        <v>361</v>
      </c>
      <c r="J192" s="228" t="s">
        <v>297</v>
      </c>
      <c r="K192" s="259" t="s">
        <v>205</v>
      </c>
      <c r="L192" s="228" t="s">
        <v>502</v>
      </c>
      <c r="N192" s="250"/>
      <c r="O192" s="250"/>
      <c r="P192" s="258"/>
    </row>
    <row r="193" spans="1:16" s="228" customFormat="1" ht="13.8" x14ac:dyDescent="0.25">
      <c r="A193" s="249">
        <v>45072</v>
      </c>
      <c r="B193" s="250" t="s">
        <v>478</v>
      </c>
      <c r="C193" s="250" t="s">
        <v>454</v>
      </c>
      <c r="D193" s="228" t="s">
        <v>161</v>
      </c>
      <c r="E193" s="250"/>
      <c r="F193" s="250">
        <v>27410</v>
      </c>
      <c r="G193" s="217">
        <f>G192+E193-F193</f>
        <v>20060003</v>
      </c>
      <c r="H193" s="250" t="s">
        <v>263</v>
      </c>
      <c r="I193" s="228" t="s">
        <v>361</v>
      </c>
      <c r="J193" s="250" t="s">
        <v>297</v>
      </c>
      <c r="K193" s="228" t="s">
        <v>205</v>
      </c>
      <c r="L193" s="228" t="s">
        <v>502</v>
      </c>
      <c r="N193" s="250"/>
      <c r="O193" s="250"/>
      <c r="P193" s="258"/>
    </row>
    <row r="194" spans="1:16" s="228" customFormat="1" ht="13.8" x14ac:dyDescent="0.25">
      <c r="A194" s="249">
        <v>45072</v>
      </c>
      <c r="B194" s="228" t="s">
        <v>494</v>
      </c>
      <c r="C194" s="228" t="s">
        <v>75</v>
      </c>
      <c r="E194" s="217">
        <v>40000</v>
      </c>
      <c r="F194" s="217"/>
      <c r="G194" s="217">
        <f>+G193+E194-F194</f>
        <v>20100003</v>
      </c>
      <c r="H194" s="228" t="s">
        <v>47</v>
      </c>
      <c r="J194" s="250"/>
      <c r="K194" s="250"/>
      <c r="L194" s="250"/>
      <c r="N194" s="250"/>
      <c r="P194" s="258"/>
    </row>
    <row r="195" spans="1:16" s="228" customFormat="1" ht="13.8" x14ac:dyDescent="0.25">
      <c r="A195" s="266">
        <v>45073</v>
      </c>
      <c r="B195" s="228" t="s">
        <v>376</v>
      </c>
      <c r="C195" s="250" t="s">
        <v>384</v>
      </c>
      <c r="D195" s="228" t="s">
        <v>377</v>
      </c>
      <c r="F195" s="228">
        <v>6000</v>
      </c>
      <c r="G195" s="217">
        <f>G194+E195-F195</f>
        <v>20094003</v>
      </c>
      <c r="H195" s="250" t="s">
        <v>150</v>
      </c>
      <c r="I195" s="228" t="s">
        <v>361</v>
      </c>
      <c r="J195" s="228" t="s">
        <v>297</v>
      </c>
      <c r="K195" s="259" t="s">
        <v>205</v>
      </c>
      <c r="L195" s="228" t="s">
        <v>502</v>
      </c>
      <c r="M195" s="257"/>
      <c r="N195" s="250"/>
      <c r="P195" s="258"/>
    </row>
    <row r="196" spans="1:16" s="228" customFormat="1" ht="13.8" x14ac:dyDescent="0.25">
      <c r="A196" s="249">
        <v>45073</v>
      </c>
      <c r="B196" s="228" t="s">
        <v>373</v>
      </c>
      <c r="C196" s="250" t="s">
        <v>75</v>
      </c>
      <c r="E196" s="217"/>
      <c r="F196" s="217">
        <v>100000</v>
      </c>
      <c r="G196" s="217">
        <f>G195+E196-F196</f>
        <v>19994003</v>
      </c>
      <c r="H196" s="228" t="s">
        <v>150</v>
      </c>
      <c r="J196" s="250"/>
      <c r="K196" s="250"/>
      <c r="L196" s="250"/>
      <c r="N196" s="250"/>
      <c r="P196" s="258"/>
    </row>
    <row r="197" spans="1:16" s="228" customFormat="1" ht="13.8" x14ac:dyDescent="0.25">
      <c r="A197" s="266">
        <v>45073</v>
      </c>
      <c r="B197" s="228" t="s">
        <v>385</v>
      </c>
      <c r="C197" s="250" t="s">
        <v>34</v>
      </c>
      <c r="D197" s="228" t="s">
        <v>312</v>
      </c>
      <c r="F197" s="228">
        <v>60000</v>
      </c>
      <c r="G197" s="217">
        <f>G196+E197-F197</f>
        <v>19934003</v>
      </c>
      <c r="H197" s="228" t="s">
        <v>93</v>
      </c>
      <c r="I197" s="224" t="s">
        <v>361</v>
      </c>
      <c r="J197" s="228" t="s">
        <v>297</v>
      </c>
      <c r="K197" s="259" t="s">
        <v>205</v>
      </c>
      <c r="L197" s="228" t="s">
        <v>502</v>
      </c>
      <c r="M197" s="257"/>
      <c r="N197" s="250"/>
      <c r="P197" s="258"/>
    </row>
    <row r="198" spans="1:16" s="228" customFormat="1" ht="13.8" x14ac:dyDescent="0.25">
      <c r="A198" s="249">
        <v>45073</v>
      </c>
      <c r="B198" s="250" t="s">
        <v>433</v>
      </c>
      <c r="C198" s="250" t="s">
        <v>75</v>
      </c>
      <c r="D198" s="250"/>
      <c r="E198" s="250">
        <v>40000</v>
      </c>
      <c r="F198" s="250"/>
      <c r="G198" s="217">
        <f>G197+E198-F198</f>
        <v>19974003</v>
      </c>
      <c r="H198" s="250" t="s">
        <v>276</v>
      </c>
      <c r="J198" s="250"/>
      <c r="K198" s="250"/>
      <c r="L198" s="250"/>
      <c r="N198" s="250"/>
      <c r="O198" s="250"/>
      <c r="P198" s="258"/>
    </row>
    <row r="199" spans="1:16" s="228" customFormat="1" ht="13.8" x14ac:dyDescent="0.25">
      <c r="A199" s="260">
        <v>45073</v>
      </c>
      <c r="B199" s="310" t="s">
        <v>517</v>
      </c>
      <c r="C199" s="250" t="s">
        <v>384</v>
      </c>
      <c r="D199" s="228" t="s">
        <v>377</v>
      </c>
      <c r="F199" s="273">
        <v>80000</v>
      </c>
      <c r="G199" s="217">
        <f>G198+E199-F199</f>
        <v>19894003</v>
      </c>
      <c r="H199" s="274" t="s">
        <v>276</v>
      </c>
      <c r="I199" s="228" t="s">
        <v>361</v>
      </c>
      <c r="J199" s="228" t="s">
        <v>102</v>
      </c>
      <c r="K199" s="259" t="s">
        <v>206</v>
      </c>
      <c r="L199" s="228" t="s">
        <v>502</v>
      </c>
      <c r="M199" s="257" t="s">
        <v>610</v>
      </c>
      <c r="N199" s="250" t="s">
        <v>516</v>
      </c>
      <c r="P199" s="258"/>
    </row>
    <row r="200" spans="1:16" s="228" customFormat="1" ht="13.8" x14ac:dyDescent="0.25">
      <c r="A200" s="249">
        <v>45073</v>
      </c>
      <c r="B200" s="228" t="s">
        <v>446</v>
      </c>
      <c r="C200" s="250" t="s">
        <v>384</v>
      </c>
      <c r="D200" s="228" t="s">
        <v>377</v>
      </c>
      <c r="E200" s="217"/>
      <c r="F200" s="217">
        <v>80000</v>
      </c>
      <c r="G200" s="217">
        <f>+G199+E200-F200</f>
        <v>19814003</v>
      </c>
      <c r="H200" s="228" t="s">
        <v>29</v>
      </c>
      <c r="I200" s="228" t="s">
        <v>438</v>
      </c>
      <c r="J200" s="228" t="s">
        <v>102</v>
      </c>
      <c r="K200" s="259" t="s">
        <v>206</v>
      </c>
      <c r="L200" s="228" t="s">
        <v>502</v>
      </c>
      <c r="M200" s="257" t="s">
        <v>611</v>
      </c>
      <c r="N200" s="250" t="s">
        <v>516</v>
      </c>
      <c r="P200" s="258"/>
    </row>
    <row r="201" spans="1:16" s="228" customFormat="1" ht="13.8" x14ac:dyDescent="0.25">
      <c r="A201" s="249">
        <v>45073</v>
      </c>
      <c r="B201" s="228" t="s">
        <v>447</v>
      </c>
      <c r="C201" s="250" t="s">
        <v>34</v>
      </c>
      <c r="D201" s="236" t="s">
        <v>4</v>
      </c>
      <c r="E201" s="217"/>
      <c r="F201" s="217">
        <v>42200</v>
      </c>
      <c r="G201" s="217">
        <f>+G200+E201-F201</f>
        <v>19771803</v>
      </c>
      <c r="H201" s="228" t="s">
        <v>29</v>
      </c>
      <c r="I201" s="228" t="s">
        <v>370</v>
      </c>
      <c r="J201" s="228" t="s">
        <v>297</v>
      </c>
      <c r="K201" s="228" t="s">
        <v>206</v>
      </c>
      <c r="L201" s="228" t="s">
        <v>502</v>
      </c>
      <c r="M201" s="257" t="s">
        <v>612</v>
      </c>
      <c r="N201" s="250" t="s">
        <v>515</v>
      </c>
      <c r="P201" s="258"/>
    </row>
    <row r="202" spans="1:16" s="228" customFormat="1" ht="13.8" x14ac:dyDescent="0.25">
      <c r="A202" s="249">
        <v>45073</v>
      </c>
      <c r="B202" s="250" t="s">
        <v>448</v>
      </c>
      <c r="C202" s="236" t="s">
        <v>420</v>
      </c>
      <c r="D202" s="236" t="s">
        <v>4</v>
      </c>
      <c r="E202" s="250"/>
      <c r="F202" s="250">
        <v>55000</v>
      </c>
      <c r="G202" s="217">
        <f>+G201+E202-F202</f>
        <v>19716803</v>
      </c>
      <c r="H202" s="250" t="s">
        <v>29</v>
      </c>
      <c r="I202" s="228" t="s">
        <v>370</v>
      </c>
      <c r="J202" s="228" t="s">
        <v>297</v>
      </c>
      <c r="K202" s="250" t="s">
        <v>205</v>
      </c>
      <c r="L202" s="250" t="s">
        <v>502</v>
      </c>
      <c r="N202" s="250"/>
      <c r="O202" s="250"/>
      <c r="P202" s="258"/>
    </row>
    <row r="203" spans="1:16" s="228" customFormat="1" ht="13.8" x14ac:dyDescent="0.25">
      <c r="A203" s="256">
        <v>45073</v>
      </c>
      <c r="B203" s="250" t="s">
        <v>451</v>
      </c>
      <c r="C203" s="250" t="s">
        <v>384</v>
      </c>
      <c r="D203" s="228" t="s">
        <v>377</v>
      </c>
      <c r="E203" s="250"/>
      <c r="F203" s="267">
        <v>4900</v>
      </c>
      <c r="G203" s="217">
        <f>G202+E203-F203</f>
        <v>19711903</v>
      </c>
      <c r="H203" s="250" t="s">
        <v>204</v>
      </c>
      <c r="I203" s="228" t="s">
        <v>313</v>
      </c>
      <c r="J203" s="228" t="s">
        <v>297</v>
      </c>
      <c r="K203" s="259" t="s">
        <v>205</v>
      </c>
      <c r="L203" s="228" t="s">
        <v>502</v>
      </c>
      <c r="M203" s="257"/>
      <c r="N203" s="250"/>
      <c r="O203" s="250"/>
      <c r="P203" s="258"/>
    </row>
    <row r="204" spans="1:16" s="228" customFormat="1" ht="13.8" x14ac:dyDescent="0.25">
      <c r="A204" s="249">
        <v>45073</v>
      </c>
      <c r="B204" s="250" t="s">
        <v>462</v>
      </c>
      <c r="C204" s="250" t="s">
        <v>384</v>
      </c>
      <c r="D204" s="228" t="s">
        <v>377</v>
      </c>
      <c r="F204" s="305">
        <v>4800</v>
      </c>
      <c r="G204" s="217">
        <f>G203+E204-F204</f>
        <v>19707103</v>
      </c>
      <c r="H204" s="228" t="s">
        <v>31</v>
      </c>
      <c r="I204" s="228" t="s">
        <v>361</v>
      </c>
      <c r="J204" s="228" t="s">
        <v>297</v>
      </c>
      <c r="K204" s="259" t="s">
        <v>205</v>
      </c>
      <c r="L204" s="228" t="s">
        <v>502</v>
      </c>
      <c r="M204" s="257"/>
      <c r="N204" s="250"/>
      <c r="P204" s="258"/>
    </row>
    <row r="205" spans="1:16" s="228" customFormat="1" ht="13.8" x14ac:dyDescent="0.25">
      <c r="A205" s="249">
        <v>45073</v>
      </c>
      <c r="B205" s="228" t="s">
        <v>480</v>
      </c>
      <c r="C205" s="250" t="s">
        <v>384</v>
      </c>
      <c r="D205" s="228" t="s">
        <v>377</v>
      </c>
      <c r="E205" s="217"/>
      <c r="F205" s="262">
        <v>9750</v>
      </c>
      <c r="G205" s="217">
        <f>G204+E205-F205</f>
        <v>19697353</v>
      </c>
      <c r="H205" s="228" t="s">
        <v>263</v>
      </c>
      <c r="I205" s="228" t="s">
        <v>361</v>
      </c>
      <c r="J205" s="228" t="s">
        <v>297</v>
      </c>
      <c r="K205" s="259" t="s">
        <v>205</v>
      </c>
      <c r="L205" s="228" t="s">
        <v>502</v>
      </c>
      <c r="M205" s="257"/>
      <c r="N205" s="250"/>
      <c r="P205" s="258"/>
    </row>
    <row r="206" spans="1:16" s="228" customFormat="1" ht="13.8" x14ac:dyDescent="0.25">
      <c r="A206" s="249">
        <v>45073</v>
      </c>
      <c r="B206" s="250" t="s">
        <v>481</v>
      </c>
      <c r="C206" s="250" t="s">
        <v>34</v>
      </c>
      <c r="D206" s="228" t="s">
        <v>377</v>
      </c>
      <c r="E206" s="250"/>
      <c r="F206" s="250">
        <v>25000</v>
      </c>
      <c r="G206" s="217">
        <f>G205+E206-F206</f>
        <v>19672353</v>
      </c>
      <c r="H206" s="250" t="s">
        <v>263</v>
      </c>
      <c r="I206" s="228" t="s">
        <v>361</v>
      </c>
      <c r="J206" s="228" t="s">
        <v>297</v>
      </c>
      <c r="K206" s="259" t="s">
        <v>205</v>
      </c>
      <c r="L206" s="228" t="s">
        <v>502</v>
      </c>
      <c r="M206" s="257"/>
      <c r="N206" s="250"/>
      <c r="O206" s="250"/>
      <c r="P206" s="258"/>
    </row>
    <row r="207" spans="1:16" s="228" customFormat="1" ht="13.8" x14ac:dyDescent="0.25">
      <c r="A207" s="249">
        <v>45073</v>
      </c>
      <c r="B207" s="228" t="s">
        <v>495</v>
      </c>
      <c r="C207" s="250" t="s">
        <v>384</v>
      </c>
      <c r="D207" s="228" t="s">
        <v>377</v>
      </c>
      <c r="E207" s="217"/>
      <c r="F207" s="217">
        <v>80000</v>
      </c>
      <c r="G207" s="217">
        <f>+G206+E207-F207</f>
        <v>19592353</v>
      </c>
      <c r="H207" s="228" t="s">
        <v>47</v>
      </c>
      <c r="I207" s="228" t="s">
        <v>313</v>
      </c>
      <c r="J207" s="228" t="s">
        <v>297</v>
      </c>
      <c r="K207" s="259" t="s">
        <v>206</v>
      </c>
      <c r="L207" s="228" t="s">
        <v>502</v>
      </c>
      <c r="M207" s="257" t="s">
        <v>613</v>
      </c>
      <c r="N207" s="250" t="s">
        <v>516</v>
      </c>
      <c r="P207" s="258"/>
    </row>
    <row r="208" spans="1:16" s="228" customFormat="1" ht="13.8" x14ac:dyDescent="0.25">
      <c r="A208" s="256">
        <v>45073</v>
      </c>
      <c r="B208" s="228" t="s">
        <v>518</v>
      </c>
      <c r="C208" s="250" t="s">
        <v>384</v>
      </c>
      <c r="D208" s="228" t="s">
        <v>161</v>
      </c>
      <c r="F208" s="217">
        <v>40000</v>
      </c>
      <c r="G208" s="217">
        <f>+G207+E208-F208</f>
        <v>19552353</v>
      </c>
      <c r="H208" s="228" t="s">
        <v>47</v>
      </c>
      <c r="I208" s="228" t="s">
        <v>313</v>
      </c>
      <c r="J208" s="250" t="s">
        <v>297</v>
      </c>
      <c r="K208" s="259" t="s">
        <v>205</v>
      </c>
      <c r="L208" s="228" t="s">
        <v>502</v>
      </c>
      <c r="P208" s="258"/>
    </row>
    <row r="209" spans="1:16" s="228" customFormat="1" ht="13.8" x14ac:dyDescent="0.25">
      <c r="A209" s="249">
        <v>45073</v>
      </c>
      <c r="B209" s="228" t="s">
        <v>496</v>
      </c>
      <c r="C209" s="250" t="s">
        <v>384</v>
      </c>
      <c r="D209" s="228" t="s">
        <v>377</v>
      </c>
      <c r="F209" s="304">
        <v>9500</v>
      </c>
      <c r="G209" s="217">
        <f>+G208+E209-F209</f>
        <v>19542853</v>
      </c>
      <c r="H209" s="228" t="s">
        <v>47</v>
      </c>
      <c r="I209" s="228" t="s">
        <v>313</v>
      </c>
      <c r="J209" s="228" t="s">
        <v>297</v>
      </c>
      <c r="K209" s="259" t="s">
        <v>205</v>
      </c>
      <c r="L209" s="228" t="s">
        <v>502</v>
      </c>
      <c r="M209" s="257"/>
      <c r="N209" s="250"/>
      <c r="P209" s="258"/>
    </row>
    <row r="210" spans="1:16" s="228" customFormat="1" ht="13.8" x14ac:dyDescent="0.25">
      <c r="A210" s="249">
        <v>45073</v>
      </c>
      <c r="B210" s="228" t="s">
        <v>497</v>
      </c>
      <c r="C210" s="250" t="s">
        <v>75</v>
      </c>
      <c r="E210" s="217">
        <v>100000</v>
      </c>
      <c r="F210" s="217"/>
      <c r="G210" s="217">
        <f>+G209+E210-F210</f>
        <v>19642853</v>
      </c>
      <c r="H210" s="228" t="s">
        <v>47</v>
      </c>
      <c r="J210" s="250"/>
      <c r="K210" s="250"/>
      <c r="L210" s="250"/>
      <c r="N210" s="250"/>
      <c r="P210" s="258"/>
    </row>
    <row r="211" spans="1:16" s="228" customFormat="1" ht="13.8" x14ac:dyDescent="0.25">
      <c r="A211" s="249">
        <v>45074</v>
      </c>
      <c r="B211" s="228" t="s">
        <v>479</v>
      </c>
      <c r="C211" s="250" t="s">
        <v>384</v>
      </c>
      <c r="D211" s="228" t="s">
        <v>377</v>
      </c>
      <c r="F211" s="273">
        <v>45000</v>
      </c>
      <c r="G211" s="217">
        <f>G210+E211-F211</f>
        <v>19597853</v>
      </c>
      <c r="H211" s="228" t="s">
        <v>263</v>
      </c>
      <c r="I211" s="228" t="s">
        <v>361</v>
      </c>
      <c r="J211" s="228" t="s">
        <v>297</v>
      </c>
      <c r="K211" s="259" t="s">
        <v>205</v>
      </c>
      <c r="L211" s="228" t="s">
        <v>502</v>
      </c>
      <c r="M211" s="257"/>
      <c r="N211" s="250"/>
      <c r="P211" s="258"/>
    </row>
    <row r="212" spans="1:16" s="228" customFormat="1" ht="13.8" x14ac:dyDescent="0.25">
      <c r="A212" s="249">
        <v>45074</v>
      </c>
      <c r="B212" s="228" t="s">
        <v>380</v>
      </c>
      <c r="C212" s="250" t="s">
        <v>384</v>
      </c>
      <c r="D212" s="228" t="s">
        <v>377</v>
      </c>
      <c r="E212" s="217"/>
      <c r="F212" s="217">
        <v>45000</v>
      </c>
      <c r="G212" s="217">
        <f>G211+E212-F212</f>
        <v>19552853</v>
      </c>
      <c r="H212" s="228" t="s">
        <v>150</v>
      </c>
      <c r="I212" s="228" t="s">
        <v>361</v>
      </c>
      <c r="J212" s="228" t="s">
        <v>297</v>
      </c>
      <c r="K212" s="259" t="s">
        <v>205</v>
      </c>
      <c r="L212" s="228" t="s">
        <v>502</v>
      </c>
      <c r="M212" s="257"/>
      <c r="N212" s="250"/>
      <c r="P212" s="258"/>
    </row>
    <row r="213" spans="1:16" s="228" customFormat="1" ht="13.8" x14ac:dyDescent="0.25">
      <c r="A213" s="249">
        <v>45074</v>
      </c>
      <c r="B213" s="261" t="s">
        <v>386</v>
      </c>
      <c r="C213" s="250" t="s">
        <v>384</v>
      </c>
      <c r="D213" s="228" t="s">
        <v>377</v>
      </c>
      <c r="E213" s="263"/>
      <c r="F213" s="263">
        <v>45000</v>
      </c>
      <c r="G213" s="217">
        <f>G212+E213-F213</f>
        <v>19507853</v>
      </c>
      <c r="H213" s="259" t="s">
        <v>93</v>
      </c>
      <c r="I213" s="228" t="s">
        <v>361</v>
      </c>
      <c r="J213" s="228" t="s">
        <v>297</v>
      </c>
      <c r="K213" s="259" t="s">
        <v>205</v>
      </c>
      <c r="L213" s="228" t="s">
        <v>502</v>
      </c>
      <c r="M213" s="257"/>
      <c r="N213" s="250"/>
      <c r="P213" s="258"/>
    </row>
    <row r="214" spans="1:16" s="228" customFormat="1" ht="13.8" x14ac:dyDescent="0.25">
      <c r="A214" s="260">
        <v>45074</v>
      </c>
      <c r="B214" s="310" t="s">
        <v>519</v>
      </c>
      <c r="C214" s="250" t="s">
        <v>384</v>
      </c>
      <c r="D214" s="228" t="s">
        <v>4</v>
      </c>
      <c r="E214" s="310"/>
      <c r="F214" s="310">
        <v>40000</v>
      </c>
      <c r="G214" s="217">
        <f>G213+E214-F214</f>
        <v>19467853</v>
      </c>
      <c r="H214" s="274" t="s">
        <v>276</v>
      </c>
      <c r="I214" s="228" t="s">
        <v>361</v>
      </c>
      <c r="J214" s="250" t="s">
        <v>297</v>
      </c>
      <c r="K214" s="259" t="s">
        <v>205</v>
      </c>
      <c r="L214" s="228" t="s">
        <v>502</v>
      </c>
      <c r="O214" s="310"/>
      <c r="P214" s="258"/>
    </row>
    <row r="215" spans="1:16" s="228" customFormat="1" ht="13.8" x14ac:dyDescent="0.25">
      <c r="A215" s="260">
        <v>45074</v>
      </c>
      <c r="B215" s="228" t="s">
        <v>520</v>
      </c>
      <c r="C215" s="250" t="s">
        <v>384</v>
      </c>
      <c r="D215" s="228" t="s">
        <v>377</v>
      </c>
      <c r="E215" s="217"/>
      <c r="F215" s="217">
        <v>40000</v>
      </c>
      <c r="G215" s="217">
        <f>+G214+E215-F215</f>
        <v>19427853</v>
      </c>
      <c r="H215" s="228" t="s">
        <v>29</v>
      </c>
      <c r="I215" s="228" t="s">
        <v>361</v>
      </c>
      <c r="J215" s="250" t="s">
        <v>297</v>
      </c>
      <c r="K215" s="259" t="s">
        <v>205</v>
      </c>
      <c r="L215" s="228" t="s">
        <v>502</v>
      </c>
      <c r="O215" s="238"/>
      <c r="P215" s="258"/>
    </row>
    <row r="216" spans="1:16" s="228" customFormat="1" ht="13.8" x14ac:dyDescent="0.25">
      <c r="A216" s="266">
        <v>45074</v>
      </c>
      <c r="B216" s="228" t="s">
        <v>452</v>
      </c>
      <c r="C216" s="250" t="s">
        <v>384</v>
      </c>
      <c r="D216" s="228" t="s">
        <v>377</v>
      </c>
      <c r="E216" s="217"/>
      <c r="F216" s="262">
        <v>45000</v>
      </c>
      <c r="G216" s="217">
        <f>G215+E216-F216</f>
        <v>19382853</v>
      </c>
      <c r="H216" s="228" t="s">
        <v>204</v>
      </c>
      <c r="I216" s="228" t="s">
        <v>313</v>
      </c>
      <c r="J216" s="228" t="s">
        <v>297</v>
      </c>
      <c r="K216" s="259" t="s">
        <v>205</v>
      </c>
      <c r="L216" s="228" t="s">
        <v>502</v>
      </c>
      <c r="M216" s="257"/>
      <c r="N216" s="250"/>
      <c r="P216" s="258"/>
    </row>
    <row r="217" spans="1:16" s="250" customFormat="1" ht="13.8" x14ac:dyDescent="0.25">
      <c r="A217" s="249">
        <v>45074</v>
      </c>
      <c r="B217" s="250" t="s">
        <v>463</v>
      </c>
      <c r="C217" s="250" t="s">
        <v>384</v>
      </c>
      <c r="D217" s="228" t="s">
        <v>377</v>
      </c>
      <c r="F217" s="250">
        <v>45000</v>
      </c>
      <c r="G217" s="217">
        <f>G216+E217-F217</f>
        <v>19337853</v>
      </c>
      <c r="H217" s="250" t="s">
        <v>31</v>
      </c>
      <c r="I217" s="228" t="s">
        <v>361</v>
      </c>
      <c r="J217" s="228" t="s">
        <v>297</v>
      </c>
      <c r="K217" s="259" t="s">
        <v>205</v>
      </c>
      <c r="L217" s="228" t="s">
        <v>502</v>
      </c>
      <c r="M217" s="257"/>
      <c r="P217" s="275"/>
    </row>
    <row r="218" spans="1:16" s="250" customFormat="1" ht="13.8" x14ac:dyDescent="0.25">
      <c r="A218" s="271">
        <v>45075</v>
      </c>
      <c r="B218" s="228" t="s">
        <v>369</v>
      </c>
      <c r="C218" s="272" t="s">
        <v>34</v>
      </c>
      <c r="D218" s="272" t="s">
        <v>2</v>
      </c>
      <c r="E218" s="228"/>
      <c r="F218" s="273">
        <v>10000</v>
      </c>
      <c r="G218" s="217">
        <f>G217+E218-F218</f>
        <v>19327853</v>
      </c>
      <c r="H218" s="274" t="s">
        <v>113</v>
      </c>
      <c r="I218" s="228" t="s">
        <v>370</v>
      </c>
      <c r="J218" s="228" t="s">
        <v>297</v>
      </c>
      <c r="K218" s="228" t="s">
        <v>206</v>
      </c>
      <c r="L218" s="228" t="s">
        <v>502</v>
      </c>
      <c r="M218" s="257" t="s">
        <v>614</v>
      </c>
      <c r="N218" s="250" t="s">
        <v>515</v>
      </c>
      <c r="O218" s="228"/>
      <c r="P218" s="275"/>
    </row>
    <row r="219" spans="1:16" s="250" customFormat="1" ht="13.8" x14ac:dyDescent="0.25">
      <c r="A219" s="260">
        <v>45076</v>
      </c>
      <c r="B219" s="217" t="s">
        <v>47</v>
      </c>
      <c r="C219" s="217" t="s">
        <v>75</v>
      </c>
      <c r="D219" s="236"/>
      <c r="E219" s="228"/>
      <c r="F219" s="299">
        <v>244000</v>
      </c>
      <c r="G219" s="217">
        <f t="shared" ref="G219:G228" si="14">+G218+E219-F219</f>
        <v>19083853</v>
      </c>
      <c r="H219" s="228" t="s">
        <v>25</v>
      </c>
      <c r="I219" s="228"/>
      <c r="J219" s="228"/>
      <c r="K219" s="228"/>
      <c r="L219" s="228"/>
      <c r="M219" s="228"/>
      <c r="N219" s="228"/>
      <c r="O219" s="238"/>
      <c r="P219" s="275"/>
    </row>
    <row r="220" spans="1:16" s="250" customFormat="1" ht="13.8" x14ac:dyDescent="0.25">
      <c r="A220" s="249">
        <v>45076</v>
      </c>
      <c r="B220" s="228" t="s">
        <v>204</v>
      </c>
      <c r="C220" s="250" t="s">
        <v>75</v>
      </c>
      <c r="E220" s="228"/>
      <c r="F220" s="299">
        <v>129000</v>
      </c>
      <c r="G220" s="217">
        <f t="shared" si="14"/>
        <v>18954853</v>
      </c>
      <c r="H220" s="228" t="s">
        <v>25</v>
      </c>
      <c r="I220" s="224"/>
      <c r="J220" s="228"/>
      <c r="M220" s="228"/>
      <c r="P220" s="275"/>
    </row>
    <row r="221" spans="1:16" s="250" customFormat="1" ht="13.8" x14ac:dyDescent="0.25">
      <c r="A221" s="249">
        <v>45076</v>
      </c>
      <c r="B221" s="250" t="s">
        <v>328</v>
      </c>
      <c r="C221" s="250" t="s">
        <v>75</v>
      </c>
      <c r="D221" s="228"/>
      <c r="F221" s="299">
        <v>129000</v>
      </c>
      <c r="G221" s="217">
        <f t="shared" si="14"/>
        <v>18825853</v>
      </c>
      <c r="H221" s="250" t="s">
        <v>25</v>
      </c>
      <c r="I221" s="228"/>
      <c r="J221" s="228"/>
      <c r="M221" s="228"/>
      <c r="P221" s="275"/>
    </row>
    <row r="222" spans="1:16" s="250" customFormat="1" ht="13.8" x14ac:dyDescent="0.25">
      <c r="A222" s="249">
        <v>45076</v>
      </c>
      <c r="B222" s="228" t="s">
        <v>355</v>
      </c>
      <c r="C222" s="250" t="s">
        <v>220</v>
      </c>
      <c r="D222" s="228" t="s">
        <v>312</v>
      </c>
      <c r="E222" s="217"/>
      <c r="F222" s="298">
        <v>15060</v>
      </c>
      <c r="G222" s="217">
        <f t="shared" si="14"/>
        <v>18810793</v>
      </c>
      <c r="H222" s="228" t="s">
        <v>25</v>
      </c>
      <c r="I222" s="228" t="s">
        <v>361</v>
      </c>
      <c r="J222" s="228" t="s">
        <v>297</v>
      </c>
      <c r="K222" s="259" t="s">
        <v>206</v>
      </c>
      <c r="L222" s="228" t="s">
        <v>502</v>
      </c>
      <c r="M222" s="257" t="s">
        <v>615</v>
      </c>
      <c r="N222" s="228" t="s">
        <v>503</v>
      </c>
      <c r="O222" s="228"/>
      <c r="P222" s="275"/>
    </row>
    <row r="223" spans="1:16" s="250" customFormat="1" ht="13.8" x14ac:dyDescent="0.25">
      <c r="A223" s="256">
        <v>45076</v>
      </c>
      <c r="B223" s="228" t="s">
        <v>356</v>
      </c>
      <c r="C223" s="250" t="s">
        <v>288</v>
      </c>
      <c r="D223" s="228" t="s">
        <v>161</v>
      </c>
      <c r="E223" s="228"/>
      <c r="F223" s="299">
        <v>76000</v>
      </c>
      <c r="G223" s="217">
        <f t="shared" si="14"/>
        <v>18734793</v>
      </c>
      <c r="H223" s="228" t="s">
        <v>25</v>
      </c>
      <c r="I223" s="228" t="s">
        <v>361</v>
      </c>
      <c r="J223" s="228" t="s">
        <v>102</v>
      </c>
      <c r="K223" s="228" t="s">
        <v>206</v>
      </c>
      <c r="L223" s="228" t="s">
        <v>502</v>
      </c>
      <c r="M223" s="257" t="s">
        <v>616</v>
      </c>
      <c r="N223" s="228" t="s">
        <v>505</v>
      </c>
      <c r="O223" s="238"/>
      <c r="P223" s="275"/>
    </row>
    <row r="224" spans="1:16" s="250" customFormat="1" ht="13.8" x14ac:dyDescent="0.25">
      <c r="A224" s="249">
        <v>45076</v>
      </c>
      <c r="B224" s="228" t="s">
        <v>346</v>
      </c>
      <c r="C224" s="250" t="s">
        <v>75</v>
      </c>
      <c r="D224" s="228"/>
      <c r="E224" s="217"/>
      <c r="F224" s="298">
        <v>20000</v>
      </c>
      <c r="G224" s="217">
        <f t="shared" si="14"/>
        <v>18714793</v>
      </c>
      <c r="H224" s="228" t="s">
        <v>25</v>
      </c>
      <c r="I224" s="228"/>
      <c r="J224" s="228"/>
      <c r="K224" s="228"/>
      <c r="L224" s="228"/>
      <c r="M224" s="228"/>
      <c r="N224" s="228"/>
      <c r="O224" s="228"/>
      <c r="P224" s="275"/>
    </row>
    <row r="225" spans="1:16" s="250" customFormat="1" ht="13.8" x14ac:dyDescent="0.25">
      <c r="A225" s="249">
        <v>45076</v>
      </c>
      <c r="B225" s="261" t="s">
        <v>357</v>
      </c>
      <c r="C225" s="250" t="s">
        <v>3</v>
      </c>
      <c r="D225" s="261" t="s">
        <v>312</v>
      </c>
      <c r="E225" s="228"/>
      <c r="F225" s="299">
        <v>20000</v>
      </c>
      <c r="G225" s="217">
        <f t="shared" si="14"/>
        <v>18694793</v>
      </c>
      <c r="H225" s="228" t="s">
        <v>25</v>
      </c>
      <c r="I225" s="228" t="s">
        <v>361</v>
      </c>
      <c r="J225" s="228" t="s">
        <v>297</v>
      </c>
      <c r="K225" s="228" t="s">
        <v>205</v>
      </c>
      <c r="L225" s="228" t="s">
        <v>502</v>
      </c>
      <c r="M225" s="228"/>
      <c r="N225" s="228"/>
      <c r="O225" s="238"/>
      <c r="P225" s="275"/>
    </row>
    <row r="226" spans="1:16" s="250" customFormat="1" ht="13.8" x14ac:dyDescent="0.25">
      <c r="A226" s="249">
        <v>45076</v>
      </c>
      <c r="B226" s="228" t="s">
        <v>634</v>
      </c>
      <c r="C226" s="250" t="s">
        <v>366</v>
      </c>
      <c r="D226" s="250" t="s">
        <v>161</v>
      </c>
      <c r="E226" s="228"/>
      <c r="F226" s="299">
        <v>150000</v>
      </c>
      <c r="G226" s="217">
        <f t="shared" si="14"/>
        <v>18544793</v>
      </c>
      <c r="H226" s="250" t="s">
        <v>24</v>
      </c>
      <c r="I226" s="236">
        <v>3654548</v>
      </c>
      <c r="J226" s="250" t="s">
        <v>297</v>
      </c>
      <c r="K226" s="228" t="s">
        <v>205</v>
      </c>
      <c r="L226" s="250" t="s">
        <v>502</v>
      </c>
      <c r="M226" s="228"/>
      <c r="P226" s="275"/>
    </row>
    <row r="227" spans="1:16" s="250" customFormat="1" ht="13.8" x14ac:dyDescent="0.25">
      <c r="A227" s="249">
        <v>45076</v>
      </c>
      <c r="B227" s="228" t="s">
        <v>367</v>
      </c>
      <c r="C227" s="250" t="s">
        <v>3</v>
      </c>
      <c r="D227" s="250" t="s">
        <v>312</v>
      </c>
      <c r="E227" s="228"/>
      <c r="F227" s="299">
        <v>260000</v>
      </c>
      <c r="G227" s="217">
        <f t="shared" si="14"/>
        <v>18284793</v>
      </c>
      <c r="H227" s="250" t="s">
        <v>24</v>
      </c>
      <c r="I227" s="236">
        <v>3654549</v>
      </c>
      <c r="J227" s="228" t="s">
        <v>297</v>
      </c>
      <c r="K227" s="228" t="s">
        <v>205</v>
      </c>
      <c r="L227" s="228" t="s">
        <v>502</v>
      </c>
      <c r="M227" s="228"/>
      <c r="N227" s="228"/>
      <c r="P227" s="275"/>
    </row>
    <row r="228" spans="1:16" s="250" customFormat="1" ht="13.8" x14ac:dyDescent="0.25">
      <c r="A228" s="249">
        <v>45076</v>
      </c>
      <c r="B228" s="228" t="s">
        <v>368</v>
      </c>
      <c r="C228" s="228" t="s">
        <v>366</v>
      </c>
      <c r="D228" s="250" t="s">
        <v>161</v>
      </c>
      <c r="E228" s="228"/>
      <c r="F228" s="299">
        <v>150000</v>
      </c>
      <c r="G228" s="217">
        <f t="shared" si="14"/>
        <v>18134793</v>
      </c>
      <c r="H228" s="228" t="s">
        <v>24</v>
      </c>
      <c r="I228" s="236">
        <v>3654550</v>
      </c>
      <c r="J228" s="228" t="s">
        <v>297</v>
      </c>
      <c r="K228" s="228" t="s">
        <v>205</v>
      </c>
      <c r="L228" s="228" t="s">
        <v>502</v>
      </c>
      <c r="M228" s="257"/>
      <c r="O228" s="228"/>
      <c r="P228" s="275"/>
    </row>
    <row r="229" spans="1:16" s="250" customFormat="1" ht="13.8" x14ac:dyDescent="0.25">
      <c r="A229" s="249">
        <v>45076</v>
      </c>
      <c r="B229" s="261" t="s">
        <v>378</v>
      </c>
      <c r="C229" s="270" t="s">
        <v>75</v>
      </c>
      <c r="D229" s="270"/>
      <c r="E229" s="228"/>
      <c r="F229" s="228">
        <v>80000</v>
      </c>
      <c r="G229" s="217">
        <f t="shared" ref="G229:G235" si="15">G228+E229-F229</f>
        <v>18054793</v>
      </c>
      <c r="H229" s="228" t="s">
        <v>150</v>
      </c>
      <c r="I229" s="224"/>
      <c r="J229" s="228"/>
      <c r="K229" s="228"/>
      <c r="L229" s="228"/>
      <c r="M229" s="228"/>
      <c r="N229" s="228"/>
      <c r="O229" s="228"/>
      <c r="P229" s="275"/>
    </row>
    <row r="230" spans="1:16" s="250" customFormat="1" ht="13.8" x14ac:dyDescent="0.25">
      <c r="A230" s="249">
        <v>45076</v>
      </c>
      <c r="B230" s="228" t="s">
        <v>381</v>
      </c>
      <c r="C230" s="236" t="s">
        <v>34</v>
      </c>
      <c r="D230" s="228" t="s">
        <v>2</v>
      </c>
      <c r="E230" s="217"/>
      <c r="F230" s="217">
        <v>10000</v>
      </c>
      <c r="G230" s="217">
        <f t="shared" si="15"/>
        <v>18044793</v>
      </c>
      <c r="H230" s="228" t="s">
        <v>150</v>
      </c>
      <c r="I230" s="228" t="s">
        <v>370</v>
      </c>
      <c r="J230" s="228" t="s">
        <v>297</v>
      </c>
      <c r="K230" s="228" t="s">
        <v>206</v>
      </c>
      <c r="L230" s="228" t="s">
        <v>502</v>
      </c>
      <c r="M230" s="257" t="s">
        <v>617</v>
      </c>
      <c r="N230" s="250" t="s">
        <v>515</v>
      </c>
      <c r="O230" s="228"/>
      <c r="P230" s="275"/>
    </row>
    <row r="231" spans="1:16" s="250" customFormat="1" ht="13.8" x14ac:dyDescent="0.25">
      <c r="A231" s="249">
        <v>45076</v>
      </c>
      <c r="B231" s="299" t="s">
        <v>399</v>
      </c>
      <c r="C231" s="298" t="s">
        <v>177</v>
      </c>
      <c r="D231" s="236" t="s">
        <v>4</v>
      </c>
      <c r="E231" s="228"/>
      <c r="F231" s="228">
        <v>390000</v>
      </c>
      <c r="G231" s="217">
        <f t="shared" si="15"/>
        <v>17654793</v>
      </c>
      <c r="H231" s="228" t="s">
        <v>155</v>
      </c>
      <c r="I231" s="228">
        <v>3667345</v>
      </c>
      <c r="J231" s="228" t="s">
        <v>102</v>
      </c>
      <c r="K231" s="228" t="s">
        <v>206</v>
      </c>
      <c r="L231" s="250" t="s">
        <v>502</v>
      </c>
      <c r="M231" s="257" t="s">
        <v>618</v>
      </c>
      <c r="N231" s="250" t="s">
        <v>511</v>
      </c>
      <c r="O231" s="228"/>
      <c r="P231" s="275"/>
    </row>
    <row r="232" spans="1:16" s="250" customFormat="1" ht="13.8" x14ac:dyDescent="0.25">
      <c r="A232" s="249">
        <v>45076</v>
      </c>
      <c r="B232" s="299" t="s">
        <v>400</v>
      </c>
      <c r="C232" s="298" t="s">
        <v>177</v>
      </c>
      <c r="D232" s="236" t="s">
        <v>4</v>
      </c>
      <c r="E232" s="228"/>
      <c r="F232" s="228">
        <v>340000</v>
      </c>
      <c r="G232" s="217">
        <f t="shared" si="15"/>
        <v>17314793</v>
      </c>
      <c r="H232" s="228" t="s">
        <v>155</v>
      </c>
      <c r="I232" s="250">
        <v>3667346</v>
      </c>
      <c r="J232" s="228" t="s">
        <v>102</v>
      </c>
      <c r="K232" s="228" t="s">
        <v>206</v>
      </c>
      <c r="L232" s="250" t="s">
        <v>502</v>
      </c>
      <c r="M232" s="257" t="s">
        <v>619</v>
      </c>
      <c r="N232" s="250" t="s">
        <v>511</v>
      </c>
      <c r="O232" s="228"/>
      <c r="P232" s="275"/>
    </row>
    <row r="233" spans="1:16" s="228" customFormat="1" ht="13.8" x14ac:dyDescent="0.25">
      <c r="A233" s="256">
        <v>45076</v>
      </c>
      <c r="B233" s="228" t="s">
        <v>449</v>
      </c>
      <c r="C233" s="250" t="s">
        <v>450</v>
      </c>
      <c r="E233" s="228">
        <v>129000</v>
      </c>
      <c r="F233" s="305"/>
      <c r="G233" s="217">
        <f t="shared" si="15"/>
        <v>17443793</v>
      </c>
      <c r="H233" s="228" t="s">
        <v>204</v>
      </c>
      <c r="J233" s="250"/>
      <c r="P233" s="258"/>
    </row>
    <row r="234" spans="1:16" s="228" customFormat="1" ht="13.8" x14ac:dyDescent="0.25">
      <c r="A234" s="249">
        <v>45076</v>
      </c>
      <c r="B234" s="228" t="s">
        <v>464</v>
      </c>
      <c r="C234" s="250" t="s">
        <v>75</v>
      </c>
      <c r="D234" s="250"/>
      <c r="E234" s="228">
        <v>43000</v>
      </c>
      <c r="G234" s="217">
        <f t="shared" si="15"/>
        <v>17486793</v>
      </c>
      <c r="H234" s="228" t="s">
        <v>31</v>
      </c>
      <c r="K234" s="259"/>
      <c r="N234" s="250"/>
      <c r="P234" s="258"/>
    </row>
    <row r="235" spans="1:16" s="228" customFormat="1" ht="13.8" x14ac:dyDescent="0.25">
      <c r="A235" s="249">
        <v>45076</v>
      </c>
      <c r="B235" s="250" t="s">
        <v>469</v>
      </c>
      <c r="C235" s="250" t="s">
        <v>75</v>
      </c>
      <c r="E235" s="228">
        <v>129000</v>
      </c>
      <c r="G235" s="217">
        <f t="shared" si="15"/>
        <v>17615793</v>
      </c>
      <c r="H235" s="228" t="s">
        <v>263</v>
      </c>
      <c r="P235" s="258"/>
    </row>
    <row r="236" spans="1:16" s="228" customFormat="1" ht="13.8" x14ac:dyDescent="0.25">
      <c r="A236" s="249">
        <v>45076</v>
      </c>
      <c r="B236" s="228" t="s">
        <v>486</v>
      </c>
      <c r="C236" s="250" t="s">
        <v>75</v>
      </c>
      <c r="D236" s="217"/>
      <c r="E236" s="217">
        <v>244000</v>
      </c>
      <c r="F236" s="217"/>
      <c r="G236" s="217">
        <f>+G235+E236-F236</f>
        <v>17859793</v>
      </c>
      <c r="H236" s="228" t="s">
        <v>47</v>
      </c>
      <c r="J236" s="250"/>
      <c r="K236" s="250"/>
      <c r="L236" s="250"/>
      <c r="N236" s="250"/>
      <c r="P236" s="258"/>
    </row>
    <row r="237" spans="1:16" s="228" customFormat="1" ht="13.8" x14ac:dyDescent="0.25">
      <c r="A237" s="249">
        <v>45076</v>
      </c>
      <c r="B237" s="250" t="s">
        <v>498</v>
      </c>
      <c r="C237" s="228" t="s">
        <v>75</v>
      </c>
      <c r="F237" s="228">
        <v>43000</v>
      </c>
      <c r="G237" s="217">
        <f>+G236+E237-F237</f>
        <v>17816793</v>
      </c>
      <c r="H237" s="228" t="s">
        <v>47</v>
      </c>
      <c r="J237" s="250"/>
      <c r="K237" s="250"/>
      <c r="L237" s="250"/>
      <c r="N237" s="250"/>
      <c r="O237" s="238"/>
      <c r="P237" s="258"/>
    </row>
    <row r="238" spans="1:16" s="228" customFormat="1" ht="13.8" x14ac:dyDescent="0.25">
      <c r="A238" s="249">
        <v>45076</v>
      </c>
      <c r="B238" s="228" t="s">
        <v>401</v>
      </c>
      <c r="C238" s="228" t="s">
        <v>75</v>
      </c>
      <c r="E238" s="217">
        <v>20000</v>
      </c>
      <c r="F238" s="262"/>
      <c r="G238" s="217">
        <f>G237+E238-F238</f>
        <v>17836793</v>
      </c>
      <c r="H238" s="228" t="s">
        <v>346</v>
      </c>
      <c r="M238" s="257"/>
      <c r="N238" s="250"/>
      <c r="P238" s="258"/>
    </row>
    <row r="239" spans="1:16" s="228" customFormat="1" ht="13.8" x14ac:dyDescent="0.25">
      <c r="A239" s="249">
        <v>45077</v>
      </c>
      <c r="B239" s="261" t="s">
        <v>150</v>
      </c>
      <c r="C239" s="250" t="s">
        <v>75</v>
      </c>
      <c r="D239" s="261"/>
      <c r="E239" s="228">
        <v>80000</v>
      </c>
      <c r="F239" s="299"/>
      <c r="G239" s="217">
        <f t="shared" ref="G239:G244" si="16">+G238+E239-F239</f>
        <v>17916793</v>
      </c>
      <c r="H239" s="228" t="s">
        <v>25</v>
      </c>
      <c r="I239" s="224"/>
      <c r="M239" s="257"/>
      <c r="O239" s="238"/>
      <c r="P239" s="258"/>
    </row>
    <row r="240" spans="1:16" s="228" customFormat="1" ht="13.8" x14ac:dyDescent="0.25">
      <c r="A240" s="249">
        <v>45077</v>
      </c>
      <c r="B240" s="224" t="s">
        <v>204</v>
      </c>
      <c r="C240" s="270" t="s">
        <v>75</v>
      </c>
      <c r="F240" s="299">
        <v>10000</v>
      </c>
      <c r="G240" s="217">
        <f t="shared" si="16"/>
        <v>17906793</v>
      </c>
      <c r="H240" s="228" t="s">
        <v>25</v>
      </c>
      <c r="I240" s="224"/>
      <c r="M240" s="257"/>
      <c r="O240" s="238"/>
      <c r="P240" s="258"/>
    </row>
    <row r="241" spans="1:16" s="228" customFormat="1" ht="13.8" x14ac:dyDescent="0.25">
      <c r="A241" s="249">
        <v>45077</v>
      </c>
      <c r="B241" s="228" t="s">
        <v>358</v>
      </c>
      <c r="C241" s="250" t="s">
        <v>220</v>
      </c>
      <c r="D241" s="228" t="s">
        <v>312</v>
      </c>
      <c r="E241" s="250"/>
      <c r="F241" s="299">
        <v>1500</v>
      </c>
      <c r="G241" s="217">
        <f t="shared" si="16"/>
        <v>17905293</v>
      </c>
      <c r="H241" s="228" t="s">
        <v>25</v>
      </c>
      <c r="I241" s="228" t="s">
        <v>361</v>
      </c>
      <c r="J241" s="228" t="s">
        <v>297</v>
      </c>
      <c r="K241" s="259" t="s">
        <v>206</v>
      </c>
      <c r="L241" s="228" t="s">
        <v>502</v>
      </c>
      <c r="M241" s="257" t="s">
        <v>620</v>
      </c>
      <c r="N241" s="228" t="s">
        <v>503</v>
      </c>
      <c r="P241" s="258"/>
    </row>
    <row r="242" spans="1:16" s="228" customFormat="1" ht="13.8" x14ac:dyDescent="0.25">
      <c r="A242" s="266">
        <v>45077</v>
      </c>
      <c r="B242" s="261" t="s">
        <v>359</v>
      </c>
      <c r="C242" s="228" t="s">
        <v>3</v>
      </c>
      <c r="D242" s="228" t="s">
        <v>312</v>
      </c>
      <c r="F242" s="298">
        <v>75625</v>
      </c>
      <c r="G242" s="217">
        <f t="shared" si="16"/>
        <v>17829668</v>
      </c>
      <c r="H242" s="259" t="s">
        <v>25</v>
      </c>
      <c r="I242" s="228" t="s">
        <v>361</v>
      </c>
      <c r="J242" s="228" t="s">
        <v>297</v>
      </c>
      <c r="K242" s="228" t="s">
        <v>205</v>
      </c>
      <c r="L242" s="228" t="s">
        <v>502</v>
      </c>
      <c r="M242" s="257"/>
      <c r="P242" s="258"/>
    </row>
    <row r="243" spans="1:16" s="228" customFormat="1" ht="13.8" x14ac:dyDescent="0.25">
      <c r="A243" s="266">
        <v>45077</v>
      </c>
      <c r="B243" s="261" t="s">
        <v>360</v>
      </c>
      <c r="C243" s="228" t="s">
        <v>275</v>
      </c>
      <c r="D243" s="228" t="s">
        <v>312</v>
      </c>
      <c r="E243" s="263"/>
      <c r="F243" s="298">
        <v>45050</v>
      </c>
      <c r="G243" s="217">
        <f t="shared" si="16"/>
        <v>17784618</v>
      </c>
      <c r="H243" s="259" t="s">
        <v>25</v>
      </c>
      <c r="I243" s="228" t="s">
        <v>361</v>
      </c>
      <c r="J243" s="228" t="s">
        <v>102</v>
      </c>
      <c r="K243" s="228" t="s">
        <v>206</v>
      </c>
      <c r="L243" s="228" t="s">
        <v>502</v>
      </c>
      <c r="M243" s="257" t="s">
        <v>621</v>
      </c>
      <c r="N243" s="228" t="s">
        <v>504</v>
      </c>
      <c r="P243" s="258"/>
    </row>
    <row r="244" spans="1:16" s="228" customFormat="1" ht="13.8" x14ac:dyDescent="0.25">
      <c r="A244" s="249">
        <v>45077</v>
      </c>
      <c r="B244" s="228" t="s">
        <v>276</v>
      </c>
      <c r="C244" s="228" t="s">
        <v>75</v>
      </c>
      <c r="E244" s="217"/>
      <c r="F244" s="298">
        <v>153000</v>
      </c>
      <c r="G244" s="217">
        <f t="shared" si="16"/>
        <v>17631618</v>
      </c>
      <c r="H244" s="228" t="s">
        <v>25</v>
      </c>
      <c r="M244" s="257"/>
      <c r="P244" s="258"/>
    </row>
    <row r="245" spans="1:16" s="228" customFormat="1" ht="13.8" x14ac:dyDescent="0.25">
      <c r="A245" s="249">
        <v>45077</v>
      </c>
      <c r="B245" s="228" t="s">
        <v>387</v>
      </c>
      <c r="C245" s="250" t="s">
        <v>34</v>
      </c>
      <c r="D245" s="228" t="s">
        <v>312</v>
      </c>
      <c r="E245" s="217"/>
      <c r="F245" s="217">
        <v>25400</v>
      </c>
      <c r="G245" s="217">
        <f>G244+E245-F245</f>
        <v>17606218</v>
      </c>
      <c r="H245" s="228" t="s">
        <v>93</v>
      </c>
      <c r="I245" s="228" t="s">
        <v>370</v>
      </c>
      <c r="J245" s="228" t="s">
        <v>297</v>
      </c>
      <c r="K245" s="228" t="s">
        <v>206</v>
      </c>
      <c r="L245" s="228" t="s">
        <v>502</v>
      </c>
      <c r="M245" s="257" t="s">
        <v>622</v>
      </c>
      <c r="N245" s="250" t="s">
        <v>515</v>
      </c>
      <c r="P245" s="258"/>
    </row>
    <row r="246" spans="1:16" s="228" customFormat="1" ht="13.8" x14ac:dyDescent="0.25">
      <c r="A246" s="249">
        <v>45077</v>
      </c>
      <c r="B246" s="228" t="s">
        <v>422</v>
      </c>
      <c r="C246" s="250" t="s">
        <v>75</v>
      </c>
      <c r="E246" s="217">
        <v>153000</v>
      </c>
      <c r="F246" s="217"/>
      <c r="G246" s="217">
        <f>G244+E246-F246</f>
        <v>17784618</v>
      </c>
      <c r="H246" s="228" t="s">
        <v>276</v>
      </c>
      <c r="J246" s="250"/>
      <c r="K246" s="250"/>
      <c r="L246" s="250"/>
      <c r="N246" s="250"/>
      <c r="P246" s="258"/>
    </row>
    <row r="247" spans="1:16" s="228" customFormat="1" ht="13.8" x14ac:dyDescent="0.25">
      <c r="A247" s="249">
        <v>45077</v>
      </c>
      <c r="B247" s="261" t="s">
        <v>453</v>
      </c>
      <c r="C247" s="250" t="s">
        <v>454</v>
      </c>
      <c r="D247" s="236" t="s">
        <v>161</v>
      </c>
      <c r="F247" s="217">
        <v>44300</v>
      </c>
      <c r="G247" s="217">
        <f t="shared" ref="G247:G265" si="17">G246+E247-F247</f>
        <v>17740318</v>
      </c>
      <c r="H247" s="228" t="s">
        <v>204</v>
      </c>
      <c r="I247" s="228" t="s">
        <v>370</v>
      </c>
      <c r="J247" s="250" t="s">
        <v>297</v>
      </c>
      <c r="K247" s="228" t="s">
        <v>205</v>
      </c>
      <c r="L247" s="228" t="s">
        <v>502</v>
      </c>
      <c r="P247" s="258"/>
    </row>
    <row r="248" spans="1:16" s="228" customFormat="1" ht="13.8" x14ac:dyDescent="0.25">
      <c r="A248" s="249">
        <v>45077</v>
      </c>
      <c r="B248" s="228" t="s">
        <v>455</v>
      </c>
      <c r="C248" s="250" t="s">
        <v>34</v>
      </c>
      <c r="D248" s="228" t="s">
        <v>161</v>
      </c>
      <c r="F248" s="228">
        <v>26200</v>
      </c>
      <c r="G248" s="217">
        <f t="shared" si="17"/>
        <v>17714118</v>
      </c>
      <c r="H248" s="228" t="s">
        <v>204</v>
      </c>
      <c r="I248" s="228" t="s">
        <v>370</v>
      </c>
      <c r="J248" s="228" t="s">
        <v>297</v>
      </c>
      <c r="K248" s="228" t="s">
        <v>206</v>
      </c>
      <c r="L248" s="228" t="s">
        <v>502</v>
      </c>
      <c r="M248" s="257" t="s">
        <v>623</v>
      </c>
      <c r="N248" s="250" t="s">
        <v>515</v>
      </c>
      <c r="P248" s="258"/>
    </row>
    <row r="249" spans="1:16" s="228" customFormat="1" ht="13.8" x14ac:dyDescent="0.25">
      <c r="A249" s="249">
        <v>45077</v>
      </c>
      <c r="B249" s="250" t="s">
        <v>449</v>
      </c>
      <c r="C249" s="250" t="s">
        <v>450</v>
      </c>
      <c r="E249" s="250">
        <v>10000</v>
      </c>
      <c r="F249" s="263"/>
      <c r="G249" s="217">
        <f t="shared" si="17"/>
        <v>17724118</v>
      </c>
      <c r="H249" s="250" t="s">
        <v>204</v>
      </c>
      <c r="O249" s="250"/>
      <c r="P249" s="258"/>
    </row>
    <row r="250" spans="1:16" s="228" customFormat="1" ht="13.8" x14ac:dyDescent="0.25">
      <c r="A250" s="249">
        <v>45077</v>
      </c>
      <c r="B250" s="250" t="s">
        <v>456</v>
      </c>
      <c r="C250" s="250" t="s">
        <v>384</v>
      </c>
      <c r="D250" s="228" t="s">
        <v>161</v>
      </c>
      <c r="E250" s="250"/>
      <c r="F250" s="267">
        <v>60000</v>
      </c>
      <c r="G250" s="217">
        <f t="shared" si="17"/>
        <v>17664118</v>
      </c>
      <c r="H250" s="250" t="s">
        <v>204</v>
      </c>
      <c r="I250" s="228" t="s">
        <v>313</v>
      </c>
      <c r="J250" s="250" t="s">
        <v>297</v>
      </c>
      <c r="K250" s="228" t="s">
        <v>206</v>
      </c>
      <c r="L250" s="228" t="s">
        <v>502</v>
      </c>
      <c r="M250" s="257" t="s">
        <v>624</v>
      </c>
      <c r="N250" s="228" t="s">
        <v>516</v>
      </c>
      <c r="O250" s="250"/>
      <c r="P250" s="258"/>
    </row>
    <row r="251" spans="1:16" s="228" customFormat="1" ht="13.8" x14ac:dyDescent="0.25">
      <c r="A251" s="256">
        <v>45077</v>
      </c>
      <c r="B251" s="250" t="s">
        <v>465</v>
      </c>
      <c r="C251" s="228" t="s">
        <v>75</v>
      </c>
      <c r="E251" s="250">
        <v>28000</v>
      </c>
      <c r="F251" s="250"/>
      <c r="G251" s="217">
        <f t="shared" si="17"/>
        <v>17692118</v>
      </c>
      <c r="H251" s="250" t="s">
        <v>31</v>
      </c>
      <c r="O251" s="250"/>
      <c r="P251" s="258"/>
    </row>
    <row r="252" spans="1:16" s="228" customFormat="1" ht="13.8" x14ac:dyDescent="0.25">
      <c r="A252" s="249">
        <v>45077</v>
      </c>
      <c r="B252" s="228" t="s">
        <v>466</v>
      </c>
      <c r="C252" s="250" t="s">
        <v>34</v>
      </c>
      <c r="D252" s="228" t="s">
        <v>162</v>
      </c>
      <c r="F252" s="304">
        <v>10000</v>
      </c>
      <c r="G252" s="217">
        <f t="shared" si="17"/>
        <v>17682118</v>
      </c>
      <c r="H252" s="228" t="s">
        <v>31</v>
      </c>
      <c r="I252" s="228" t="s">
        <v>361</v>
      </c>
      <c r="J252" s="228" t="s">
        <v>297</v>
      </c>
      <c r="K252" s="228" t="s">
        <v>206</v>
      </c>
      <c r="L252" s="228" t="s">
        <v>502</v>
      </c>
      <c r="M252" s="257" t="s">
        <v>625</v>
      </c>
      <c r="N252" s="250" t="s">
        <v>515</v>
      </c>
      <c r="P252" s="258"/>
    </row>
    <row r="253" spans="1:16" s="228" customFormat="1" ht="13.8" x14ac:dyDescent="0.25">
      <c r="A253" s="256">
        <v>45077</v>
      </c>
      <c r="B253" s="250" t="s">
        <v>467</v>
      </c>
      <c r="C253" s="250" t="s">
        <v>384</v>
      </c>
      <c r="D253" s="250" t="s">
        <v>162</v>
      </c>
      <c r="E253" s="250"/>
      <c r="F253" s="267">
        <v>60000</v>
      </c>
      <c r="G253" s="217">
        <f t="shared" si="17"/>
        <v>17622118</v>
      </c>
      <c r="H253" s="250" t="s">
        <v>31</v>
      </c>
      <c r="I253" s="228" t="s">
        <v>361</v>
      </c>
      <c r="J253" s="250" t="s">
        <v>297</v>
      </c>
      <c r="K253" s="228" t="s">
        <v>206</v>
      </c>
      <c r="L253" s="228" t="s">
        <v>502</v>
      </c>
      <c r="M253" s="257" t="s">
        <v>626</v>
      </c>
      <c r="N253" s="228" t="s">
        <v>516</v>
      </c>
      <c r="O253" s="250"/>
      <c r="P253" s="258"/>
    </row>
    <row r="254" spans="1:16" s="228" customFormat="1" ht="13.8" x14ac:dyDescent="0.25">
      <c r="A254" s="266">
        <v>45077</v>
      </c>
      <c r="B254" s="274" t="s">
        <v>468</v>
      </c>
      <c r="C254" s="250" t="s">
        <v>34</v>
      </c>
      <c r="D254" s="228" t="s">
        <v>162</v>
      </c>
      <c r="E254" s="304"/>
      <c r="F254" s="273">
        <v>32000</v>
      </c>
      <c r="G254" s="217">
        <f t="shared" si="17"/>
        <v>17590118</v>
      </c>
      <c r="H254" s="307" t="s">
        <v>31</v>
      </c>
      <c r="I254" s="228" t="s">
        <v>370</v>
      </c>
      <c r="J254" s="228" t="s">
        <v>297</v>
      </c>
      <c r="K254" s="228" t="s">
        <v>206</v>
      </c>
      <c r="L254" s="228" t="s">
        <v>502</v>
      </c>
      <c r="M254" s="257" t="s">
        <v>627</v>
      </c>
      <c r="N254" s="250" t="s">
        <v>515</v>
      </c>
      <c r="P254" s="258"/>
    </row>
    <row r="255" spans="1:16" s="228" customFormat="1" ht="13.8" x14ac:dyDescent="0.25">
      <c r="A255" s="249">
        <v>45077</v>
      </c>
      <c r="B255" s="250" t="s">
        <v>482</v>
      </c>
      <c r="C255" s="250" t="s">
        <v>75</v>
      </c>
      <c r="D255" s="236"/>
      <c r="E255" s="250"/>
      <c r="F255" s="263">
        <v>28000</v>
      </c>
      <c r="G255" s="217">
        <f t="shared" si="17"/>
        <v>17562118</v>
      </c>
      <c r="H255" s="250" t="s">
        <v>263</v>
      </c>
      <c r="J255" s="250"/>
      <c r="K255" s="250"/>
      <c r="L255" s="250"/>
      <c r="O255" s="250"/>
      <c r="P255" s="258"/>
    </row>
    <row r="256" spans="1:16" s="228" customFormat="1" ht="13.8" x14ac:dyDescent="0.25">
      <c r="A256" s="249">
        <v>45077</v>
      </c>
      <c r="B256" s="228" t="s">
        <v>483</v>
      </c>
      <c r="C256" s="250" t="s">
        <v>454</v>
      </c>
      <c r="D256" s="228" t="s">
        <v>161</v>
      </c>
      <c r="E256" s="217"/>
      <c r="F256" s="217">
        <v>85950</v>
      </c>
      <c r="G256" s="217">
        <f t="shared" si="17"/>
        <v>17476168</v>
      </c>
      <c r="H256" s="228" t="s">
        <v>263</v>
      </c>
      <c r="I256" s="228" t="s">
        <v>370</v>
      </c>
      <c r="J256" s="250" t="s">
        <v>297</v>
      </c>
      <c r="K256" s="228" t="s">
        <v>205</v>
      </c>
      <c r="L256" s="228" t="s">
        <v>502</v>
      </c>
      <c r="P256" s="258"/>
    </row>
    <row r="257" spans="1:18" s="228" customFormat="1" ht="13.8" x14ac:dyDescent="0.25">
      <c r="A257" s="256">
        <v>45077</v>
      </c>
      <c r="B257" s="228" t="s">
        <v>484</v>
      </c>
      <c r="C257" s="224" t="s">
        <v>34</v>
      </c>
      <c r="D257" s="228" t="s">
        <v>161</v>
      </c>
      <c r="E257" s="217"/>
      <c r="F257" s="217">
        <v>45500</v>
      </c>
      <c r="G257" s="217">
        <f t="shared" si="17"/>
        <v>17430668</v>
      </c>
      <c r="H257" s="228" t="s">
        <v>263</v>
      </c>
      <c r="I257" s="228" t="s">
        <v>370</v>
      </c>
      <c r="J257" s="228" t="s">
        <v>297</v>
      </c>
      <c r="K257" s="228" t="s">
        <v>206</v>
      </c>
      <c r="L257" s="228" t="s">
        <v>502</v>
      </c>
      <c r="M257" s="257" t="s">
        <v>628</v>
      </c>
      <c r="N257" s="250" t="s">
        <v>515</v>
      </c>
      <c r="P257" s="258"/>
    </row>
    <row r="258" spans="1:18" s="228" customFormat="1" ht="13.8" x14ac:dyDescent="0.25">
      <c r="A258" s="256">
        <v>45077</v>
      </c>
      <c r="B258" s="250" t="s">
        <v>485</v>
      </c>
      <c r="C258" s="250" t="s">
        <v>246</v>
      </c>
      <c r="D258" s="228" t="s">
        <v>161</v>
      </c>
      <c r="E258" s="250"/>
      <c r="F258" s="263">
        <v>4800</v>
      </c>
      <c r="G258" s="217">
        <f t="shared" si="17"/>
        <v>17425868</v>
      </c>
      <c r="H258" s="250" t="s">
        <v>263</v>
      </c>
      <c r="I258" s="228" t="s">
        <v>361</v>
      </c>
      <c r="J258" s="228" t="s">
        <v>297</v>
      </c>
      <c r="K258" s="259" t="s">
        <v>205</v>
      </c>
      <c r="L258" s="228" t="s">
        <v>502</v>
      </c>
      <c r="M258" s="257"/>
      <c r="N258" s="250"/>
      <c r="O258" s="250"/>
      <c r="P258" s="258"/>
    </row>
    <row r="259" spans="1:18" s="228" customFormat="1" ht="13.8" x14ac:dyDescent="0.25">
      <c r="A259" s="249">
        <v>45077</v>
      </c>
      <c r="B259" s="228" t="s">
        <v>499</v>
      </c>
      <c r="C259" s="228" t="s">
        <v>34</v>
      </c>
      <c r="D259" s="228" t="s">
        <v>2</v>
      </c>
      <c r="E259" s="217"/>
      <c r="F259" s="217">
        <v>25900</v>
      </c>
      <c r="G259" s="217">
        <f t="shared" si="17"/>
        <v>17399968</v>
      </c>
      <c r="H259" s="228" t="s">
        <v>47</v>
      </c>
      <c r="I259" s="228" t="s">
        <v>370</v>
      </c>
      <c r="J259" s="228" t="s">
        <v>297</v>
      </c>
      <c r="K259" s="228" t="s">
        <v>206</v>
      </c>
      <c r="L259" s="228" t="s">
        <v>502</v>
      </c>
      <c r="M259" s="257" t="s">
        <v>629</v>
      </c>
      <c r="N259" s="250" t="s">
        <v>515</v>
      </c>
      <c r="P259" s="258"/>
    </row>
    <row r="260" spans="1:18" s="228" customFormat="1" ht="13.8" x14ac:dyDescent="0.25">
      <c r="A260" s="256">
        <v>45077</v>
      </c>
      <c r="B260" s="250" t="s">
        <v>500</v>
      </c>
      <c r="C260" s="236" t="s">
        <v>237</v>
      </c>
      <c r="D260" s="228" t="s">
        <v>377</v>
      </c>
      <c r="E260" s="250"/>
      <c r="F260" s="250">
        <v>180000</v>
      </c>
      <c r="G260" s="217">
        <f t="shared" si="17"/>
        <v>17219968</v>
      </c>
      <c r="H260" s="250" t="s">
        <v>47</v>
      </c>
      <c r="I260" s="228" t="s">
        <v>313</v>
      </c>
      <c r="J260" s="228" t="s">
        <v>297</v>
      </c>
      <c r="K260" s="250" t="s">
        <v>205</v>
      </c>
      <c r="L260" s="250" t="s">
        <v>502</v>
      </c>
      <c r="N260" s="250"/>
      <c r="O260" s="250"/>
      <c r="P260" s="258"/>
    </row>
    <row r="261" spans="1:18" s="228" customFormat="1" ht="13.8" x14ac:dyDescent="0.25">
      <c r="A261" s="266">
        <v>45077</v>
      </c>
      <c r="B261" s="236" t="s">
        <v>501</v>
      </c>
      <c r="C261" s="236" t="s">
        <v>237</v>
      </c>
      <c r="D261" s="228" t="s">
        <v>377</v>
      </c>
      <c r="E261" s="306"/>
      <c r="F261" s="305">
        <v>40000</v>
      </c>
      <c r="G261" s="217">
        <f t="shared" si="17"/>
        <v>17179968</v>
      </c>
      <c r="H261" s="228" t="s">
        <v>47</v>
      </c>
      <c r="I261" s="224" t="s">
        <v>313</v>
      </c>
      <c r="J261" s="228" t="s">
        <v>297</v>
      </c>
      <c r="K261" s="250" t="s">
        <v>205</v>
      </c>
      <c r="L261" s="250" t="s">
        <v>502</v>
      </c>
      <c r="N261" s="250"/>
      <c r="P261" s="258"/>
    </row>
    <row r="262" spans="1:18" s="228" customFormat="1" ht="13.8" x14ac:dyDescent="0.25">
      <c r="A262" s="256">
        <v>45077</v>
      </c>
      <c r="B262" s="228" t="s">
        <v>402</v>
      </c>
      <c r="C262" s="250" t="s">
        <v>384</v>
      </c>
      <c r="D262" s="228" t="s">
        <v>161</v>
      </c>
      <c r="E262" s="217"/>
      <c r="F262" s="262">
        <v>6000</v>
      </c>
      <c r="G262" s="217">
        <f t="shared" si="17"/>
        <v>17173968</v>
      </c>
      <c r="H262" s="228" t="s">
        <v>346</v>
      </c>
      <c r="I262" s="228" t="s">
        <v>370</v>
      </c>
      <c r="J262" s="228" t="s">
        <v>297</v>
      </c>
      <c r="K262" s="228" t="s">
        <v>205</v>
      </c>
      <c r="L262" s="228" t="s">
        <v>502</v>
      </c>
      <c r="M262" s="257"/>
      <c r="N262" s="250"/>
      <c r="P262" s="258"/>
    </row>
    <row r="263" spans="1:18" s="228" customFormat="1" ht="13.8" x14ac:dyDescent="0.25">
      <c r="A263" s="256">
        <v>45077</v>
      </c>
      <c r="B263" s="250" t="s">
        <v>403</v>
      </c>
      <c r="C263" s="250" t="s">
        <v>34</v>
      </c>
      <c r="D263" s="228" t="s">
        <v>161</v>
      </c>
      <c r="E263" s="250"/>
      <c r="F263" s="250">
        <v>17000</v>
      </c>
      <c r="G263" s="217">
        <f t="shared" si="17"/>
        <v>17156968</v>
      </c>
      <c r="H263" s="250" t="s">
        <v>346</v>
      </c>
      <c r="I263" s="228" t="s">
        <v>370</v>
      </c>
      <c r="J263" s="228" t="s">
        <v>297</v>
      </c>
      <c r="K263" s="250" t="s">
        <v>205</v>
      </c>
      <c r="L263" s="250" t="s">
        <v>502</v>
      </c>
      <c r="M263" s="257"/>
      <c r="N263" s="250"/>
      <c r="O263" s="250"/>
      <c r="P263" s="258"/>
    </row>
    <row r="264" spans="1:18" s="228" customFormat="1" ht="13.8" x14ac:dyDescent="0.25">
      <c r="A264" s="256">
        <v>45077</v>
      </c>
      <c r="B264" s="250" t="s">
        <v>630</v>
      </c>
      <c r="C264" s="250" t="s">
        <v>384</v>
      </c>
      <c r="D264" s="250" t="s">
        <v>161</v>
      </c>
      <c r="E264" s="250"/>
      <c r="F264" s="267">
        <v>60000</v>
      </c>
      <c r="G264" s="217">
        <f t="shared" si="17"/>
        <v>17096968</v>
      </c>
      <c r="H264" s="250" t="s">
        <v>47</v>
      </c>
      <c r="I264" s="228" t="s">
        <v>361</v>
      </c>
      <c r="J264" s="250" t="s">
        <v>297</v>
      </c>
      <c r="K264" s="228" t="s">
        <v>206</v>
      </c>
      <c r="L264" s="228" t="s">
        <v>502</v>
      </c>
      <c r="M264" s="257" t="s">
        <v>631</v>
      </c>
      <c r="N264" s="228" t="s">
        <v>516</v>
      </c>
      <c r="O264" s="250"/>
      <c r="P264" s="258"/>
    </row>
    <row r="265" spans="1:18" s="228" customFormat="1" ht="13.8" x14ac:dyDescent="0.25">
      <c r="A265" s="256">
        <v>45077</v>
      </c>
      <c r="B265" s="250" t="s">
        <v>632</v>
      </c>
      <c r="C265" s="250" t="s">
        <v>384</v>
      </c>
      <c r="D265" s="250" t="s">
        <v>161</v>
      </c>
      <c r="E265" s="250"/>
      <c r="F265" s="267">
        <v>60000</v>
      </c>
      <c r="G265" s="217">
        <f t="shared" si="17"/>
        <v>17036968</v>
      </c>
      <c r="H265" s="250" t="s">
        <v>263</v>
      </c>
      <c r="I265" s="228" t="s">
        <v>361</v>
      </c>
      <c r="J265" s="250" t="s">
        <v>297</v>
      </c>
      <c r="K265" s="228" t="s">
        <v>206</v>
      </c>
      <c r="L265" s="228" t="s">
        <v>502</v>
      </c>
      <c r="M265" s="257" t="s">
        <v>633</v>
      </c>
      <c r="N265" s="228" t="s">
        <v>516</v>
      </c>
      <c r="O265" s="250"/>
      <c r="P265" s="258"/>
    </row>
    <row r="266" spans="1:18" s="230" customFormat="1" ht="13.8" x14ac:dyDescent="0.25">
      <c r="A266" s="223"/>
      <c r="C266" s="197"/>
      <c r="E266" s="197"/>
      <c r="F266" s="197"/>
      <c r="G266" s="197"/>
      <c r="N266" s="197"/>
      <c r="P266" s="232"/>
    </row>
    <row r="267" spans="1:18" s="230" customFormat="1" ht="13.8" x14ac:dyDescent="0.25">
      <c r="A267" s="223"/>
      <c r="B267" s="231"/>
      <c r="C267" s="231"/>
      <c r="E267" s="231"/>
      <c r="F267" s="241"/>
      <c r="G267" s="197"/>
      <c r="H267" s="231"/>
      <c r="O267" s="231"/>
      <c r="P267" s="232"/>
    </row>
    <row r="268" spans="1:18" s="230" customFormat="1" ht="13.8" x14ac:dyDescent="0.25">
      <c r="A268" s="239"/>
      <c r="B268" s="231"/>
      <c r="C268" s="231"/>
      <c r="E268" s="231"/>
      <c r="F268" s="231"/>
      <c r="G268" s="197"/>
      <c r="H268" s="231"/>
      <c r="J268" s="231"/>
      <c r="K268" s="231"/>
      <c r="L268" s="231"/>
      <c r="N268" s="231"/>
      <c r="O268" s="231"/>
      <c r="P268" s="232"/>
    </row>
    <row r="269" spans="1:18" s="230" customFormat="1" ht="13.8" x14ac:dyDescent="0.25">
      <c r="A269" s="223"/>
      <c r="C269" s="231"/>
      <c r="E269" s="197"/>
      <c r="F269" s="197"/>
      <c r="G269" s="197"/>
      <c r="N269" s="231"/>
      <c r="P269" s="232"/>
    </row>
    <row r="270" spans="1:18" s="230" customFormat="1" ht="13.8" x14ac:dyDescent="0.25">
      <c r="A270" s="223"/>
      <c r="E270" s="197"/>
      <c r="F270" s="215"/>
      <c r="G270" s="197"/>
      <c r="P270" s="251"/>
      <c r="Q270" s="231"/>
      <c r="R270" s="231"/>
    </row>
    <row r="271" spans="1:18" s="230" customFormat="1" ht="13.8" x14ac:dyDescent="0.25">
      <c r="A271" s="223"/>
      <c r="C271" s="231"/>
      <c r="F271" s="247"/>
      <c r="G271" s="197"/>
      <c r="P271" s="251"/>
      <c r="Q271" s="231"/>
      <c r="R271" s="231"/>
    </row>
    <row r="272" spans="1:18" s="230" customFormat="1" ht="13.8" x14ac:dyDescent="0.25">
      <c r="A272" s="223"/>
      <c r="E272" s="197"/>
      <c r="F272" s="197"/>
      <c r="G272" s="197"/>
      <c r="P272" s="251"/>
      <c r="Q272" s="231"/>
      <c r="R272" s="231"/>
    </row>
    <row r="273" spans="1:18" s="230" customFormat="1" ht="13.8" x14ac:dyDescent="0.25">
      <c r="A273" s="229"/>
      <c r="B273" s="231"/>
      <c r="C273" s="231"/>
      <c r="E273" s="231"/>
      <c r="F273" s="231"/>
      <c r="G273" s="197"/>
      <c r="H273" s="231"/>
      <c r="M273" s="231"/>
      <c r="N273" s="231"/>
      <c r="O273" s="231"/>
      <c r="P273" s="251"/>
      <c r="Q273" s="231"/>
      <c r="R273" s="231"/>
    </row>
    <row r="274" spans="1:18" s="230" customFormat="1" ht="13.8" x14ac:dyDescent="0.25">
      <c r="A274" s="223"/>
      <c r="C274" s="231"/>
      <c r="E274" s="197"/>
      <c r="F274" s="197"/>
      <c r="G274" s="197"/>
      <c r="P274" s="251"/>
      <c r="Q274" s="231"/>
      <c r="R274" s="231"/>
    </row>
    <row r="275" spans="1:18" s="230" customFormat="1" ht="13.8" x14ac:dyDescent="0.25">
      <c r="A275" s="234"/>
      <c r="C275" s="231"/>
      <c r="G275" s="197"/>
      <c r="H275" s="231"/>
      <c r="P275" s="251"/>
      <c r="Q275" s="231"/>
      <c r="R275" s="231"/>
    </row>
    <row r="276" spans="1:18" s="230" customFormat="1" ht="13.8" x14ac:dyDescent="0.25">
      <c r="A276" s="234"/>
      <c r="E276" s="197"/>
      <c r="F276" s="197"/>
      <c r="G276" s="197"/>
      <c r="P276" s="251"/>
      <c r="Q276" s="231"/>
      <c r="R276" s="231"/>
    </row>
    <row r="277" spans="1:18" s="230" customFormat="1" ht="13.8" x14ac:dyDescent="0.25">
      <c r="A277" s="223"/>
      <c r="E277" s="197"/>
      <c r="F277" s="197"/>
      <c r="G277" s="197"/>
      <c r="P277" s="251"/>
      <c r="Q277" s="231"/>
      <c r="R277" s="231"/>
    </row>
    <row r="278" spans="1:18" s="230" customFormat="1" ht="13.8" x14ac:dyDescent="0.25">
      <c r="A278" s="223"/>
      <c r="C278" s="231"/>
      <c r="D278" s="231"/>
      <c r="E278" s="197"/>
      <c r="F278" s="197"/>
      <c r="G278" s="197"/>
      <c r="K278" s="231"/>
      <c r="L278" s="231"/>
      <c r="N278" s="231"/>
      <c r="P278" s="251"/>
      <c r="Q278" s="231"/>
      <c r="R278" s="231"/>
    </row>
    <row r="279" spans="1:18" s="230" customFormat="1" ht="13.8" x14ac:dyDescent="0.25">
      <c r="A279" s="223"/>
      <c r="B279" s="235"/>
      <c r="C279" s="216"/>
      <c r="D279" s="216"/>
      <c r="G279" s="197"/>
      <c r="I279" s="243"/>
      <c r="P279" s="251"/>
      <c r="Q279" s="231"/>
      <c r="R279" s="231"/>
    </row>
    <row r="280" spans="1:18" s="230" customFormat="1" ht="13.8" x14ac:dyDescent="0.25">
      <c r="A280" s="223"/>
      <c r="C280" s="231"/>
      <c r="E280" s="197"/>
      <c r="F280" s="197"/>
      <c r="G280" s="197"/>
      <c r="P280" s="251"/>
      <c r="Q280" s="231"/>
      <c r="R280" s="231"/>
    </row>
    <row r="281" spans="1:18" s="230" customFormat="1" ht="13.8" x14ac:dyDescent="0.25">
      <c r="A281" s="229"/>
      <c r="C281" s="231"/>
      <c r="E281" s="197"/>
      <c r="F281" s="197"/>
      <c r="G281" s="197"/>
      <c r="K281" s="233"/>
      <c r="N281" s="231"/>
      <c r="O281" s="197"/>
      <c r="P281" s="251"/>
      <c r="Q281" s="231"/>
      <c r="R281" s="231"/>
    </row>
    <row r="282" spans="1:18" s="230" customFormat="1" ht="13.8" x14ac:dyDescent="0.25">
      <c r="A282" s="223"/>
      <c r="B282" s="235"/>
      <c r="C282" s="231"/>
      <c r="F282" s="215"/>
      <c r="G282" s="197"/>
      <c r="P282" s="251"/>
      <c r="Q282" s="231"/>
      <c r="R282" s="231"/>
    </row>
    <row r="283" spans="1:18" s="230" customFormat="1" ht="13.8" x14ac:dyDescent="0.25">
      <c r="A283" s="223"/>
      <c r="B283" s="235"/>
      <c r="C283" s="231"/>
      <c r="D283" s="253"/>
      <c r="E283" s="214"/>
      <c r="F283" s="197"/>
      <c r="G283" s="197"/>
      <c r="H283" s="197"/>
      <c r="K283" s="231"/>
      <c r="L283" s="231"/>
      <c r="P283" s="251"/>
      <c r="Q283" s="231"/>
      <c r="R283" s="231"/>
    </row>
    <row r="284" spans="1:18" s="230" customFormat="1" ht="13.8" x14ac:dyDescent="0.25">
      <c r="A284" s="223"/>
      <c r="C284" s="231"/>
      <c r="E284" s="231"/>
      <c r="F284" s="240"/>
      <c r="G284" s="197"/>
      <c r="P284" s="251"/>
      <c r="Q284" s="231"/>
      <c r="R284" s="231"/>
    </row>
    <row r="285" spans="1:18" s="230" customFormat="1" ht="13.8" x14ac:dyDescent="0.25">
      <c r="A285" s="229"/>
      <c r="D285" s="231"/>
      <c r="E285" s="197"/>
      <c r="F285" s="215"/>
      <c r="G285" s="197"/>
      <c r="N285" s="197"/>
      <c r="P285" s="251"/>
      <c r="Q285" s="231"/>
      <c r="R285" s="231"/>
    </row>
    <row r="286" spans="1:18" s="230" customFormat="1" ht="13.8" x14ac:dyDescent="0.25">
      <c r="A286" s="229"/>
      <c r="E286" s="197"/>
      <c r="F286" s="215"/>
      <c r="G286" s="197"/>
      <c r="P286" s="251"/>
      <c r="Q286" s="231"/>
      <c r="R286" s="231"/>
    </row>
    <row r="287" spans="1:18" s="230" customFormat="1" ht="13.8" x14ac:dyDescent="0.25">
      <c r="A287" s="223"/>
      <c r="C287" s="231"/>
      <c r="F287" s="197"/>
      <c r="G287" s="197"/>
      <c r="H287" s="197"/>
      <c r="P287" s="251"/>
      <c r="Q287" s="231"/>
      <c r="R287" s="231"/>
    </row>
    <row r="288" spans="1:18" s="230" customFormat="1" ht="13.8" x14ac:dyDescent="0.25">
      <c r="A288" s="234"/>
      <c r="B288" s="231"/>
      <c r="C288" s="231"/>
      <c r="F288" s="231"/>
      <c r="G288" s="197"/>
      <c r="N288" s="231"/>
      <c r="O288" s="231"/>
      <c r="P288" s="251"/>
      <c r="Q288" s="231"/>
      <c r="R288" s="231"/>
    </row>
    <row r="289" spans="1:18" s="230" customFormat="1" ht="13.8" x14ac:dyDescent="0.25">
      <c r="A289" s="223"/>
      <c r="C289" s="231"/>
      <c r="E289" s="197"/>
      <c r="F289" s="197"/>
      <c r="G289" s="197"/>
      <c r="N289" s="197"/>
      <c r="O289" s="244"/>
      <c r="P289" s="251"/>
      <c r="Q289" s="231"/>
      <c r="R289" s="231"/>
    </row>
    <row r="290" spans="1:18" s="230" customFormat="1" ht="13.8" x14ac:dyDescent="0.25">
      <c r="A290" s="223"/>
      <c r="B290" s="254"/>
      <c r="C290" s="231"/>
      <c r="D290" s="216"/>
      <c r="E290" s="233"/>
      <c r="F290" s="241"/>
      <c r="G290" s="197"/>
      <c r="I290" s="243"/>
      <c r="P290" s="251"/>
      <c r="Q290" s="231"/>
      <c r="R290" s="231"/>
    </row>
    <row r="291" spans="1:18" s="230" customFormat="1" ht="13.8" x14ac:dyDescent="0.25">
      <c r="A291" s="223"/>
      <c r="F291" s="240"/>
      <c r="G291" s="197"/>
      <c r="N291" s="231"/>
      <c r="P291" s="251"/>
      <c r="Q291" s="231"/>
      <c r="R291" s="231"/>
    </row>
    <row r="292" spans="1:18" s="230" customFormat="1" ht="13.8" x14ac:dyDescent="0.25">
      <c r="A292" s="229"/>
      <c r="C292" s="231"/>
      <c r="F292" s="245"/>
      <c r="G292" s="197"/>
      <c r="P292" s="251"/>
      <c r="Q292" s="231"/>
      <c r="R292" s="231"/>
    </row>
    <row r="293" spans="1:18" s="230" customFormat="1" ht="13.8" x14ac:dyDescent="0.25">
      <c r="A293" s="223"/>
      <c r="B293" s="235"/>
      <c r="C293" s="242"/>
      <c r="E293" s="237"/>
      <c r="F293" s="197"/>
      <c r="G293" s="197"/>
      <c r="H293" s="233"/>
      <c r="P293" s="251"/>
      <c r="Q293" s="231"/>
      <c r="R293" s="231"/>
    </row>
    <row r="294" spans="1:18" s="230" customFormat="1" ht="13.8" x14ac:dyDescent="0.25">
      <c r="A294" s="223"/>
      <c r="B294" s="231"/>
      <c r="C294" s="231"/>
      <c r="E294" s="231"/>
      <c r="F294" s="241"/>
      <c r="G294" s="197"/>
      <c r="H294" s="231"/>
      <c r="J294" s="231"/>
      <c r="O294" s="231"/>
      <c r="P294" s="251"/>
      <c r="Q294" s="231"/>
      <c r="R294" s="231"/>
    </row>
    <row r="295" spans="1:18" s="230" customFormat="1" ht="13.8" x14ac:dyDescent="0.25">
      <c r="A295" s="223"/>
      <c r="B295" s="246"/>
      <c r="C295" s="231"/>
      <c r="E295" s="245"/>
      <c r="F295" s="247"/>
      <c r="G295" s="197"/>
      <c r="H295" s="248"/>
      <c r="P295" s="251"/>
      <c r="Q295" s="231"/>
      <c r="R295" s="231"/>
    </row>
    <row r="296" spans="1:18" s="230" customFormat="1" ht="13.8" x14ac:dyDescent="0.25">
      <c r="A296" s="223"/>
      <c r="C296" s="231"/>
      <c r="D296" s="231"/>
      <c r="E296" s="197"/>
      <c r="F296" s="197"/>
      <c r="G296" s="197"/>
      <c r="P296" s="251"/>
      <c r="Q296" s="231"/>
      <c r="R296" s="231"/>
    </row>
    <row r="297" spans="1:18" s="230" customFormat="1" ht="13.8" x14ac:dyDescent="0.25">
      <c r="A297" s="239"/>
      <c r="C297" s="245"/>
      <c r="F297" s="231"/>
      <c r="G297" s="197"/>
      <c r="P297" s="251"/>
      <c r="Q297" s="231"/>
      <c r="R297" s="231"/>
    </row>
    <row r="298" spans="1:18" s="230" customFormat="1" ht="13.8" x14ac:dyDescent="0.25">
      <c r="A298" s="223"/>
      <c r="E298" s="197"/>
      <c r="F298" s="197"/>
      <c r="G298" s="197"/>
      <c r="O298" s="197"/>
      <c r="P298" s="251"/>
      <c r="Q298" s="231"/>
      <c r="R298" s="231"/>
    </row>
    <row r="299" spans="1:18" s="230" customFormat="1" ht="13.8" x14ac:dyDescent="0.25">
      <c r="A299" s="223"/>
      <c r="B299" s="231"/>
      <c r="C299" s="231"/>
      <c r="E299" s="231"/>
      <c r="F299" s="237"/>
      <c r="G299" s="197"/>
      <c r="H299" s="231"/>
      <c r="N299" s="231"/>
      <c r="O299" s="231"/>
      <c r="P299" s="251"/>
      <c r="Q299" s="231"/>
      <c r="R299" s="231"/>
    </row>
    <row r="300" spans="1:18" s="230" customFormat="1" ht="13.8" x14ac:dyDescent="0.25">
      <c r="A300" s="234"/>
      <c r="B300" s="231"/>
      <c r="C300" s="231"/>
      <c r="E300" s="231"/>
      <c r="F300" s="231"/>
      <c r="G300" s="197"/>
      <c r="H300" s="231"/>
      <c r="O300" s="231"/>
      <c r="P300" s="251"/>
      <c r="Q300" s="231"/>
      <c r="R300" s="231"/>
    </row>
    <row r="301" spans="1:18" s="230" customFormat="1" ht="13.8" x14ac:dyDescent="0.25">
      <c r="A301" s="229"/>
      <c r="B301" s="231"/>
      <c r="C301" s="231"/>
      <c r="E301" s="231"/>
      <c r="F301" s="237"/>
      <c r="G301" s="197"/>
      <c r="H301" s="231"/>
      <c r="O301" s="231"/>
      <c r="P301" s="251"/>
      <c r="Q301" s="231"/>
      <c r="R301" s="231"/>
    </row>
    <row r="302" spans="1:18" s="230" customFormat="1" ht="13.8" x14ac:dyDescent="0.25">
      <c r="A302" s="229"/>
      <c r="C302" s="231"/>
      <c r="E302" s="214"/>
      <c r="F302" s="197"/>
      <c r="G302" s="197"/>
      <c r="H302" s="197"/>
      <c r="P302" s="251"/>
      <c r="Q302" s="231"/>
      <c r="R302" s="231"/>
    </row>
    <row r="303" spans="1:18" s="230" customFormat="1" ht="13.8" x14ac:dyDescent="0.25">
      <c r="A303" s="239"/>
      <c r="C303" s="252"/>
      <c r="D303" s="252"/>
      <c r="F303" s="247"/>
      <c r="G303" s="197"/>
      <c r="H303" s="246"/>
      <c r="P303" s="251"/>
      <c r="Q303" s="231"/>
      <c r="R303" s="231"/>
    </row>
    <row r="304" spans="1:18" s="230" customFormat="1" ht="13.8" x14ac:dyDescent="0.25">
      <c r="A304" s="223"/>
      <c r="E304" s="197"/>
      <c r="F304" s="197"/>
      <c r="G304" s="197"/>
      <c r="P304" s="251"/>
      <c r="Q304" s="231"/>
      <c r="R304" s="231"/>
    </row>
    <row r="305" spans="1:18" s="230" customFormat="1" ht="13.8" x14ac:dyDescent="0.25">
      <c r="A305" s="229"/>
      <c r="B305" s="231"/>
      <c r="C305" s="231"/>
      <c r="E305" s="231"/>
      <c r="F305" s="231"/>
      <c r="G305" s="197"/>
      <c r="H305" s="231"/>
      <c r="O305" s="231"/>
      <c r="P305" s="251"/>
      <c r="Q305" s="231"/>
      <c r="R305" s="231"/>
    </row>
    <row r="306" spans="1:18" s="230" customFormat="1" ht="13.8" x14ac:dyDescent="0.25">
      <c r="A306" s="229"/>
      <c r="B306" s="231"/>
      <c r="C306" s="231"/>
      <c r="E306" s="231"/>
      <c r="F306" s="231"/>
      <c r="G306" s="197"/>
      <c r="H306" s="231"/>
      <c r="O306" s="231"/>
      <c r="P306" s="251"/>
      <c r="Q306" s="231"/>
      <c r="R306" s="231"/>
    </row>
    <row r="307" spans="1:18" s="230" customFormat="1" ht="13.8" x14ac:dyDescent="0.25">
      <c r="A307" s="229"/>
      <c r="C307" s="231"/>
      <c r="G307" s="197"/>
      <c r="P307" s="232"/>
    </row>
    <row r="308" spans="1:18" s="230" customFormat="1" ht="13.8" x14ac:dyDescent="0.25">
      <c r="J308" s="228"/>
      <c r="P308" s="232"/>
    </row>
    <row r="309" spans="1:18" s="230" customFormat="1" ht="13.8" x14ac:dyDescent="0.25">
      <c r="P309" s="232"/>
    </row>
    <row r="310" spans="1:18" s="230" customFormat="1" ht="13.8" x14ac:dyDescent="0.25">
      <c r="P310" s="232"/>
    </row>
    <row r="311" spans="1:18" s="230" customFormat="1" ht="13.8" x14ac:dyDescent="0.25">
      <c r="P311" s="232"/>
    </row>
    <row r="312" spans="1:18" s="230" customFormat="1" ht="13.8" x14ac:dyDescent="0.25">
      <c r="P312" s="232"/>
    </row>
    <row r="313" spans="1:18" s="230" customFormat="1" ht="13.8" x14ac:dyDescent="0.25">
      <c r="P313" s="232"/>
    </row>
    <row r="314" spans="1:18" s="230" customFormat="1" ht="13.8" x14ac:dyDescent="0.25">
      <c r="P314" s="232"/>
    </row>
    <row r="315" spans="1:18" s="230" customFormat="1" ht="13.8" x14ac:dyDescent="0.25">
      <c r="P315" s="232"/>
    </row>
    <row r="316" spans="1:18" s="58" customFormat="1" ht="13.8" x14ac:dyDescent="0.25">
      <c r="P316" s="222"/>
    </row>
    <row r="317" spans="1:18" s="58" customFormat="1" ht="13.8" x14ac:dyDescent="0.25">
      <c r="P317" s="222"/>
    </row>
    <row r="318" spans="1:18" s="58" customFormat="1" ht="13.8" x14ac:dyDescent="0.25">
      <c r="P318" s="222"/>
    </row>
    <row r="319" spans="1:18" s="58" customFormat="1" ht="13.8" x14ac:dyDescent="0.25">
      <c r="P319" s="222"/>
    </row>
    <row r="320" spans="1:18" s="191" customFormat="1" ht="13.8" x14ac:dyDescent="0.25">
      <c r="P320" s="222"/>
    </row>
    <row r="321" spans="16:16" s="191" customFormat="1" ht="13.8" x14ac:dyDescent="0.25">
      <c r="P321" s="222"/>
    </row>
    <row r="322" spans="16:16" s="191" customFormat="1" ht="13.8" x14ac:dyDescent="0.25">
      <c r="P322" s="222"/>
    </row>
    <row r="323" spans="16:16" s="191" customFormat="1" ht="13.8" x14ac:dyDescent="0.25">
      <c r="P323" s="222"/>
    </row>
    <row r="324" spans="16:16" s="191" customFormat="1" ht="13.8" x14ac:dyDescent="0.25">
      <c r="P324" s="222"/>
    </row>
    <row r="325" spans="16:16" s="191" customFormat="1" ht="13.8" x14ac:dyDescent="0.25">
      <c r="P325" s="222"/>
    </row>
    <row r="326" spans="16:16" s="191" customFormat="1" ht="13.8" x14ac:dyDescent="0.25">
      <c r="P326" s="222"/>
    </row>
    <row r="327" spans="16:16" s="191" customFormat="1" ht="13.8" x14ac:dyDescent="0.25">
      <c r="P327" s="222"/>
    </row>
    <row r="328" spans="16:16" s="191" customFormat="1" ht="13.8" x14ac:dyDescent="0.25">
      <c r="P328" s="222"/>
    </row>
    <row r="329" spans="16:16" s="191" customFormat="1" ht="13.8" x14ac:dyDescent="0.25">
      <c r="P329" s="222"/>
    </row>
    <row r="330" spans="16:16" s="191" customFormat="1" ht="13.8" x14ac:dyDescent="0.25">
      <c r="P330" s="222"/>
    </row>
    <row r="331" spans="16:16" s="191" customFormat="1" ht="13.8" x14ac:dyDescent="0.25">
      <c r="P331" s="222"/>
    </row>
    <row r="332" spans="16:16" s="191" customFormat="1" ht="13.8" x14ac:dyDescent="0.25">
      <c r="P332" s="222"/>
    </row>
    <row r="333" spans="16:16" s="191" customFormat="1" ht="13.8" x14ac:dyDescent="0.25">
      <c r="P333" s="222"/>
    </row>
    <row r="334" spans="16:16" s="191" customFormat="1" ht="13.8" x14ac:dyDescent="0.25">
      <c r="P334" s="222"/>
    </row>
    <row r="335" spans="16:16" s="191" customFormat="1" ht="13.8" x14ac:dyDescent="0.25">
      <c r="P335" s="222"/>
    </row>
    <row r="336" spans="16:16" s="191" customFormat="1" ht="13.8" x14ac:dyDescent="0.25">
      <c r="P336" s="222"/>
    </row>
    <row r="337" spans="16:16" s="191" customFormat="1" ht="13.8" x14ac:dyDescent="0.25">
      <c r="P337" s="222"/>
    </row>
    <row r="338" spans="16:16" s="191" customFormat="1" ht="13.8" x14ac:dyDescent="0.25">
      <c r="P338" s="222"/>
    </row>
    <row r="339" spans="16:16" s="191" customFormat="1" ht="13.8" x14ac:dyDescent="0.25">
      <c r="P339" s="222"/>
    </row>
    <row r="340" spans="16:16" s="191" customFormat="1" ht="13.8" x14ac:dyDescent="0.25">
      <c r="P340" s="222"/>
    </row>
    <row r="341" spans="16:16" s="191" customFormat="1" ht="13.8" x14ac:dyDescent="0.25">
      <c r="P341" s="222"/>
    </row>
    <row r="342" spans="16:16" s="191" customFormat="1" ht="13.8" x14ac:dyDescent="0.25">
      <c r="P342" s="222"/>
    </row>
    <row r="343" spans="16:16" s="191" customFormat="1" ht="13.8" x14ac:dyDescent="0.25">
      <c r="P343" s="222"/>
    </row>
    <row r="344" spans="16:16" s="191" customFormat="1" ht="13.8" x14ac:dyDescent="0.25">
      <c r="P344" s="222"/>
    </row>
    <row r="345" spans="16:16" s="191" customFormat="1" ht="13.8" x14ac:dyDescent="0.25">
      <c r="P345" s="222"/>
    </row>
    <row r="346" spans="16:16" s="191" customFormat="1" ht="13.8" x14ac:dyDescent="0.25">
      <c r="P346" s="222"/>
    </row>
    <row r="347" spans="16:16" s="191" customFormat="1" ht="13.8" x14ac:dyDescent="0.25">
      <c r="P347" s="222"/>
    </row>
    <row r="348" spans="16:16" s="191" customFormat="1" ht="13.8" x14ac:dyDescent="0.25">
      <c r="P348" s="222"/>
    </row>
    <row r="349" spans="16:16" s="191" customFormat="1" ht="13.8" x14ac:dyDescent="0.25">
      <c r="P349" s="222"/>
    </row>
    <row r="350" spans="16:16" s="191" customFormat="1" ht="13.8" x14ac:dyDescent="0.25">
      <c r="P350" s="222"/>
    </row>
    <row r="351" spans="16:16" s="191" customFormat="1" ht="13.8" x14ac:dyDescent="0.25">
      <c r="P351" s="222"/>
    </row>
    <row r="352" spans="16:16" s="191" customFormat="1" ht="13.8" x14ac:dyDescent="0.25">
      <c r="P352" s="222"/>
    </row>
    <row r="353" spans="16:16" s="191" customFormat="1" ht="13.8" x14ac:dyDescent="0.25">
      <c r="P353" s="222"/>
    </row>
    <row r="354" spans="16:16" s="191" customFormat="1" ht="13.8" x14ac:dyDescent="0.25">
      <c r="P354" s="222"/>
    </row>
    <row r="355" spans="16:16" s="191" customFormat="1" ht="13.8" x14ac:dyDescent="0.25">
      <c r="P355" s="222"/>
    </row>
    <row r="356" spans="16:16" s="191" customFormat="1" ht="13.8" x14ac:dyDescent="0.25">
      <c r="P356" s="222"/>
    </row>
    <row r="357" spans="16:16" s="191" customFormat="1" ht="13.8" x14ac:dyDescent="0.25">
      <c r="P357" s="222"/>
    </row>
    <row r="358" spans="16:16" s="191" customFormat="1" ht="13.8" x14ac:dyDescent="0.25">
      <c r="P358" s="222"/>
    </row>
    <row r="359" spans="16:16" s="191" customFormat="1" ht="13.8" x14ac:dyDescent="0.25">
      <c r="P359" s="222"/>
    </row>
    <row r="360" spans="16:16" s="191" customFormat="1" ht="13.8" x14ac:dyDescent="0.25">
      <c r="P360" s="222"/>
    </row>
    <row r="361" spans="16:16" s="191" customFormat="1" ht="13.8" x14ac:dyDescent="0.25">
      <c r="P361" s="222"/>
    </row>
    <row r="362" spans="16:16" s="191" customFormat="1" ht="13.8" x14ac:dyDescent="0.25">
      <c r="P362" s="222"/>
    </row>
    <row r="363" spans="16:16" s="191" customFormat="1" ht="13.8" x14ac:dyDescent="0.25">
      <c r="P363" s="222"/>
    </row>
    <row r="364" spans="16:16" s="191" customFormat="1" ht="13.8" x14ac:dyDescent="0.25">
      <c r="P364" s="222"/>
    </row>
    <row r="365" spans="16:16" s="191" customFormat="1" ht="13.8" x14ac:dyDescent="0.25">
      <c r="P365" s="222"/>
    </row>
    <row r="366" spans="16:16" s="191" customFormat="1" ht="13.8" x14ac:dyDescent="0.25">
      <c r="P366" s="222"/>
    </row>
    <row r="367" spans="16:16" s="191" customFormat="1" ht="13.8" x14ac:dyDescent="0.25">
      <c r="P367" s="222"/>
    </row>
    <row r="368" spans="16:16" s="191" customFormat="1" ht="13.8" x14ac:dyDescent="0.25">
      <c r="P368" s="222"/>
    </row>
    <row r="369" spans="16:16" s="191" customFormat="1" ht="13.8" x14ac:dyDescent="0.25">
      <c r="P369" s="222"/>
    </row>
    <row r="370" spans="16:16" s="191" customFormat="1" ht="13.8" x14ac:dyDescent="0.25">
      <c r="P370" s="222"/>
    </row>
    <row r="371" spans="16:16" s="191" customFormat="1" ht="13.8" x14ac:dyDescent="0.25">
      <c r="P371" s="222"/>
    </row>
    <row r="372" spans="16:16" s="191" customFormat="1" ht="13.8" x14ac:dyDescent="0.25">
      <c r="P372" s="222"/>
    </row>
    <row r="373" spans="16:16" s="191" customFormat="1" ht="13.8" x14ac:dyDescent="0.25">
      <c r="P373" s="222"/>
    </row>
    <row r="374" spans="16:16" s="191" customFormat="1" ht="13.8" x14ac:dyDescent="0.25">
      <c r="P374" s="222"/>
    </row>
    <row r="375" spans="16:16" s="191" customFormat="1" ht="13.8" x14ac:dyDescent="0.25">
      <c r="P375" s="222"/>
    </row>
    <row r="376" spans="16:16" s="191" customFormat="1" ht="13.8" x14ac:dyDescent="0.25">
      <c r="P376" s="222"/>
    </row>
    <row r="377" spans="16:16" s="191" customFormat="1" ht="13.8" x14ac:dyDescent="0.25">
      <c r="P377" s="222"/>
    </row>
    <row r="378" spans="16:16" s="191" customFormat="1" ht="13.8" x14ac:dyDescent="0.25">
      <c r="P378" s="222"/>
    </row>
    <row r="379" spans="16:16" s="191" customFormat="1" ht="13.8" x14ac:dyDescent="0.25">
      <c r="P379" s="222"/>
    </row>
    <row r="380" spans="16:16" s="191" customFormat="1" ht="13.8" x14ac:dyDescent="0.25">
      <c r="P380" s="222"/>
    </row>
    <row r="381" spans="16:16" s="191" customFormat="1" ht="13.8" x14ac:dyDescent="0.25">
      <c r="P381" s="222"/>
    </row>
    <row r="382" spans="16:16" s="191" customFormat="1" ht="13.8" x14ac:dyDescent="0.25">
      <c r="P382" s="222"/>
    </row>
    <row r="383" spans="16:16" s="191" customFormat="1" ht="13.8" x14ac:dyDescent="0.25">
      <c r="P383" s="222"/>
    </row>
    <row r="384" spans="16:16" s="191" customFormat="1" ht="13.8" x14ac:dyDescent="0.25">
      <c r="P384" s="222"/>
    </row>
    <row r="385" spans="16:16" s="191" customFormat="1" ht="13.8" x14ac:dyDescent="0.25">
      <c r="P385" s="222"/>
    </row>
    <row r="386" spans="16:16" s="191" customFormat="1" ht="13.8" x14ac:dyDescent="0.25">
      <c r="P386" s="222"/>
    </row>
    <row r="387" spans="16:16" s="191" customFormat="1" ht="13.8" x14ac:dyDescent="0.25">
      <c r="P387" s="222"/>
    </row>
    <row r="388" spans="16:16" s="191" customFormat="1" ht="13.8" x14ac:dyDescent="0.25">
      <c r="P388" s="222"/>
    </row>
    <row r="389" spans="16:16" s="191" customFormat="1" ht="13.8" x14ac:dyDescent="0.25">
      <c r="P389" s="222"/>
    </row>
    <row r="390" spans="16:16" s="191" customFormat="1" ht="13.8" x14ac:dyDescent="0.25">
      <c r="P390" s="222"/>
    </row>
    <row r="391" spans="16:16" s="191" customFormat="1" ht="13.8" x14ac:dyDescent="0.25">
      <c r="P391" s="222"/>
    </row>
    <row r="392" spans="16:16" s="191" customFormat="1" ht="13.8" x14ac:dyDescent="0.25">
      <c r="P392" s="222"/>
    </row>
    <row r="393" spans="16:16" s="191" customFormat="1" ht="13.8" x14ac:dyDescent="0.25">
      <c r="P393" s="222"/>
    </row>
    <row r="394" spans="16:16" s="191" customFormat="1" ht="13.8" x14ac:dyDescent="0.25">
      <c r="P394" s="222"/>
    </row>
    <row r="395" spans="16:16" s="191" customFormat="1" ht="13.8" x14ac:dyDescent="0.25">
      <c r="P395" s="222"/>
    </row>
    <row r="396" spans="16:16" s="191" customFormat="1" ht="13.8" x14ac:dyDescent="0.25">
      <c r="P396" s="222"/>
    </row>
    <row r="397" spans="16:16" s="191" customFormat="1" ht="13.8" x14ac:dyDescent="0.25">
      <c r="P397" s="222"/>
    </row>
    <row r="398" spans="16:16" s="191" customFormat="1" ht="13.8" x14ac:dyDescent="0.25">
      <c r="P398" s="222"/>
    </row>
    <row r="399" spans="16:16" s="191" customFormat="1" ht="13.8" x14ac:dyDescent="0.25">
      <c r="P399" s="222"/>
    </row>
    <row r="400" spans="16:16" s="191" customFormat="1" ht="13.8" x14ac:dyDescent="0.25">
      <c r="P400" s="222"/>
    </row>
    <row r="401" spans="16:16" s="191" customFormat="1" ht="13.8" x14ac:dyDescent="0.25">
      <c r="P401" s="222"/>
    </row>
    <row r="402" spans="16:16" s="191" customFormat="1" ht="13.8" x14ac:dyDescent="0.25">
      <c r="P402" s="222"/>
    </row>
    <row r="403" spans="16:16" s="191" customFormat="1" ht="13.8" x14ac:dyDescent="0.25">
      <c r="P403" s="222"/>
    </row>
    <row r="404" spans="16:16" s="191" customFormat="1" ht="13.8" x14ac:dyDescent="0.25">
      <c r="P404" s="222"/>
    </row>
    <row r="405" spans="16:16" s="191" customFormat="1" ht="13.8" x14ac:dyDescent="0.25">
      <c r="P405" s="222"/>
    </row>
    <row r="406" spans="16:16" s="191" customFormat="1" ht="13.8" x14ac:dyDescent="0.25">
      <c r="P406" s="222"/>
    </row>
    <row r="407" spans="16:16" s="191" customFormat="1" ht="13.8" x14ac:dyDescent="0.25">
      <c r="P407" s="222"/>
    </row>
    <row r="408" spans="16:16" s="191" customFormat="1" ht="13.8" x14ac:dyDescent="0.25">
      <c r="P408" s="222"/>
    </row>
    <row r="409" spans="16:16" s="191" customFormat="1" ht="13.8" x14ac:dyDescent="0.25">
      <c r="P409" s="222"/>
    </row>
    <row r="410" spans="16:16" s="191" customFormat="1" ht="13.8" x14ac:dyDescent="0.25">
      <c r="P410" s="222"/>
    </row>
    <row r="411" spans="16:16" s="191" customFormat="1" ht="13.8" x14ac:dyDescent="0.25">
      <c r="P411" s="222"/>
    </row>
    <row r="412" spans="16:16" s="191" customFormat="1" ht="13.8" x14ac:dyDescent="0.25">
      <c r="P412" s="222"/>
    </row>
    <row r="413" spans="16:16" s="191" customFormat="1" ht="13.8" x14ac:dyDescent="0.25">
      <c r="P413" s="222"/>
    </row>
    <row r="414" spans="16:16" s="191" customFormat="1" ht="13.8" x14ac:dyDescent="0.25">
      <c r="P414" s="222"/>
    </row>
    <row r="415" spans="16:16" s="191" customFormat="1" ht="13.8" x14ac:dyDescent="0.25">
      <c r="P415" s="222"/>
    </row>
    <row r="416" spans="16:16" s="191" customFormat="1" ht="13.8" x14ac:dyDescent="0.25">
      <c r="P416" s="222"/>
    </row>
    <row r="417" spans="16:16" s="191" customFormat="1" ht="13.8" x14ac:dyDescent="0.25">
      <c r="P417" s="222"/>
    </row>
    <row r="418" spans="16:16" s="191" customFormat="1" ht="13.8" x14ac:dyDescent="0.25">
      <c r="P418" s="222"/>
    </row>
    <row r="419" spans="16:16" s="191" customFormat="1" ht="13.8" x14ac:dyDescent="0.25">
      <c r="P419" s="222"/>
    </row>
    <row r="420" spans="16:16" s="191" customFormat="1" ht="13.8" x14ac:dyDescent="0.25">
      <c r="P420" s="222"/>
    </row>
    <row r="421" spans="16:16" s="191" customFormat="1" ht="13.8" x14ac:dyDescent="0.25">
      <c r="P421" s="222"/>
    </row>
    <row r="422" spans="16:16" s="191" customFormat="1" ht="13.8" x14ac:dyDescent="0.25">
      <c r="P422" s="222"/>
    </row>
    <row r="423" spans="16:16" s="191" customFormat="1" ht="13.8" x14ac:dyDescent="0.25">
      <c r="P423" s="222"/>
    </row>
    <row r="424" spans="16:16" s="191" customFormat="1" ht="13.8" x14ac:dyDescent="0.25">
      <c r="P424" s="222"/>
    </row>
    <row r="425" spans="16:16" s="191" customFormat="1" ht="13.8" x14ac:dyDescent="0.25">
      <c r="P425" s="222"/>
    </row>
    <row r="426" spans="16:16" s="191" customFormat="1" ht="13.8" x14ac:dyDescent="0.25">
      <c r="P426" s="222"/>
    </row>
    <row r="427" spans="16:16" s="191" customFormat="1" ht="13.8" x14ac:dyDescent="0.25">
      <c r="P427" s="222"/>
    </row>
    <row r="428" spans="16:16" s="191" customFormat="1" ht="13.8" x14ac:dyDescent="0.25">
      <c r="P428" s="222"/>
    </row>
    <row r="429" spans="16:16" s="191" customFormat="1" ht="13.8" x14ac:dyDescent="0.25">
      <c r="P429" s="222"/>
    </row>
    <row r="430" spans="16:16" s="191" customFormat="1" ht="13.8" x14ac:dyDescent="0.25">
      <c r="P430" s="222"/>
    </row>
    <row r="431" spans="16:16" s="191" customFormat="1" ht="13.8" x14ac:dyDescent="0.25">
      <c r="P431" s="222"/>
    </row>
    <row r="432" spans="16:16" s="191" customFormat="1" ht="13.8" x14ac:dyDescent="0.25">
      <c r="P432" s="222"/>
    </row>
    <row r="433" spans="16:16" s="191" customFormat="1" ht="13.8" x14ac:dyDescent="0.25">
      <c r="P433" s="222"/>
    </row>
    <row r="434" spans="16:16" s="191" customFormat="1" ht="13.8" x14ac:dyDescent="0.25">
      <c r="P434" s="222"/>
    </row>
    <row r="435" spans="16:16" s="191" customFormat="1" ht="13.8" x14ac:dyDescent="0.25">
      <c r="P435" s="222"/>
    </row>
    <row r="436" spans="16:16" s="191" customFormat="1" ht="13.8" x14ac:dyDescent="0.25">
      <c r="P436" s="222"/>
    </row>
    <row r="437" spans="16:16" s="191" customFormat="1" ht="13.8" x14ac:dyDescent="0.25">
      <c r="P437" s="222"/>
    </row>
    <row r="438" spans="16:16" s="191" customFormat="1" ht="13.8" x14ac:dyDescent="0.25">
      <c r="P438" s="222"/>
    </row>
    <row r="439" spans="16:16" s="191" customFormat="1" ht="13.8" x14ac:dyDescent="0.25">
      <c r="P439" s="222"/>
    </row>
    <row r="440" spans="16:16" s="191" customFormat="1" ht="13.8" x14ac:dyDescent="0.25">
      <c r="P440" s="222"/>
    </row>
    <row r="441" spans="16:16" s="191" customFormat="1" ht="13.8" x14ac:dyDescent="0.25">
      <c r="P441" s="222"/>
    </row>
    <row r="442" spans="16:16" s="191" customFormat="1" ht="13.8" x14ac:dyDescent="0.25">
      <c r="P442" s="222"/>
    </row>
    <row r="443" spans="16:16" s="191" customFormat="1" ht="13.8" x14ac:dyDescent="0.25">
      <c r="P443" s="222"/>
    </row>
    <row r="444" spans="16:16" s="191" customFormat="1" ht="13.8" x14ac:dyDescent="0.25">
      <c r="P444" s="222"/>
    </row>
    <row r="445" spans="16:16" s="191" customFormat="1" ht="13.8" x14ac:dyDescent="0.25">
      <c r="P445" s="222"/>
    </row>
    <row r="446" spans="16:16" s="191" customFormat="1" ht="13.8" x14ac:dyDescent="0.25">
      <c r="P446" s="222"/>
    </row>
    <row r="447" spans="16:16" s="191" customFormat="1" ht="13.8" x14ac:dyDescent="0.25">
      <c r="P447" s="222"/>
    </row>
    <row r="448" spans="16:16" s="191" customFormat="1" ht="13.8" x14ac:dyDescent="0.25">
      <c r="P448" s="222"/>
    </row>
    <row r="449" spans="16:16" s="191" customFormat="1" ht="13.8" x14ac:dyDescent="0.25">
      <c r="P449" s="222"/>
    </row>
    <row r="450" spans="16:16" s="191" customFormat="1" ht="13.8" x14ac:dyDescent="0.25">
      <c r="P450" s="222"/>
    </row>
    <row r="451" spans="16:16" s="191" customFormat="1" ht="13.8" x14ac:dyDescent="0.25">
      <c r="P451" s="222"/>
    </row>
    <row r="452" spans="16:16" s="191" customFormat="1" ht="13.8" x14ac:dyDescent="0.25">
      <c r="P452" s="222"/>
    </row>
    <row r="453" spans="16:16" s="191" customFormat="1" ht="13.8" x14ac:dyDescent="0.25">
      <c r="P453" s="222"/>
    </row>
    <row r="454" spans="16:16" s="191" customFormat="1" ht="13.8" x14ac:dyDescent="0.25">
      <c r="P454" s="222"/>
    </row>
    <row r="455" spans="16:16" s="191" customFormat="1" ht="13.8" x14ac:dyDescent="0.25">
      <c r="P455" s="222"/>
    </row>
    <row r="456" spans="16:16" s="191" customFormat="1" ht="13.8" x14ac:dyDescent="0.25">
      <c r="P456" s="222"/>
    </row>
    <row r="457" spans="16:16" s="191" customFormat="1" ht="13.8" x14ac:dyDescent="0.25">
      <c r="P457" s="222"/>
    </row>
    <row r="458" spans="16:16" s="191" customFormat="1" ht="13.8" x14ac:dyDescent="0.25">
      <c r="P458" s="222"/>
    </row>
    <row r="459" spans="16:16" s="191" customFormat="1" ht="13.8" x14ac:dyDescent="0.25">
      <c r="P459" s="222"/>
    </row>
    <row r="460" spans="16:16" s="191" customFormat="1" ht="13.8" x14ac:dyDescent="0.25">
      <c r="P460" s="222"/>
    </row>
    <row r="461" spans="16:16" s="191" customFormat="1" ht="13.8" x14ac:dyDescent="0.25">
      <c r="P461" s="222"/>
    </row>
    <row r="462" spans="16:16" s="191" customFormat="1" ht="13.8" x14ac:dyDescent="0.25">
      <c r="P462" s="222"/>
    </row>
    <row r="463" spans="16:16" s="191" customFormat="1" ht="13.8" x14ac:dyDescent="0.25">
      <c r="P463" s="222"/>
    </row>
    <row r="464" spans="16:16" s="191" customFormat="1" ht="13.8" x14ac:dyDescent="0.25">
      <c r="P464" s="222"/>
    </row>
    <row r="465" spans="16:16" s="191" customFormat="1" ht="13.8" x14ac:dyDescent="0.25">
      <c r="P465" s="222"/>
    </row>
    <row r="466" spans="16:16" s="191" customFormat="1" ht="13.8" x14ac:dyDescent="0.25">
      <c r="P466" s="222"/>
    </row>
    <row r="467" spans="16:16" s="191" customFormat="1" ht="13.8" x14ac:dyDescent="0.25">
      <c r="P467" s="222"/>
    </row>
    <row r="468" spans="16:16" s="191" customFormat="1" ht="13.8" x14ac:dyDescent="0.25">
      <c r="P468" s="222"/>
    </row>
    <row r="469" spans="16:16" s="191" customFormat="1" ht="13.8" x14ac:dyDescent="0.25">
      <c r="P469" s="222"/>
    </row>
    <row r="470" spans="16:16" s="191" customFormat="1" ht="13.8" x14ac:dyDescent="0.25">
      <c r="P470" s="222"/>
    </row>
    <row r="471" spans="16:16" s="191" customFormat="1" ht="13.8" x14ac:dyDescent="0.25">
      <c r="P471" s="222"/>
    </row>
    <row r="472" spans="16:16" s="191" customFormat="1" ht="13.8" x14ac:dyDescent="0.25">
      <c r="P472" s="222"/>
    </row>
    <row r="473" spans="16:16" s="191" customFormat="1" ht="13.8" x14ac:dyDescent="0.25">
      <c r="P473" s="222"/>
    </row>
    <row r="474" spans="16:16" s="191" customFormat="1" ht="13.8" x14ac:dyDescent="0.25">
      <c r="P474" s="222"/>
    </row>
    <row r="475" spans="16:16" s="191" customFormat="1" ht="13.8" x14ac:dyDescent="0.25">
      <c r="P475" s="222"/>
    </row>
    <row r="476" spans="16:16" s="191" customFormat="1" ht="13.8" x14ac:dyDescent="0.25">
      <c r="P476" s="222"/>
    </row>
    <row r="477" spans="16:16" s="191" customFormat="1" ht="13.8" x14ac:dyDescent="0.25">
      <c r="P477" s="222"/>
    </row>
    <row r="478" spans="16:16" s="191" customFormat="1" ht="13.8" x14ac:dyDescent="0.25">
      <c r="P478" s="222"/>
    </row>
    <row r="479" spans="16:16" s="191" customFormat="1" ht="13.8" x14ac:dyDescent="0.25">
      <c r="P479" s="222"/>
    </row>
    <row r="480" spans="16:16" s="191" customFormat="1" ht="13.8" x14ac:dyDescent="0.25">
      <c r="P480" s="222"/>
    </row>
    <row r="481" spans="16:16" s="191" customFormat="1" ht="13.8" x14ac:dyDescent="0.25">
      <c r="P481" s="222"/>
    </row>
    <row r="482" spans="16:16" s="191" customFormat="1" ht="13.8" x14ac:dyDescent="0.25">
      <c r="P482" s="222"/>
    </row>
    <row r="483" spans="16:16" s="191" customFormat="1" ht="13.8" x14ac:dyDescent="0.25">
      <c r="P483" s="222"/>
    </row>
    <row r="484" spans="16:16" s="191" customFormat="1" ht="13.8" x14ac:dyDescent="0.25">
      <c r="P484" s="222"/>
    </row>
    <row r="485" spans="16:16" s="191" customFormat="1" ht="13.8" x14ac:dyDescent="0.25">
      <c r="P485" s="222"/>
    </row>
    <row r="486" spans="16:16" s="191" customFormat="1" ht="13.8" x14ac:dyDescent="0.25">
      <c r="P486" s="222"/>
    </row>
    <row r="487" spans="16:16" s="191" customFormat="1" ht="13.8" x14ac:dyDescent="0.25">
      <c r="P487" s="222"/>
    </row>
    <row r="488" spans="16:16" s="191" customFormat="1" ht="13.8" x14ac:dyDescent="0.25">
      <c r="P488" s="222"/>
    </row>
    <row r="489" spans="16:16" s="191" customFormat="1" ht="13.8" x14ac:dyDescent="0.25">
      <c r="P489" s="222"/>
    </row>
    <row r="490" spans="16:16" s="191" customFormat="1" ht="13.8" x14ac:dyDescent="0.25">
      <c r="P490" s="222"/>
    </row>
    <row r="491" spans="16:16" s="191" customFormat="1" ht="13.8" x14ac:dyDescent="0.25">
      <c r="P491" s="222"/>
    </row>
    <row r="492" spans="16:16" s="191" customFormat="1" ht="13.8" x14ac:dyDescent="0.25">
      <c r="P492" s="222"/>
    </row>
    <row r="493" spans="16:16" s="191" customFormat="1" ht="13.8" x14ac:dyDescent="0.25">
      <c r="P493" s="222"/>
    </row>
    <row r="494" spans="16:16" s="191" customFormat="1" ht="13.8" x14ac:dyDescent="0.25">
      <c r="P494" s="222"/>
    </row>
    <row r="495" spans="16:16" s="191" customFormat="1" ht="13.8" x14ac:dyDescent="0.25">
      <c r="P495" s="222"/>
    </row>
    <row r="496" spans="16:16" s="191" customFormat="1" ht="13.8" x14ac:dyDescent="0.25">
      <c r="P496" s="222"/>
    </row>
    <row r="497" spans="16:16" s="191" customFormat="1" ht="13.8" x14ac:dyDescent="0.25">
      <c r="P497" s="222"/>
    </row>
    <row r="498" spans="16:16" s="191" customFormat="1" ht="13.8" x14ac:dyDescent="0.25">
      <c r="P498" s="222"/>
    </row>
    <row r="499" spans="16:16" s="191" customFormat="1" ht="13.8" x14ac:dyDescent="0.25">
      <c r="P499" s="222"/>
    </row>
    <row r="500" spans="16:16" s="191" customFormat="1" ht="13.8" x14ac:dyDescent="0.25">
      <c r="P500" s="222"/>
    </row>
    <row r="501" spans="16:16" s="191" customFormat="1" ht="13.8" x14ac:dyDescent="0.25">
      <c r="P501" s="222"/>
    </row>
    <row r="502" spans="16:16" s="191" customFormat="1" ht="13.8" x14ac:dyDescent="0.25">
      <c r="P502" s="222"/>
    </row>
    <row r="503" spans="16:16" s="191" customFormat="1" ht="13.8" x14ac:dyDescent="0.25">
      <c r="P503" s="222"/>
    </row>
    <row r="504" spans="16:16" s="191" customFormat="1" ht="13.8" x14ac:dyDescent="0.25">
      <c r="P504" s="222"/>
    </row>
    <row r="505" spans="16:16" s="191" customFormat="1" ht="13.8" x14ac:dyDescent="0.25">
      <c r="P505" s="222"/>
    </row>
    <row r="506" spans="16:16" s="191" customFormat="1" ht="13.8" x14ac:dyDescent="0.25">
      <c r="P506" s="222"/>
    </row>
    <row r="507" spans="16:16" s="191" customFormat="1" ht="13.8" x14ac:dyDescent="0.25">
      <c r="P507" s="222"/>
    </row>
    <row r="508" spans="16:16" s="191" customFormat="1" ht="13.8" x14ac:dyDescent="0.25">
      <c r="P508" s="222"/>
    </row>
    <row r="509" spans="16:16" s="191" customFormat="1" ht="13.8" x14ac:dyDescent="0.25">
      <c r="P509" s="222"/>
    </row>
    <row r="510" spans="16:16" s="191" customFormat="1" ht="13.8" x14ac:dyDescent="0.25">
      <c r="P510" s="222"/>
    </row>
    <row r="511" spans="16:16" s="191" customFormat="1" ht="13.8" x14ac:dyDescent="0.25">
      <c r="P511" s="222"/>
    </row>
    <row r="512" spans="16:16" s="191" customFormat="1" ht="13.8" x14ac:dyDescent="0.25">
      <c r="P512" s="222"/>
    </row>
    <row r="513" spans="16:16" s="191" customFormat="1" ht="13.8" x14ac:dyDescent="0.25">
      <c r="P513" s="222"/>
    </row>
    <row r="514" spans="16:16" s="191" customFormat="1" ht="13.8" x14ac:dyDescent="0.25">
      <c r="P514" s="222"/>
    </row>
    <row r="515" spans="16:16" s="191" customFormat="1" ht="13.8" x14ac:dyDescent="0.25">
      <c r="P515" s="222"/>
    </row>
    <row r="516" spans="16:16" s="191" customFormat="1" ht="13.8" x14ac:dyDescent="0.25">
      <c r="P516" s="222"/>
    </row>
    <row r="517" spans="16:16" s="191" customFormat="1" ht="13.8" x14ac:dyDescent="0.25">
      <c r="P517" s="222"/>
    </row>
    <row r="518" spans="16:16" s="191" customFormat="1" ht="13.8" x14ac:dyDescent="0.25">
      <c r="P518" s="222"/>
    </row>
    <row r="519" spans="16:16" s="191" customFormat="1" ht="13.8" x14ac:dyDescent="0.25">
      <c r="P519" s="222"/>
    </row>
    <row r="520" spans="16:16" s="191" customFormat="1" ht="13.8" x14ac:dyDescent="0.25">
      <c r="P520" s="222"/>
    </row>
    <row r="521" spans="16:16" s="191" customFormat="1" ht="13.8" x14ac:dyDescent="0.25">
      <c r="P521" s="222"/>
    </row>
    <row r="522" spans="16:16" s="191" customFormat="1" ht="13.8" x14ac:dyDescent="0.25">
      <c r="P522" s="222"/>
    </row>
    <row r="523" spans="16:16" s="191" customFormat="1" ht="13.8" x14ac:dyDescent="0.25">
      <c r="P523" s="222"/>
    </row>
    <row r="524" spans="16:16" s="191" customFormat="1" ht="13.8" x14ac:dyDescent="0.25">
      <c r="P524" s="222"/>
    </row>
    <row r="525" spans="16:16" s="191" customFormat="1" ht="13.8" x14ac:dyDescent="0.25">
      <c r="P525" s="222"/>
    </row>
    <row r="526" spans="16:16" s="191" customFormat="1" ht="13.8" x14ac:dyDescent="0.25">
      <c r="P526" s="222"/>
    </row>
    <row r="527" spans="16:16" s="191" customFormat="1" ht="13.8" x14ac:dyDescent="0.25">
      <c r="P527" s="222"/>
    </row>
    <row r="528" spans="16:16" s="191" customFormat="1" ht="13.8" x14ac:dyDescent="0.25">
      <c r="P528" s="222"/>
    </row>
    <row r="529" spans="16:16" s="191" customFormat="1" ht="13.8" x14ac:dyDescent="0.25">
      <c r="P529" s="222"/>
    </row>
    <row r="530" spans="16:16" s="191" customFormat="1" ht="13.8" x14ac:dyDescent="0.25">
      <c r="P530" s="222"/>
    </row>
    <row r="531" spans="16:16" s="191" customFormat="1" ht="13.8" x14ac:dyDescent="0.25">
      <c r="P531" s="222"/>
    </row>
    <row r="532" spans="16:16" s="191" customFormat="1" ht="13.8" x14ac:dyDescent="0.25">
      <c r="P532" s="222"/>
    </row>
    <row r="533" spans="16:16" s="191" customFormat="1" ht="13.8" x14ac:dyDescent="0.25">
      <c r="P533" s="222"/>
    </row>
    <row r="534" spans="16:16" s="191" customFormat="1" ht="13.8" x14ac:dyDescent="0.25">
      <c r="P534" s="222"/>
    </row>
    <row r="535" spans="16:16" s="191" customFormat="1" ht="13.8" x14ac:dyDescent="0.25">
      <c r="P535" s="222"/>
    </row>
    <row r="536" spans="16:16" s="191" customFormat="1" ht="13.8" x14ac:dyDescent="0.25">
      <c r="P536" s="222"/>
    </row>
    <row r="537" spans="16:16" s="191" customFormat="1" ht="13.8" x14ac:dyDescent="0.25">
      <c r="P537" s="222"/>
    </row>
    <row r="538" spans="16:16" s="191" customFormat="1" ht="13.8" x14ac:dyDescent="0.25">
      <c r="P538" s="222"/>
    </row>
    <row r="539" spans="16:16" s="191" customFormat="1" ht="13.8" x14ac:dyDescent="0.25">
      <c r="P539" s="222"/>
    </row>
    <row r="540" spans="16:16" s="191" customFormat="1" ht="13.8" x14ac:dyDescent="0.25">
      <c r="P540" s="222"/>
    </row>
    <row r="541" spans="16:16" s="191" customFormat="1" ht="13.8" x14ac:dyDescent="0.25">
      <c r="P541" s="222"/>
    </row>
    <row r="542" spans="16:16" s="191" customFormat="1" ht="13.8" x14ac:dyDescent="0.25">
      <c r="P542" s="222"/>
    </row>
    <row r="543" spans="16:16" s="191" customFormat="1" ht="13.8" x14ac:dyDescent="0.25">
      <c r="P543" s="222"/>
    </row>
    <row r="544" spans="16:16" s="191" customFormat="1" ht="13.8" x14ac:dyDescent="0.25">
      <c r="P544" s="222"/>
    </row>
    <row r="545" spans="16:16" s="191" customFormat="1" ht="13.8" x14ac:dyDescent="0.25">
      <c r="P545" s="222"/>
    </row>
    <row r="546" spans="16:16" s="191" customFormat="1" ht="13.8" x14ac:dyDescent="0.25">
      <c r="P546" s="222"/>
    </row>
    <row r="547" spans="16:16" s="191" customFormat="1" ht="13.8" x14ac:dyDescent="0.25">
      <c r="P547" s="222"/>
    </row>
    <row r="548" spans="16:16" s="191" customFormat="1" ht="13.8" x14ac:dyDescent="0.25">
      <c r="P548" s="222"/>
    </row>
    <row r="549" spans="16:16" s="191" customFormat="1" ht="13.8" x14ac:dyDescent="0.25">
      <c r="P549" s="222"/>
    </row>
    <row r="550" spans="16:16" s="191" customFormat="1" ht="13.8" x14ac:dyDescent="0.25">
      <c r="P550" s="222"/>
    </row>
    <row r="551" spans="16:16" s="191" customFormat="1" ht="13.8" x14ac:dyDescent="0.25">
      <c r="P551" s="222"/>
    </row>
    <row r="552" spans="16:16" s="191" customFormat="1" ht="13.8" x14ac:dyDescent="0.25">
      <c r="P552" s="222"/>
    </row>
    <row r="553" spans="16:16" s="191" customFormat="1" ht="13.8" x14ac:dyDescent="0.25">
      <c r="P553" s="222"/>
    </row>
    <row r="554" spans="16:16" s="191" customFormat="1" ht="13.8" x14ac:dyDescent="0.25">
      <c r="P554" s="222"/>
    </row>
    <row r="555" spans="16:16" s="191" customFormat="1" ht="13.8" x14ac:dyDescent="0.25">
      <c r="P555" s="222"/>
    </row>
    <row r="556" spans="16:16" s="191" customFormat="1" ht="13.8" x14ac:dyDescent="0.25">
      <c r="P556" s="222"/>
    </row>
    <row r="557" spans="16:16" s="191" customFormat="1" ht="13.8" x14ac:dyDescent="0.25">
      <c r="P557" s="222"/>
    </row>
    <row r="558" spans="16:16" s="191" customFormat="1" ht="13.8" x14ac:dyDescent="0.25">
      <c r="P558" s="222"/>
    </row>
    <row r="559" spans="16:16" s="191" customFormat="1" ht="13.8" x14ac:dyDescent="0.25">
      <c r="P559" s="222"/>
    </row>
    <row r="560" spans="16:16" s="191" customFormat="1" ht="13.8" x14ac:dyDescent="0.25">
      <c r="P560" s="222"/>
    </row>
    <row r="561" spans="16:16" s="191" customFormat="1" ht="13.8" x14ac:dyDescent="0.25">
      <c r="P561" s="222"/>
    </row>
    <row r="562" spans="16:16" s="191" customFormat="1" ht="13.8" x14ac:dyDescent="0.25">
      <c r="P562" s="222"/>
    </row>
    <row r="563" spans="16:16" s="191" customFormat="1" ht="13.8" x14ac:dyDescent="0.25">
      <c r="P563" s="222"/>
    </row>
    <row r="564" spans="16:16" s="191" customFormat="1" ht="13.8" x14ac:dyDescent="0.25">
      <c r="P564" s="222"/>
    </row>
    <row r="565" spans="16:16" s="191" customFormat="1" ht="13.8" x14ac:dyDescent="0.25">
      <c r="P565" s="222"/>
    </row>
    <row r="566" spans="16:16" s="191" customFormat="1" ht="13.8" x14ac:dyDescent="0.25">
      <c r="P566" s="222"/>
    </row>
    <row r="567" spans="16:16" s="191" customFormat="1" ht="13.8" x14ac:dyDescent="0.25">
      <c r="P567" s="222"/>
    </row>
    <row r="568" spans="16:16" s="191" customFormat="1" ht="13.8" x14ac:dyDescent="0.25">
      <c r="P568" s="222"/>
    </row>
    <row r="569" spans="16:16" s="191" customFormat="1" ht="13.8" x14ac:dyDescent="0.25">
      <c r="P569" s="222"/>
    </row>
    <row r="570" spans="16:16" s="191" customFormat="1" ht="13.8" x14ac:dyDescent="0.25">
      <c r="P570" s="222"/>
    </row>
    <row r="571" spans="16:16" s="191" customFormat="1" ht="13.8" x14ac:dyDescent="0.25">
      <c r="P571" s="222"/>
    </row>
    <row r="572" spans="16:16" s="191" customFormat="1" ht="13.8" x14ac:dyDescent="0.25">
      <c r="P572" s="222"/>
    </row>
    <row r="573" spans="16:16" s="191" customFormat="1" ht="13.8" x14ac:dyDescent="0.25">
      <c r="P573" s="222"/>
    </row>
    <row r="574" spans="16:16" s="191" customFormat="1" ht="13.8" x14ac:dyDescent="0.25">
      <c r="P574" s="222"/>
    </row>
    <row r="575" spans="16:16" s="191" customFormat="1" ht="13.8" x14ac:dyDescent="0.25">
      <c r="P575" s="222"/>
    </row>
    <row r="576" spans="16:16" s="191" customFormat="1" ht="13.8" x14ac:dyDescent="0.25">
      <c r="P576" s="222"/>
    </row>
    <row r="577" spans="16:16" s="191" customFormat="1" ht="13.8" x14ac:dyDescent="0.25">
      <c r="P577" s="222"/>
    </row>
    <row r="578" spans="16:16" s="191" customFormat="1" ht="13.8" x14ac:dyDescent="0.25">
      <c r="P578" s="222"/>
    </row>
    <row r="579" spans="16:16" s="191" customFormat="1" ht="13.8" x14ac:dyDescent="0.25">
      <c r="P579" s="222"/>
    </row>
    <row r="580" spans="16:16" s="191" customFormat="1" ht="13.8" x14ac:dyDescent="0.25">
      <c r="P580" s="222"/>
    </row>
    <row r="581" spans="16:16" s="191" customFormat="1" ht="13.8" x14ac:dyDescent="0.25">
      <c r="P581" s="222"/>
    </row>
    <row r="582" spans="16:16" s="191" customFormat="1" ht="13.8" x14ac:dyDescent="0.25">
      <c r="P582" s="222"/>
    </row>
    <row r="583" spans="16:16" s="191" customFormat="1" ht="13.8" x14ac:dyDescent="0.25">
      <c r="P583" s="222"/>
    </row>
    <row r="584" spans="16:16" s="191" customFormat="1" ht="13.8" x14ac:dyDescent="0.25">
      <c r="P584" s="222"/>
    </row>
    <row r="585" spans="16:16" s="191" customFormat="1" ht="13.8" x14ac:dyDescent="0.25">
      <c r="P585" s="222"/>
    </row>
    <row r="586" spans="16:16" s="191" customFormat="1" ht="13.8" x14ac:dyDescent="0.25">
      <c r="P586" s="222"/>
    </row>
    <row r="587" spans="16:16" s="191" customFormat="1" ht="13.8" x14ac:dyDescent="0.25">
      <c r="P587" s="222"/>
    </row>
    <row r="588" spans="16:16" s="191" customFormat="1" ht="13.8" x14ac:dyDescent="0.25">
      <c r="P588" s="222"/>
    </row>
    <row r="589" spans="16:16" s="191" customFormat="1" ht="13.8" x14ac:dyDescent="0.25">
      <c r="P589" s="222"/>
    </row>
    <row r="590" spans="16:16" s="191" customFormat="1" ht="13.8" x14ac:dyDescent="0.25">
      <c r="P590" s="222"/>
    </row>
    <row r="591" spans="16:16" s="191" customFormat="1" ht="13.8" x14ac:dyDescent="0.25">
      <c r="P591" s="222"/>
    </row>
    <row r="592" spans="16:16" s="191" customFormat="1" ht="13.8" x14ac:dyDescent="0.25">
      <c r="P592" s="222"/>
    </row>
    <row r="593" spans="16:16" s="191" customFormat="1" ht="13.8" x14ac:dyDescent="0.25">
      <c r="P593" s="222"/>
    </row>
    <row r="594" spans="16:16" s="191" customFormat="1" ht="13.8" x14ac:dyDescent="0.25">
      <c r="P594" s="222"/>
    </row>
    <row r="595" spans="16:16" s="191" customFormat="1" ht="13.8" x14ac:dyDescent="0.25">
      <c r="P595" s="222"/>
    </row>
    <row r="596" spans="16:16" s="191" customFormat="1" ht="13.8" x14ac:dyDescent="0.25">
      <c r="P596" s="222"/>
    </row>
    <row r="597" spans="16:16" s="191" customFormat="1" ht="13.8" x14ac:dyDescent="0.25">
      <c r="P597" s="222"/>
    </row>
    <row r="598" spans="16:16" s="191" customFormat="1" ht="13.8" x14ac:dyDescent="0.25">
      <c r="P598" s="222"/>
    </row>
    <row r="599" spans="16:16" s="191" customFormat="1" ht="13.8" x14ac:dyDescent="0.25">
      <c r="P599" s="222"/>
    </row>
    <row r="600" spans="16:16" s="191" customFormat="1" ht="13.8" x14ac:dyDescent="0.25">
      <c r="P600" s="222"/>
    </row>
    <row r="601" spans="16:16" s="191" customFormat="1" ht="13.8" x14ac:dyDescent="0.25">
      <c r="P601" s="222"/>
    </row>
    <row r="602" spans="16:16" s="191" customFormat="1" ht="13.8" x14ac:dyDescent="0.25">
      <c r="P602" s="222"/>
    </row>
    <row r="603" spans="16:16" s="191" customFormat="1" ht="13.8" x14ac:dyDescent="0.25">
      <c r="P603" s="222"/>
    </row>
    <row r="604" spans="16:16" s="191" customFormat="1" ht="13.8" x14ac:dyDescent="0.25">
      <c r="P604" s="222"/>
    </row>
    <row r="605" spans="16:16" s="191" customFormat="1" ht="13.8" x14ac:dyDescent="0.25">
      <c r="P605" s="222"/>
    </row>
    <row r="606" spans="16:16" s="191" customFormat="1" ht="13.8" x14ac:dyDescent="0.25">
      <c r="P606" s="222"/>
    </row>
    <row r="607" spans="16:16" s="191" customFormat="1" ht="13.8" x14ac:dyDescent="0.25">
      <c r="P607" s="222"/>
    </row>
    <row r="608" spans="16:16" s="191" customFormat="1" ht="13.8" x14ac:dyDescent="0.25">
      <c r="P608" s="222"/>
    </row>
    <row r="609" spans="16:16" s="191" customFormat="1" ht="13.8" x14ac:dyDescent="0.25">
      <c r="P609" s="222"/>
    </row>
    <row r="610" spans="16:16" s="191" customFormat="1" ht="13.8" x14ac:dyDescent="0.25">
      <c r="P610" s="222"/>
    </row>
    <row r="611" spans="16:16" s="191" customFormat="1" ht="13.8" x14ac:dyDescent="0.25">
      <c r="P611" s="222"/>
    </row>
    <row r="612" spans="16:16" s="191" customFormat="1" ht="13.8" x14ac:dyDescent="0.25">
      <c r="P612" s="222"/>
    </row>
    <row r="613" spans="16:16" s="191" customFormat="1" ht="13.8" x14ac:dyDescent="0.25">
      <c r="P613" s="222"/>
    </row>
    <row r="614" spans="16:16" s="191" customFormat="1" ht="13.8" x14ac:dyDescent="0.25">
      <c r="P614" s="222"/>
    </row>
    <row r="615" spans="16:16" s="191" customFormat="1" ht="13.8" x14ac:dyDescent="0.25">
      <c r="P615" s="222"/>
    </row>
    <row r="616" spans="16:16" s="191" customFormat="1" ht="13.8" x14ac:dyDescent="0.25">
      <c r="P616" s="222"/>
    </row>
    <row r="617" spans="16:16" s="191" customFormat="1" ht="13.8" x14ac:dyDescent="0.25">
      <c r="P617" s="222"/>
    </row>
    <row r="618" spans="16:16" s="191" customFormat="1" ht="13.8" x14ac:dyDescent="0.25">
      <c r="P618" s="222"/>
    </row>
    <row r="619" spans="16:16" s="191" customFormat="1" ht="13.8" x14ac:dyDescent="0.25">
      <c r="P619" s="222"/>
    </row>
    <row r="620" spans="16:16" s="191" customFormat="1" ht="13.8" x14ac:dyDescent="0.25">
      <c r="P620" s="222"/>
    </row>
    <row r="621" spans="16:16" s="191" customFormat="1" ht="13.8" x14ac:dyDescent="0.25">
      <c r="P621" s="222"/>
    </row>
    <row r="622" spans="16:16" s="191" customFormat="1" ht="13.8" x14ac:dyDescent="0.25">
      <c r="P622" s="222"/>
    </row>
    <row r="623" spans="16:16" s="191" customFormat="1" ht="13.8" x14ac:dyDescent="0.25">
      <c r="P623" s="222"/>
    </row>
    <row r="624" spans="16:16" s="191" customFormat="1" ht="13.8" x14ac:dyDescent="0.25">
      <c r="P624" s="222"/>
    </row>
    <row r="625" spans="16:16" s="191" customFormat="1" ht="13.8" x14ac:dyDescent="0.25">
      <c r="P625" s="222"/>
    </row>
    <row r="626" spans="16:16" s="191" customFormat="1" ht="13.8" x14ac:dyDescent="0.25">
      <c r="P626" s="222"/>
    </row>
    <row r="627" spans="16:16" s="191" customFormat="1" ht="13.8" x14ac:dyDescent="0.25">
      <c r="P627" s="222"/>
    </row>
    <row r="628" spans="16:16" s="191" customFormat="1" ht="13.8" x14ac:dyDescent="0.25">
      <c r="P628" s="222"/>
    </row>
    <row r="629" spans="16:16" s="191" customFormat="1" ht="13.8" x14ac:dyDescent="0.25">
      <c r="P629" s="222"/>
    </row>
    <row r="630" spans="16:16" s="191" customFormat="1" ht="13.8" x14ac:dyDescent="0.25">
      <c r="P630" s="222"/>
    </row>
    <row r="631" spans="16:16" s="191" customFormat="1" ht="13.8" x14ac:dyDescent="0.25">
      <c r="P631" s="222"/>
    </row>
    <row r="632" spans="16:16" s="191" customFormat="1" ht="13.8" x14ac:dyDescent="0.25">
      <c r="P632" s="222"/>
    </row>
    <row r="633" spans="16:16" s="191" customFormat="1" ht="13.8" x14ac:dyDescent="0.25">
      <c r="P633" s="222"/>
    </row>
    <row r="634" spans="16:16" s="191" customFormat="1" ht="13.8" x14ac:dyDescent="0.25">
      <c r="P634" s="222"/>
    </row>
    <row r="635" spans="16:16" s="191" customFormat="1" ht="13.8" x14ac:dyDescent="0.25">
      <c r="P635" s="222"/>
    </row>
    <row r="636" spans="16:16" s="191" customFormat="1" ht="13.8" x14ac:dyDescent="0.25">
      <c r="P636" s="222"/>
    </row>
    <row r="637" spans="16:16" s="191" customFormat="1" ht="13.8" x14ac:dyDescent="0.25">
      <c r="P637" s="222"/>
    </row>
    <row r="638" spans="16:16" s="191" customFormat="1" ht="13.8" x14ac:dyDescent="0.25">
      <c r="P638" s="222"/>
    </row>
    <row r="639" spans="16:16" s="191" customFormat="1" ht="13.8" x14ac:dyDescent="0.25">
      <c r="P639" s="222"/>
    </row>
    <row r="640" spans="16:16" s="191" customFormat="1" ht="13.8" x14ac:dyDescent="0.25">
      <c r="P640" s="222"/>
    </row>
    <row r="641" spans="16:16" s="191" customFormat="1" ht="13.8" x14ac:dyDescent="0.25">
      <c r="P641" s="222"/>
    </row>
    <row r="642" spans="16:16" s="191" customFormat="1" ht="13.8" x14ac:dyDescent="0.25">
      <c r="P642" s="222"/>
    </row>
    <row r="643" spans="16:16" s="191" customFormat="1" ht="13.8" x14ac:dyDescent="0.25">
      <c r="P643" s="222"/>
    </row>
    <row r="644" spans="16:16" s="191" customFormat="1" ht="13.8" x14ac:dyDescent="0.25">
      <c r="P644" s="222"/>
    </row>
    <row r="645" spans="16:16" s="191" customFormat="1" ht="13.8" x14ac:dyDescent="0.25">
      <c r="P645" s="222"/>
    </row>
    <row r="646" spans="16:16" s="191" customFormat="1" ht="13.8" x14ac:dyDescent="0.25">
      <c r="P646" s="222"/>
    </row>
    <row r="647" spans="16:16" s="191" customFormat="1" ht="13.8" x14ac:dyDescent="0.25">
      <c r="P647" s="222"/>
    </row>
    <row r="648" spans="16:16" s="191" customFormat="1" ht="13.8" x14ac:dyDescent="0.25">
      <c r="P648" s="222"/>
    </row>
    <row r="649" spans="16:16" s="191" customFormat="1" ht="13.8" x14ac:dyDescent="0.25">
      <c r="P649" s="222"/>
    </row>
    <row r="650" spans="16:16" s="191" customFormat="1" ht="13.8" x14ac:dyDescent="0.25">
      <c r="P650" s="222"/>
    </row>
    <row r="651" spans="16:16" s="191" customFormat="1" ht="13.8" x14ac:dyDescent="0.25">
      <c r="P651" s="222"/>
    </row>
    <row r="652" spans="16:16" s="191" customFormat="1" ht="13.8" x14ac:dyDescent="0.25">
      <c r="P652" s="222"/>
    </row>
    <row r="653" spans="16:16" s="191" customFormat="1" ht="13.8" x14ac:dyDescent="0.25">
      <c r="P653" s="222"/>
    </row>
    <row r="654" spans="16:16" s="191" customFormat="1" ht="13.8" x14ac:dyDescent="0.25">
      <c r="P654" s="222"/>
    </row>
    <row r="655" spans="16:16" s="191" customFormat="1" ht="13.8" x14ac:dyDescent="0.25">
      <c r="P655" s="222"/>
    </row>
    <row r="656" spans="16:16" s="191" customFormat="1" ht="13.8" x14ac:dyDescent="0.25">
      <c r="P656" s="222"/>
    </row>
    <row r="657" spans="16:16" s="191" customFormat="1" ht="13.8" x14ac:dyDescent="0.25">
      <c r="P657" s="222"/>
    </row>
    <row r="658" spans="16:16" s="191" customFormat="1" ht="13.8" x14ac:dyDescent="0.25">
      <c r="P658" s="222"/>
    </row>
    <row r="659" spans="16:16" s="191" customFormat="1" ht="13.8" x14ac:dyDescent="0.25">
      <c r="P659" s="222"/>
    </row>
    <row r="660" spans="16:16" s="191" customFormat="1" ht="13.8" x14ac:dyDescent="0.25">
      <c r="P660" s="222"/>
    </row>
    <row r="661" spans="16:16" s="191" customFormat="1" ht="13.8" x14ac:dyDescent="0.25">
      <c r="P661" s="222"/>
    </row>
    <row r="662" spans="16:16" s="191" customFormat="1" ht="13.8" x14ac:dyDescent="0.25">
      <c r="P662" s="222"/>
    </row>
    <row r="663" spans="16:16" s="191" customFormat="1" ht="13.8" x14ac:dyDescent="0.25">
      <c r="P663" s="222"/>
    </row>
    <row r="664" spans="16:16" s="191" customFormat="1" ht="13.8" x14ac:dyDescent="0.25">
      <c r="P664" s="222"/>
    </row>
    <row r="665" spans="16:16" s="191" customFormat="1" ht="13.8" x14ac:dyDescent="0.25">
      <c r="P665" s="222"/>
    </row>
    <row r="666" spans="16:16" s="191" customFormat="1" ht="13.8" x14ac:dyDescent="0.25">
      <c r="P666" s="222"/>
    </row>
    <row r="667" spans="16:16" s="191" customFormat="1" ht="13.8" x14ac:dyDescent="0.25">
      <c r="P667" s="222"/>
    </row>
    <row r="668" spans="16:16" s="191" customFormat="1" ht="13.8" x14ac:dyDescent="0.25">
      <c r="P668" s="222"/>
    </row>
    <row r="669" spans="16:16" s="191" customFormat="1" ht="13.8" x14ac:dyDescent="0.25">
      <c r="P669" s="222"/>
    </row>
    <row r="670" spans="16:16" s="191" customFormat="1" ht="13.8" x14ac:dyDescent="0.25">
      <c r="P670" s="222"/>
    </row>
    <row r="671" spans="16:16" s="191" customFormat="1" ht="13.8" x14ac:dyDescent="0.25">
      <c r="P671" s="222"/>
    </row>
    <row r="672" spans="16:16" s="191" customFormat="1" ht="13.8" x14ac:dyDescent="0.25">
      <c r="P672" s="222"/>
    </row>
    <row r="673" spans="16:16" s="191" customFormat="1" ht="13.8" x14ac:dyDescent="0.25">
      <c r="P673" s="222"/>
    </row>
    <row r="674" spans="16:16" s="191" customFormat="1" ht="13.8" x14ac:dyDescent="0.25">
      <c r="P674" s="222"/>
    </row>
    <row r="675" spans="16:16" s="191" customFormat="1" ht="13.8" x14ac:dyDescent="0.25">
      <c r="P675" s="222"/>
    </row>
    <row r="676" spans="16:16" s="191" customFormat="1" ht="13.8" x14ac:dyDescent="0.25">
      <c r="P676" s="222"/>
    </row>
    <row r="677" spans="16:16" s="191" customFormat="1" ht="13.8" x14ac:dyDescent="0.25">
      <c r="P677" s="222"/>
    </row>
    <row r="678" spans="16:16" s="191" customFormat="1" ht="13.8" x14ac:dyDescent="0.25">
      <c r="P678" s="222"/>
    </row>
    <row r="679" spans="16:16" s="191" customFormat="1" ht="13.8" x14ac:dyDescent="0.25">
      <c r="P679" s="222"/>
    </row>
    <row r="680" spans="16:16" s="191" customFormat="1" ht="13.8" x14ac:dyDescent="0.25">
      <c r="P680" s="222"/>
    </row>
    <row r="681" spans="16:16" s="191" customFormat="1" ht="13.8" x14ac:dyDescent="0.25">
      <c r="P681" s="222"/>
    </row>
    <row r="682" spans="16:16" s="191" customFormat="1" ht="13.8" x14ac:dyDescent="0.25">
      <c r="P682" s="222"/>
    </row>
    <row r="683" spans="16:16" s="191" customFormat="1" ht="13.8" x14ac:dyDescent="0.25">
      <c r="P683" s="222"/>
    </row>
    <row r="684" spans="16:16" s="191" customFormat="1" ht="13.8" x14ac:dyDescent="0.25">
      <c r="P684" s="222"/>
    </row>
    <row r="685" spans="16:16" s="191" customFormat="1" ht="13.8" x14ac:dyDescent="0.25">
      <c r="P685" s="222"/>
    </row>
    <row r="686" spans="16:16" s="191" customFormat="1" ht="13.8" x14ac:dyDescent="0.25">
      <c r="P686" s="222"/>
    </row>
    <row r="687" spans="16:16" s="191" customFormat="1" ht="13.8" x14ac:dyDescent="0.25">
      <c r="P687" s="222"/>
    </row>
    <row r="688" spans="16:16" s="191" customFormat="1" ht="13.8" x14ac:dyDescent="0.25">
      <c r="P688" s="222"/>
    </row>
    <row r="689" spans="16:16" s="191" customFormat="1" ht="13.8" x14ac:dyDescent="0.25">
      <c r="P689" s="222"/>
    </row>
    <row r="690" spans="16:16" s="191" customFormat="1" ht="13.8" x14ac:dyDescent="0.25">
      <c r="P690" s="222"/>
    </row>
    <row r="691" spans="16:16" s="191" customFormat="1" ht="13.8" x14ac:dyDescent="0.25">
      <c r="P691" s="222"/>
    </row>
    <row r="692" spans="16:16" s="191" customFormat="1" ht="13.8" x14ac:dyDescent="0.25">
      <c r="P692" s="222"/>
    </row>
    <row r="693" spans="16:16" s="191" customFormat="1" ht="13.8" x14ac:dyDescent="0.25">
      <c r="P693" s="222"/>
    </row>
    <row r="694" spans="16:16" s="191" customFormat="1" ht="13.8" x14ac:dyDescent="0.25">
      <c r="P694" s="222"/>
    </row>
    <row r="695" spans="16:16" s="191" customFormat="1" ht="13.8" x14ac:dyDescent="0.25">
      <c r="P695" s="222"/>
    </row>
    <row r="696" spans="16:16" s="191" customFormat="1" ht="13.8" x14ac:dyDescent="0.25">
      <c r="P696" s="222"/>
    </row>
    <row r="697" spans="16:16" s="191" customFormat="1" ht="13.8" x14ac:dyDescent="0.25">
      <c r="P697" s="222"/>
    </row>
    <row r="698" spans="16:16" s="191" customFormat="1" ht="13.8" x14ac:dyDescent="0.25">
      <c r="P698" s="222"/>
    </row>
    <row r="699" spans="16:16" s="191" customFormat="1" ht="13.8" x14ac:dyDescent="0.25">
      <c r="P699" s="222"/>
    </row>
    <row r="700" spans="16:16" s="191" customFormat="1" ht="13.8" x14ac:dyDescent="0.25">
      <c r="P700" s="222"/>
    </row>
    <row r="701" spans="16:16" s="191" customFormat="1" ht="13.8" x14ac:dyDescent="0.25">
      <c r="P701" s="222"/>
    </row>
    <row r="702" spans="16:16" s="191" customFormat="1" ht="13.8" x14ac:dyDescent="0.25">
      <c r="P702" s="222"/>
    </row>
    <row r="703" spans="16:16" s="191" customFormat="1" ht="13.8" x14ac:dyDescent="0.25">
      <c r="P703" s="222"/>
    </row>
    <row r="704" spans="16:16" s="191" customFormat="1" ht="13.8" x14ac:dyDescent="0.25">
      <c r="P704" s="222"/>
    </row>
    <row r="705" spans="16:16" s="191" customFormat="1" ht="13.8" x14ac:dyDescent="0.25">
      <c r="P705" s="222"/>
    </row>
    <row r="706" spans="16:16" s="191" customFormat="1" ht="13.8" x14ac:dyDescent="0.25">
      <c r="P706" s="222"/>
    </row>
    <row r="707" spans="16:16" s="191" customFormat="1" ht="13.8" x14ac:dyDescent="0.25">
      <c r="P707" s="222"/>
    </row>
    <row r="708" spans="16:16" s="191" customFormat="1" ht="13.8" x14ac:dyDescent="0.25">
      <c r="P708" s="222"/>
    </row>
    <row r="709" spans="16:16" s="191" customFormat="1" ht="13.8" x14ac:dyDescent="0.25">
      <c r="P709" s="222"/>
    </row>
    <row r="710" spans="16:16" s="191" customFormat="1" ht="13.8" x14ac:dyDescent="0.25">
      <c r="P710" s="222"/>
    </row>
    <row r="711" spans="16:16" s="191" customFormat="1" ht="13.8" x14ac:dyDescent="0.25">
      <c r="P711" s="222"/>
    </row>
    <row r="712" spans="16:16" s="191" customFormat="1" ht="13.8" x14ac:dyDescent="0.25">
      <c r="P712" s="222"/>
    </row>
    <row r="713" spans="16:16" s="191" customFormat="1" ht="13.8" x14ac:dyDescent="0.25">
      <c r="P713" s="222"/>
    </row>
    <row r="714" spans="16:16" s="191" customFormat="1" ht="13.8" x14ac:dyDescent="0.25">
      <c r="P714" s="222"/>
    </row>
    <row r="715" spans="16:16" s="191" customFormat="1" ht="13.8" x14ac:dyDescent="0.25">
      <c r="P715" s="222"/>
    </row>
    <row r="716" spans="16:16" s="191" customFormat="1" ht="13.8" x14ac:dyDescent="0.25">
      <c r="P716" s="222"/>
    </row>
    <row r="717" spans="16:16" s="191" customFormat="1" ht="13.8" x14ac:dyDescent="0.25">
      <c r="P717" s="222"/>
    </row>
    <row r="718" spans="16:16" s="191" customFormat="1" ht="13.8" x14ac:dyDescent="0.25">
      <c r="P718" s="222"/>
    </row>
    <row r="719" spans="16:16" s="191" customFormat="1" ht="13.8" x14ac:dyDescent="0.25">
      <c r="P719" s="222"/>
    </row>
    <row r="720" spans="16:16" s="191" customFormat="1" ht="13.8" x14ac:dyDescent="0.25">
      <c r="P720" s="222"/>
    </row>
    <row r="721" spans="16:16" s="191" customFormat="1" ht="13.8" x14ac:dyDescent="0.25">
      <c r="P721" s="222"/>
    </row>
    <row r="722" spans="16:16" s="191" customFormat="1" ht="13.8" x14ac:dyDescent="0.25">
      <c r="P722" s="222"/>
    </row>
    <row r="723" spans="16:16" s="191" customFormat="1" ht="13.8" x14ac:dyDescent="0.25">
      <c r="P723" s="222"/>
    </row>
    <row r="724" spans="16:16" s="191" customFormat="1" ht="13.8" x14ac:dyDescent="0.25">
      <c r="P724" s="222"/>
    </row>
    <row r="725" spans="16:16" s="191" customFormat="1" ht="13.8" x14ac:dyDescent="0.25">
      <c r="P725" s="222"/>
    </row>
    <row r="726" spans="16:16" s="191" customFormat="1" ht="13.8" x14ac:dyDescent="0.25">
      <c r="P726" s="222"/>
    </row>
    <row r="727" spans="16:16" s="191" customFormat="1" ht="13.8" x14ac:dyDescent="0.25">
      <c r="P727" s="222"/>
    </row>
    <row r="728" spans="16:16" s="191" customFormat="1" ht="13.8" x14ac:dyDescent="0.25">
      <c r="P728" s="222"/>
    </row>
    <row r="729" spans="16:16" s="191" customFormat="1" ht="13.8" x14ac:dyDescent="0.25">
      <c r="P729" s="222"/>
    </row>
    <row r="730" spans="16:16" s="191" customFormat="1" ht="13.8" x14ac:dyDescent="0.25">
      <c r="P730" s="222"/>
    </row>
    <row r="731" spans="16:16" s="191" customFormat="1" ht="13.8" x14ac:dyDescent="0.25">
      <c r="P731" s="222"/>
    </row>
    <row r="732" spans="16:16" s="191" customFormat="1" ht="13.8" x14ac:dyDescent="0.25">
      <c r="P732" s="222"/>
    </row>
    <row r="733" spans="16:16" s="191" customFormat="1" ht="13.8" x14ac:dyDescent="0.25">
      <c r="P733" s="222"/>
    </row>
    <row r="734" spans="16:16" s="191" customFormat="1" ht="13.8" x14ac:dyDescent="0.25">
      <c r="P734" s="222"/>
    </row>
    <row r="735" spans="16:16" s="191" customFormat="1" ht="13.8" x14ac:dyDescent="0.25">
      <c r="P735" s="222"/>
    </row>
    <row r="736" spans="16:16" s="191" customFormat="1" ht="13.8" x14ac:dyDescent="0.25">
      <c r="P736" s="222"/>
    </row>
    <row r="737" spans="16:16" s="191" customFormat="1" ht="13.8" x14ac:dyDescent="0.25">
      <c r="P737" s="222"/>
    </row>
    <row r="738" spans="16:16" s="191" customFormat="1" ht="13.8" x14ac:dyDescent="0.25">
      <c r="P738" s="222"/>
    </row>
    <row r="739" spans="16:16" s="191" customFormat="1" ht="13.8" x14ac:dyDescent="0.25">
      <c r="P739" s="222"/>
    </row>
    <row r="740" spans="16:16" s="191" customFormat="1" ht="13.8" x14ac:dyDescent="0.25">
      <c r="P740" s="222"/>
    </row>
    <row r="741" spans="16:16" s="191" customFormat="1" ht="13.8" x14ac:dyDescent="0.25">
      <c r="P741" s="222"/>
    </row>
    <row r="742" spans="16:16" s="191" customFormat="1" ht="13.8" x14ac:dyDescent="0.25">
      <c r="P742" s="222"/>
    </row>
    <row r="743" spans="16:16" s="191" customFormat="1" ht="13.8" x14ac:dyDescent="0.25">
      <c r="P743" s="222"/>
    </row>
    <row r="744" spans="16:16" s="191" customFormat="1" ht="13.8" x14ac:dyDescent="0.25">
      <c r="P744" s="222"/>
    </row>
    <row r="745" spans="16:16" s="191" customFormat="1" ht="13.8" x14ac:dyDescent="0.25">
      <c r="P745" s="222"/>
    </row>
    <row r="746" spans="16:16" s="191" customFormat="1" ht="13.8" x14ac:dyDescent="0.25">
      <c r="P746" s="222"/>
    </row>
    <row r="747" spans="16:16" s="191" customFormat="1" ht="13.8" x14ac:dyDescent="0.25">
      <c r="P747" s="222"/>
    </row>
    <row r="748" spans="16:16" s="191" customFormat="1" ht="13.8" x14ac:dyDescent="0.25">
      <c r="P748" s="222"/>
    </row>
    <row r="749" spans="16:16" s="191" customFormat="1" ht="13.8" x14ac:dyDescent="0.25">
      <c r="P749" s="222"/>
    </row>
    <row r="750" spans="16:16" s="191" customFormat="1" ht="13.8" x14ac:dyDescent="0.25">
      <c r="P750" s="222"/>
    </row>
    <row r="751" spans="16:16" s="191" customFormat="1" ht="13.8" x14ac:dyDescent="0.25">
      <c r="P751" s="222"/>
    </row>
    <row r="752" spans="16:16" s="191" customFormat="1" ht="13.8" x14ac:dyDescent="0.25">
      <c r="P752" s="222"/>
    </row>
    <row r="753" spans="16:16" s="191" customFormat="1" ht="13.8" x14ac:dyDescent="0.25">
      <c r="P753" s="222"/>
    </row>
    <row r="754" spans="16:16" s="191" customFormat="1" ht="13.8" x14ac:dyDescent="0.25">
      <c r="P754" s="222"/>
    </row>
    <row r="755" spans="16:16" s="191" customFormat="1" ht="13.8" x14ac:dyDescent="0.25">
      <c r="P755" s="222"/>
    </row>
    <row r="756" spans="16:16" s="191" customFormat="1" ht="13.8" x14ac:dyDescent="0.25">
      <c r="P756" s="222"/>
    </row>
    <row r="757" spans="16:16" s="191" customFormat="1" ht="13.8" x14ac:dyDescent="0.25">
      <c r="P757" s="222"/>
    </row>
    <row r="758" spans="16:16" s="191" customFormat="1" ht="13.8" x14ac:dyDescent="0.25">
      <c r="P758" s="222"/>
    </row>
    <row r="759" spans="16:16" s="191" customFormat="1" ht="13.8" x14ac:dyDescent="0.25">
      <c r="P759" s="222"/>
    </row>
    <row r="760" spans="16:16" s="191" customFormat="1" ht="13.8" x14ac:dyDescent="0.25">
      <c r="P760" s="222"/>
    </row>
    <row r="761" spans="16:16" s="191" customFormat="1" ht="13.8" x14ac:dyDescent="0.25">
      <c r="P761" s="222"/>
    </row>
    <row r="762" spans="16:16" s="191" customFormat="1" ht="13.8" x14ac:dyDescent="0.25">
      <c r="P762" s="222"/>
    </row>
    <row r="763" spans="16:16" s="191" customFormat="1" ht="13.8" x14ac:dyDescent="0.25">
      <c r="P763" s="222"/>
    </row>
    <row r="764" spans="16:16" s="191" customFormat="1" ht="13.8" x14ac:dyDescent="0.25">
      <c r="P764" s="222"/>
    </row>
    <row r="765" spans="16:16" s="191" customFormat="1" ht="13.8" x14ac:dyDescent="0.25">
      <c r="P765" s="222"/>
    </row>
    <row r="766" spans="16:16" s="191" customFormat="1" ht="13.8" x14ac:dyDescent="0.25">
      <c r="P766" s="222"/>
    </row>
    <row r="767" spans="16:16" s="191" customFormat="1" ht="13.8" x14ac:dyDescent="0.25">
      <c r="P767" s="222"/>
    </row>
    <row r="768" spans="16:16" s="191" customFormat="1" ht="13.8" x14ac:dyDescent="0.25">
      <c r="P768" s="222"/>
    </row>
    <row r="769" spans="16:16" s="191" customFormat="1" ht="13.8" x14ac:dyDescent="0.25">
      <c r="P769" s="222"/>
    </row>
    <row r="770" spans="16:16" s="191" customFormat="1" ht="13.8" x14ac:dyDescent="0.25">
      <c r="P770" s="222"/>
    </row>
    <row r="771" spans="16:16" s="191" customFormat="1" ht="13.8" x14ac:dyDescent="0.25">
      <c r="P771" s="222"/>
    </row>
    <row r="772" spans="16:16" s="191" customFormat="1" ht="13.8" x14ac:dyDescent="0.25">
      <c r="P772" s="222"/>
    </row>
    <row r="773" spans="16:16" s="191" customFormat="1" ht="13.8" x14ac:dyDescent="0.25">
      <c r="P773" s="222"/>
    </row>
    <row r="774" spans="16:16" s="191" customFormat="1" ht="13.8" x14ac:dyDescent="0.25">
      <c r="P774" s="222"/>
    </row>
    <row r="775" spans="16:16" s="191" customFormat="1" ht="13.8" x14ac:dyDescent="0.25">
      <c r="P775" s="222"/>
    </row>
    <row r="776" spans="16:16" s="191" customFormat="1" ht="13.8" x14ac:dyDescent="0.25">
      <c r="P776" s="222"/>
    </row>
    <row r="777" spans="16:16" s="191" customFormat="1" ht="13.8" x14ac:dyDescent="0.25">
      <c r="P777" s="222"/>
    </row>
    <row r="778" spans="16:16" s="191" customFormat="1" ht="13.8" x14ac:dyDescent="0.25">
      <c r="P778" s="222"/>
    </row>
    <row r="779" spans="16:16" s="191" customFormat="1" ht="13.8" x14ac:dyDescent="0.25">
      <c r="P779" s="222"/>
    </row>
    <row r="780" spans="16:16" s="191" customFormat="1" ht="13.8" x14ac:dyDescent="0.25">
      <c r="P780" s="222"/>
    </row>
    <row r="781" spans="16:16" s="191" customFormat="1" ht="13.8" x14ac:dyDescent="0.25">
      <c r="P781" s="222"/>
    </row>
    <row r="782" spans="16:16" s="191" customFormat="1" ht="13.8" x14ac:dyDescent="0.25">
      <c r="P782" s="222"/>
    </row>
    <row r="783" spans="16:16" s="191" customFormat="1" ht="13.8" x14ac:dyDescent="0.25">
      <c r="P783" s="222"/>
    </row>
    <row r="784" spans="16:16" s="191" customFormat="1" ht="13.8" x14ac:dyDescent="0.25">
      <c r="P784" s="222"/>
    </row>
    <row r="785" spans="16:16" s="191" customFormat="1" ht="13.8" x14ac:dyDescent="0.25">
      <c r="P785" s="222"/>
    </row>
    <row r="786" spans="16:16" s="191" customFormat="1" ht="13.8" x14ac:dyDescent="0.25">
      <c r="P786" s="222"/>
    </row>
    <row r="787" spans="16:16" s="191" customFormat="1" ht="13.8" x14ac:dyDescent="0.25">
      <c r="P787" s="222"/>
    </row>
    <row r="788" spans="16:16" s="191" customFormat="1" ht="13.8" x14ac:dyDescent="0.25">
      <c r="P788" s="222"/>
    </row>
    <row r="789" spans="16:16" s="191" customFormat="1" ht="13.8" x14ac:dyDescent="0.25">
      <c r="P789" s="222"/>
    </row>
    <row r="790" spans="16:16" s="191" customFormat="1" ht="13.8" x14ac:dyDescent="0.25">
      <c r="P790" s="222"/>
    </row>
    <row r="791" spans="16:16" s="191" customFormat="1" ht="13.8" x14ac:dyDescent="0.25">
      <c r="P791" s="222"/>
    </row>
    <row r="792" spans="16:16" s="191" customFormat="1" ht="13.8" x14ac:dyDescent="0.25">
      <c r="P792" s="222"/>
    </row>
    <row r="793" spans="16:16" s="191" customFormat="1" ht="13.8" x14ac:dyDescent="0.25">
      <c r="P793" s="222"/>
    </row>
    <row r="794" spans="16:16" s="191" customFormat="1" ht="13.8" x14ac:dyDescent="0.25">
      <c r="P794" s="222"/>
    </row>
    <row r="795" spans="16:16" s="191" customFormat="1" ht="13.8" x14ac:dyDescent="0.25">
      <c r="P795" s="222"/>
    </row>
    <row r="796" spans="16:16" s="191" customFormat="1" ht="13.8" x14ac:dyDescent="0.25">
      <c r="P796" s="222"/>
    </row>
    <row r="797" spans="16:16" s="191" customFormat="1" ht="13.8" x14ac:dyDescent="0.25">
      <c r="P797" s="222"/>
    </row>
    <row r="798" spans="16:16" s="191" customFormat="1" ht="13.8" x14ac:dyDescent="0.25">
      <c r="P798" s="222"/>
    </row>
    <row r="799" spans="16:16" s="191" customFormat="1" ht="13.8" x14ac:dyDescent="0.25">
      <c r="P799" s="222"/>
    </row>
    <row r="800" spans="16:16" s="191" customFormat="1" ht="13.8" x14ac:dyDescent="0.25">
      <c r="P800" s="222"/>
    </row>
    <row r="801" spans="16:16" s="191" customFormat="1" ht="13.8" x14ac:dyDescent="0.25">
      <c r="P801" s="222"/>
    </row>
    <row r="802" spans="16:16" s="191" customFormat="1" ht="13.8" x14ac:dyDescent="0.25">
      <c r="P802" s="222"/>
    </row>
    <row r="803" spans="16:16" s="191" customFormat="1" ht="13.8" x14ac:dyDescent="0.25">
      <c r="P803" s="222"/>
    </row>
    <row r="804" spans="16:16" s="191" customFormat="1" ht="13.8" x14ac:dyDescent="0.25">
      <c r="P804" s="222"/>
    </row>
    <row r="805" spans="16:16" s="191" customFormat="1" ht="13.8" x14ac:dyDescent="0.25">
      <c r="P805" s="222"/>
    </row>
    <row r="806" spans="16:16" s="191" customFormat="1" ht="13.8" x14ac:dyDescent="0.25">
      <c r="P806" s="222"/>
    </row>
    <row r="807" spans="16:16" s="191" customFormat="1" ht="13.8" x14ac:dyDescent="0.25">
      <c r="P807" s="222"/>
    </row>
    <row r="808" spans="16:16" s="191" customFormat="1" ht="13.8" x14ac:dyDescent="0.25">
      <c r="P808" s="222"/>
    </row>
    <row r="809" spans="16:16" s="191" customFormat="1" ht="13.8" x14ac:dyDescent="0.25">
      <c r="P809" s="222"/>
    </row>
    <row r="810" spans="16:16" s="191" customFormat="1" ht="13.8" x14ac:dyDescent="0.25">
      <c r="P810" s="222"/>
    </row>
    <row r="811" spans="16:16" s="191" customFormat="1" ht="13.8" x14ac:dyDescent="0.25">
      <c r="P811" s="222"/>
    </row>
    <row r="812" spans="16:16" s="191" customFormat="1" ht="13.8" x14ac:dyDescent="0.25">
      <c r="P812" s="222"/>
    </row>
    <row r="813" spans="16:16" s="191" customFormat="1" ht="13.8" x14ac:dyDescent="0.25">
      <c r="P813" s="222"/>
    </row>
    <row r="814" spans="16:16" s="191" customFormat="1" ht="13.8" x14ac:dyDescent="0.25">
      <c r="P814" s="222"/>
    </row>
    <row r="815" spans="16:16" s="191" customFormat="1" ht="13.8" x14ac:dyDescent="0.25">
      <c r="P815" s="222"/>
    </row>
    <row r="816" spans="16:16" s="191" customFormat="1" ht="13.8" x14ac:dyDescent="0.25">
      <c r="P816" s="222"/>
    </row>
    <row r="817" spans="16:16" s="191" customFormat="1" ht="13.8" x14ac:dyDescent="0.25">
      <c r="P817" s="222"/>
    </row>
    <row r="818" spans="16:16" s="191" customFormat="1" ht="13.8" x14ac:dyDescent="0.25">
      <c r="P818" s="222"/>
    </row>
    <row r="819" spans="16:16" s="191" customFormat="1" ht="13.8" x14ac:dyDescent="0.25">
      <c r="P819" s="222"/>
    </row>
    <row r="820" spans="16:16" s="191" customFormat="1" ht="13.8" x14ac:dyDescent="0.25">
      <c r="P820" s="222"/>
    </row>
    <row r="821" spans="16:16" s="191" customFormat="1" ht="13.8" x14ac:dyDescent="0.25">
      <c r="P821" s="222"/>
    </row>
    <row r="822" spans="16:16" s="191" customFormat="1" ht="13.8" x14ac:dyDescent="0.25">
      <c r="P822" s="222"/>
    </row>
    <row r="823" spans="16:16" s="191" customFormat="1" ht="13.8" x14ac:dyDescent="0.25">
      <c r="P823" s="222"/>
    </row>
    <row r="824" spans="16:16" s="191" customFormat="1" ht="13.8" x14ac:dyDescent="0.25">
      <c r="P824" s="222"/>
    </row>
    <row r="825" spans="16:16" s="191" customFormat="1" ht="13.8" x14ac:dyDescent="0.25">
      <c r="P825" s="222"/>
    </row>
    <row r="826" spans="16:16" s="191" customFormat="1" ht="13.8" x14ac:dyDescent="0.25">
      <c r="P826" s="222"/>
    </row>
    <row r="827" spans="16:16" s="191" customFormat="1" ht="13.8" x14ac:dyDescent="0.25">
      <c r="P827" s="222"/>
    </row>
    <row r="828" spans="16:16" s="191" customFormat="1" ht="13.8" x14ac:dyDescent="0.25">
      <c r="P828" s="222"/>
    </row>
    <row r="829" spans="16:16" s="191" customFormat="1" ht="13.8" x14ac:dyDescent="0.25">
      <c r="P829" s="222"/>
    </row>
    <row r="830" spans="16:16" s="191" customFormat="1" ht="13.8" x14ac:dyDescent="0.25">
      <c r="P830" s="222"/>
    </row>
    <row r="831" spans="16:16" s="191" customFormat="1" ht="13.8" x14ac:dyDescent="0.25">
      <c r="P831" s="222"/>
    </row>
    <row r="832" spans="16:16" s="191" customFormat="1" ht="13.8" x14ac:dyDescent="0.25">
      <c r="P832" s="222"/>
    </row>
    <row r="833" spans="16:16" s="191" customFormat="1" ht="13.8" x14ac:dyDescent="0.25">
      <c r="P833" s="222"/>
    </row>
    <row r="834" spans="16:16" s="191" customFormat="1" ht="13.8" x14ac:dyDescent="0.25">
      <c r="P834" s="222"/>
    </row>
    <row r="835" spans="16:16" s="191" customFormat="1" ht="13.8" x14ac:dyDescent="0.25">
      <c r="P835" s="222"/>
    </row>
    <row r="836" spans="16:16" s="191" customFormat="1" ht="13.8" x14ac:dyDescent="0.25">
      <c r="P836" s="222"/>
    </row>
    <row r="837" spans="16:16" s="191" customFormat="1" ht="13.8" x14ac:dyDescent="0.25">
      <c r="P837" s="222"/>
    </row>
    <row r="838" spans="16:16" s="191" customFormat="1" ht="13.8" x14ac:dyDescent="0.25">
      <c r="P838" s="222"/>
    </row>
    <row r="839" spans="16:16" s="191" customFormat="1" ht="13.8" x14ac:dyDescent="0.25">
      <c r="P839" s="222"/>
    </row>
    <row r="840" spans="16:16" s="191" customFormat="1" ht="13.8" x14ac:dyDescent="0.25">
      <c r="P840" s="222"/>
    </row>
    <row r="841" spans="16:16" s="191" customFormat="1" ht="13.8" x14ac:dyDescent="0.25">
      <c r="P841" s="222"/>
    </row>
    <row r="842" spans="16:16" s="191" customFormat="1" ht="13.8" x14ac:dyDescent="0.25">
      <c r="P842" s="222"/>
    </row>
    <row r="843" spans="16:16" s="191" customFormat="1" ht="13.8" x14ac:dyDescent="0.25">
      <c r="P843" s="222"/>
    </row>
    <row r="844" spans="16:16" s="191" customFormat="1" ht="13.8" x14ac:dyDescent="0.25">
      <c r="P844" s="222"/>
    </row>
    <row r="845" spans="16:16" s="191" customFormat="1" ht="13.8" x14ac:dyDescent="0.25">
      <c r="P845" s="222"/>
    </row>
    <row r="846" spans="16:16" s="191" customFormat="1" ht="13.8" x14ac:dyDescent="0.25">
      <c r="P846" s="222"/>
    </row>
    <row r="847" spans="16:16" s="191" customFormat="1" ht="13.8" x14ac:dyDescent="0.25">
      <c r="P847" s="222"/>
    </row>
    <row r="848" spans="16:16" s="191" customFormat="1" ht="13.8" x14ac:dyDescent="0.25">
      <c r="P848" s="222"/>
    </row>
    <row r="849" spans="16:16" s="191" customFormat="1" ht="13.8" x14ac:dyDescent="0.25">
      <c r="P849" s="222"/>
    </row>
    <row r="850" spans="16:16" s="191" customFormat="1" ht="13.8" x14ac:dyDescent="0.25">
      <c r="P850" s="222"/>
    </row>
    <row r="851" spans="16:16" s="191" customFormat="1" ht="13.8" x14ac:dyDescent="0.25">
      <c r="P851" s="222"/>
    </row>
    <row r="852" spans="16:16" s="191" customFormat="1" ht="13.8" x14ac:dyDescent="0.25">
      <c r="P852" s="222"/>
    </row>
    <row r="853" spans="16:16" s="191" customFormat="1" ht="13.8" x14ac:dyDescent="0.25">
      <c r="P853" s="222"/>
    </row>
    <row r="854" spans="16:16" s="191" customFormat="1" ht="13.8" x14ac:dyDescent="0.25">
      <c r="P854" s="222"/>
    </row>
    <row r="855" spans="16:16" s="191" customFormat="1" ht="13.8" x14ac:dyDescent="0.25">
      <c r="P855" s="222"/>
    </row>
    <row r="856" spans="16:16" s="191" customFormat="1" ht="13.8" x14ac:dyDescent="0.25">
      <c r="P856" s="222"/>
    </row>
    <row r="857" spans="16:16" s="191" customFormat="1" ht="13.8" x14ac:dyDescent="0.25">
      <c r="P857" s="222"/>
    </row>
    <row r="858" spans="16:16" s="191" customFormat="1" ht="13.8" x14ac:dyDescent="0.25">
      <c r="P858" s="222"/>
    </row>
    <row r="859" spans="16:16" s="191" customFormat="1" ht="13.8" x14ac:dyDescent="0.25">
      <c r="P859" s="222"/>
    </row>
    <row r="860" spans="16:16" s="191" customFormat="1" ht="13.8" x14ac:dyDescent="0.25">
      <c r="P860" s="222"/>
    </row>
    <row r="861" spans="16:16" s="191" customFormat="1" ht="13.8" x14ac:dyDescent="0.25">
      <c r="P861" s="222"/>
    </row>
    <row r="862" spans="16:16" s="191" customFormat="1" ht="13.8" x14ac:dyDescent="0.25">
      <c r="P862" s="222"/>
    </row>
    <row r="863" spans="16:16" s="191" customFormat="1" ht="13.8" x14ac:dyDescent="0.25">
      <c r="P863" s="222"/>
    </row>
    <row r="864" spans="16:16" s="191" customFormat="1" ht="13.8" x14ac:dyDescent="0.25">
      <c r="P864" s="222"/>
    </row>
    <row r="865" spans="16:16" s="191" customFormat="1" ht="13.8" x14ac:dyDescent="0.25">
      <c r="P865" s="222"/>
    </row>
    <row r="866" spans="16:16" s="191" customFormat="1" ht="13.8" x14ac:dyDescent="0.25">
      <c r="P866" s="222"/>
    </row>
    <row r="867" spans="16:16" s="191" customFormat="1" ht="13.8" x14ac:dyDescent="0.25">
      <c r="P867" s="222"/>
    </row>
    <row r="868" spans="16:16" s="191" customFormat="1" ht="13.8" x14ac:dyDescent="0.25">
      <c r="P868" s="222"/>
    </row>
    <row r="869" spans="16:16" s="191" customFormat="1" ht="13.8" x14ac:dyDescent="0.25">
      <c r="P869" s="222"/>
    </row>
    <row r="870" spans="16:16" s="191" customFormat="1" ht="13.8" x14ac:dyDescent="0.25">
      <c r="P870" s="222"/>
    </row>
    <row r="871" spans="16:16" s="191" customFormat="1" ht="13.8" x14ac:dyDescent="0.25">
      <c r="P871" s="222"/>
    </row>
    <row r="872" spans="16:16" s="191" customFormat="1" ht="13.8" x14ac:dyDescent="0.25">
      <c r="P872" s="222"/>
    </row>
    <row r="873" spans="16:16" s="191" customFormat="1" ht="13.8" x14ac:dyDescent="0.25">
      <c r="P873" s="222"/>
    </row>
    <row r="874" spans="16:16" s="191" customFormat="1" ht="13.8" x14ac:dyDescent="0.25">
      <c r="P874" s="222"/>
    </row>
    <row r="875" spans="16:16" s="191" customFormat="1" ht="13.8" x14ac:dyDescent="0.25">
      <c r="P875" s="222"/>
    </row>
    <row r="876" spans="16:16" s="191" customFormat="1" ht="13.8" x14ac:dyDescent="0.25">
      <c r="P876" s="222"/>
    </row>
    <row r="877" spans="16:16" s="191" customFormat="1" ht="13.8" x14ac:dyDescent="0.25">
      <c r="P877" s="222"/>
    </row>
    <row r="878" spans="16:16" s="191" customFormat="1" ht="13.8" x14ac:dyDescent="0.25">
      <c r="P878" s="222"/>
    </row>
    <row r="879" spans="16:16" s="191" customFormat="1" ht="13.8" x14ac:dyDescent="0.25">
      <c r="P879" s="222"/>
    </row>
    <row r="880" spans="16:16" s="191" customFormat="1" ht="13.8" x14ac:dyDescent="0.25">
      <c r="P880" s="222"/>
    </row>
    <row r="881" spans="16:16" s="191" customFormat="1" ht="13.8" x14ac:dyDescent="0.25">
      <c r="P881" s="222"/>
    </row>
    <row r="882" spans="16:16" s="191" customFormat="1" ht="13.8" x14ac:dyDescent="0.25">
      <c r="P882" s="222"/>
    </row>
    <row r="883" spans="16:16" s="191" customFormat="1" ht="13.8" x14ac:dyDescent="0.25">
      <c r="P883" s="222"/>
    </row>
    <row r="884" spans="16:16" s="191" customFormat="1" ht="13.8" x14ac:dyDescent="0.25">
      <c r="P884" s="222"/>
    </row>
    <row r="885" spans="16:16" s="191" customFormat="1" ht="13.8" x14ac:dyDescent="0.25">
      <c r="P885" s="222"/>
    </row>
    <row r="886" spans="16:16" s="191" customFormat="1" ht="13.8" x14ac:dyDescent="0.25">
      <c r="P886" s="222"/>
    </row>
    <row r="887" spans="16:16" s="191" customFormat="1" ht="13.8" x14ac:dyDescent="0.25">
      <c r="P887" s="222"/>
    </row>
    <row r="888" spans="16:16" s="191" customFormat="1" ht="13.8" x14ac:dyDescent="0.25">
      <c r="P888" s="222"/>
    </row>
    <row r="889" spans="16:16" s="191" customFormat="1" ht="13.8" x14ac:dyDescent="0.25">
      <c r="P889" s="222"/>
    </row>
    <row r="890" spans="16:16" s="191" customFormat="1" ht="13.8" x14ac:dyDescent="0.25">
      <c r="P890" s="222"/>
    </row>
    <row r="891" spans="16:16" s="191" customFormat="1" ht="13.8" x14ac:dyDescent="0.25">
      <c r="P891" s="222"/>
    </row>
    <row r="892" spans="16:16" s="191" customFormat="1" ht="13.8" x14ac:dyDescent="0.25">
      <c r="P892" s="222"/>
    </row>
    <row r="893" spans="16:16" s="191" customFormat="1" ht="13.8" x14ac:dyDescent="0.25">
      <c r="P893" s="222"/>
    </row>
    <row r="894" spans="16:16" s="191" customFormat="1" ht="13.8" x14ac:dyDescent="0.25">
      <c r="P894" s="222"/>
    </row>
    <row r="895" spans="16:16" s="191" customFormat="1" ht="13.8" x14ac:dyDescent="0.25">
      <c r="P895" s="222"/>
    </row>
    <row r="896" spans="16:16" s="191" customFormat="1" ht="13.8" x14ac:dyDescent="0.25">
      <c r="P896" s="222"/>
    </row>
    <row r="897" spans="16:16" s="191" customFormat="1" ht="13.8" x14ac:dyDescent="0.25">
      <c r="P897" s="222"/>
    </row>
    <row r="898" spans="16:16" s="191" customFormat="1" ht="13.8" x14ac:dyDescent="0.25">
      <c r="P898" s="222"/>
    </row>
    <row r="899" spans="16:16" s="191" customFormat="1" ht="13.8" x14ac:dyDescent="0.25">
      <c r="P899" s="222"/>
    </row>
    <row r="900" spans="16:16" s="191" customFormat="1" ht="13.8" x14ac:dyDescent="0.25">
      <c r="P900" s="222"/>
    </row>
    <row r="901" spans="16:16" s="191" customFormat="1" ht="13.8" x14ac:dyDescent="0.25">
      <c r="P901" s="222"/>
    </row>
    <row r="902" spans="16:16" s="191" customFormat="1" ht="13.8" x14ac:dyDescent="0.25">
      <c r="P902" s="222"/>
    </row>
    <row r="903" spans="16:16" s="191" customFormat="1" ht="13.8" x14ac:dyDescent="0.25">
      <c r="P903" s="222"/>
    </row>
    <row r="904" spans="16:16" s="191" customFormat="1" ht="13.8" x14ac:dyDescent="0.25">
      <c r="P904" s="222"/>
    </row>
    <row r="905" spans="16:16" s="191" customFormat="1" ht="13.8" x14ac:dyDescent="0.25">
      <c r="P905" s="222"/>
    </row>
    <row r="906" spans="16:16" s="191" customFormat="1" ht="13.8" x14ac:dyDescent="0.25">
      <c r="P906" s="222"/>
    </row>
    <row r="907" spans="16:16" s="191" customFormat="1" ht="13.8" x14ac:dyDescent="0.25">
      <c r="P907" s="222"/>
    </row>
    <row r="908" spans="16:16" s="191" customFormat="1" ht="13.8" x14ac:dyDescent="0.25">
      <c r="P908" s="222"/>
    </row>
    <row r="909" spans="16:16" s="191" customFormat="1" ht="13.8" x14ac:dyDescent="0.25">
      <c r="P909" s="222"/>
    </row>
    <row r="910" spans="16:16" s="191" customFormat="1" ht="13.8" x14ac:dyDescent="0.25">
      <c r="P910" s="222"/>
    </row>
    <row r="911" spans="16:16" s="191" customFormat="1" ht="13.8" x14ac:dyDescent="0.25">
      <c r="P911" s="222"/>
    </row>
    <row r="912" spans="16:16" s="191" customFormat="1" ht="13.8" x14ac:dyDescent="0.25">
      <c r="P912" s="222"/>
    </row>
    <row r="913" spans="16:16" s="191" customFormat="1" ht="13.8" x14ac:dyDescent="0.25">
      <c r="P913" s="222"/>
    </row>
    <row r="914" spans="16:16" s="191" customFormat="1" ht="13.8" x14ac:dyDescent="0.25">
      <c r="P914" s="222"/>
    </row>
    <row r="915" spans="16:16" s="191" customFormat="1" ht="13.8" x14ac:dyDescent="0.25">
      <c r="P915" s="222"/>
    </row>
    <row r="916" spans="16:16" s="191" customFormat="1" ht="13.8" x14ac:dyDescent="0.25">
      <c r="P916" s="222"/>
    </row>
    <row r="917" spans="16:16" s="191" customFormat="1" ht="13.8" x14ac:dyDescent="0.25">
      <c r="P917" s="222"/>
    </row>
    <row r="918" spans="16:16" s="191" customFormat="1" ht="13.8" x14ac:dyDescent="0.25">
      <c r="P918" s="222"/>
    </row>
    <row r="919" spans="16:16" s="191" customFormat="1" ht="13.8" x14ac:dyDescent="0.25">
      <c r="P919" s="222"/>
    </row>
    <row r="920" spans="16:16" s="191" customFormat="1" ht="13.8" x14ac:dyDescent="0.25">
      <c r="P920" s="222"/>
    </row>
    <row r="921" spans="16:16" s="191" customFormat="1" ht="13.8" x14ac:dyDescent="0.25">
      <c r="P921" s="222"/>
    </row>
    <row r="922" spans="16:16" s="191" customFormat="1" ht="13.8" x14ac:dyDescent="0.25">
      <c r="P922" s="222"/>
    </row>
    <row r="923" spans="16:16" s="191" customFormat="1" ht="13.8" x14ac:dyDescent="0.25">
      <c r="P923" s="222"/>
    </row>
    <row r="924" spans="16:16" s="191" customFormat="1" ht="13.8" x14ac:dyDescent="0.25">
      <c r="P924" s="222"/>
    </row>
    <row r="925" spans="16:16" s="191" customFormat="1" ht="13.8" x14ac:dyDescent="0.25">
      <c r="P925" s="222"/>
    </row>
    <row r="926" spans="16:16" s="191" customFormat="1" ht="13.8" x14ac:dyDescent="0.25">
      <c r="P926" s="222"/>
    </row>
    <row r="927" spans="16:16" s="191" customFormat="1" ht="13.8" x14ac:dyDescent="0.25">
      <c r="P927" s="222"/>
    </row>
    <row r="928" spans="16:16" s="191" customFormat="1" ht="13.8" x14ac:dyDescent="0.25">
      <c r="P928" s="222"/>
    </row>
    <row r="929" spans="16:16" s="191" customFormat="1" ht="13.8" x14ac:dyDescent="0.25">
      <c r="P929" s="222"/>
    </row>
    <row r="930" spans="16:16" s="191" customFormat="1" ht="13.8" x14ac:dyDescent="0.25">
      <c r="P930" s="222"/>
    </row>
    <row r="931" spans="16:16" s="191" customFormat="1" ht="13.8" x14ac:dyDescent="0.25">
      <c r="P931" s="222"/>
    </row>
    <row r="932" spans="16:16" s="191" customFormat="1" ht="13.8" x14ac:dyDescent="0.25">
      <c r="P932" s="222"/>
    </row>
    <row r="933" spans="16:16" s="191" customFormat="1" ht="13.8" x14ac:dyDescent="0.25">
      <c r="P933" s="222"/>
    </row>
    <row r="934" spans="16:16" s="191" customFormat="1" ht="13.8" x14ac:dyDescent="0.25">
      <c r="P934" s="222"/>
    </row>
    <row r="935" spans="16:16" s="191" customFormat="1" ht="13.8" x14ac:dyDescent="0.25">
      <c r="P935" s="222"/>
    </row>
    <row r="936" spans="16:16" s="191" customFormat="1" ht="13.8" x14ac:dyDescent="0.25">
      <c r="P936" s="222"/>
    </row>
    <row r="937" spans="16:16" s="191" customFormat="1" ht="13.8" x14ac:dyDescent="0.25">
      <c r="P937" s="222"/>
    </row>
    <row r="938" spans="16:16" s="191" customFormat="1" ht="13.8" x14ac:dyDescent="0.25">
      <c r="P938" s="222"/>
    </row>
    <row r="939" spans="16:16" s="191" customFormat="1" ht="13.8" x14ac:dyDescent="0.25">
      <c r="P939" s="222"/>
    </row>
    <row r="940" spans="16:16" s="191" customFormat="1" ht="13.8" x14ac:dyDescent="0.25">
      <c r="P940" s="222"/>
    </row>
    <row r="941" spans="16:16" s="191" customFormat="1" ht="13.8" x14ac:dyDescent="0.25">
      <c r="P941" s="222"/>
    </row>
    <row r="942" spans="16:16" s="191" customFormat="1" ht="13.8" x14ac:dyDescent="0.25">
      <c r="P942" s="222"/>
    </row>
    <row r="943" spans="16:16" s="191" customFormat="1" ht="13.8" x14ac:dyDescent="0.25">
      <c r="P943" s="222"/>
    </row>
    <row r="944" spans="16:16" s="191" customFormat="1" ht="13.8" x14ac:dyDescent="0.25">
      <c r="P944" s="222"/>
    </row>
    <row r="945" spans="16:16" s="191" customFormat="1" ht="13.8" x14ac:dyDescent="0.25">
      <c r="P945" s="222"/>
    </row>
    <row r="946" spans="16:16" s="191" customFormat="1" ht="13.8" x14ac:dyDescent="0.25">
      <c r="P946" s="222"/>
    </row>
    <row r="947" spans="16:16" s="191" customFormat="1" ht="13.8" x14ac:dyDescent="0.25">
      <c r="P947" s="222"/>
    </row>
    <row r="948" spans="16:16" s="191" customFormat="1" ht="13.8" x14ac:dyDescent="0.25">
      <c r="P948" s="222"/>
    </row>
    <row r="949" spans="16:16" s="191" customFormat="1" ht="13.8" x14ac:dyDescent="0.25">
      <c r="P949" s="222"/>
    </row>
    <row r="950" spans="16:16" s="191" customFormat="1" ht="13.8" x14ac:dyDescent="0.25">
      <c r="P950" s="222"/>
    </row>
    <row r="951" spans="16:16" s="191" customFormat="1" ht="13.8" x14ac:dyDescent="0.25">
      <c r="P951" s="222"/>
    </row>
    <row r="952" spans="16:16" s="191" customFormat="1" ht="13.8" x14ac:dyDescent="0.25">
      <c r="P952" s="222"/>
    </row>
    <row r="953" spans="16:16" s="191" customFormat="1" ht="13.8" x14ac:dyDescent="0.25">
      <c r="P953" s="222"/>
    </row>
    <row r="954" spans="16:16" s="191" customFormat="1" ht="13.8" x14ac:dyDescent="0.25">
      <c r="P954" s="222"/>
    </row>
    <row r="955" spans="16:16" s="191" customFormat="1" ht="13.8" x14ac:dyDescent="0.25">
      <c r="P955" s="222"/>
    </row>
    <row r="956" spans="16:16" s="191" customFormat="1" ht="13.8" x14ac:dyDescent="0.25">
      <c r="P956" s="222"/>
    </row>
    <row r="957" spans="16:16" s="191" customFormat="1" ht="13.8" x14ac:dyDescent="0.25">
      <c r="P957" s="222"/>
    </row>
    <row r="958" spans="16:16" s="191" customFormat="1" ht="13.8" x14ac:dyDescent="0.25">
      <c r="P958" s="222"/>
    </row>
    <row r="959" spans="16:16" s="191" customFormat="1" ht="13.8" x14ac:dyDescent="0.25">
      <c r="P959" s="222"/>
    </row>
    <row r="960" spans="16:16" s="191" customFormat="1" ht="13.8" x14ac:dyDescent="0.25">
      <c r="P960" s="222"/>
    </row>
    <row r="961" spans="16:16" s="191" customFormat="1" ht="13.8" x14ac:dyDescent="0.25">
      <c r="P961" s="222"/>
    </row>
    <row r="962" spans="16:16" s="191" customFormat="1" ht="13.8" x14ac:dyDescent="0.25">
      <c r="P962" s="222"/>
    </row>
    <row r="963" spans="16:16" s="191" customFormat="1" ht="13.8" x14ac:dyDescent="0.25">
      <c r="P963" s="222"/>
    </row>
    <row r="964" spans="16:16" s="191" customFormat="1" ht="13.8" x14ac:dyDescent="0.25">
      <c r="P964" s="222"/>
    </row>
    <row r="965" spans="16:16" s="191" customFormat="1" ht="13.8" x14ac:dyDescent="0.25">
      <c r="P965" s="222"/>
    </row>
    <row r="966" spans="16:16" s="191" customFormat="1" ht="13.8" x14ac:dyDescent="0.25">
      <c r="P966" s="222"/>
    </row>
    <row r="967" spans="16:16" s="191" customFormat="1" ht="13.8" x14ac:dyDescent="0.25">
      <c r="P967" s="222"/>
    </row>
    <row r="968" spans="16:16" s="191" customFormat="1" ht="13.8" x14ac:dyDescent="0.25">
      <c r="P968" s="222"/>
    </row>
    <row r="969" spans="16:16" s="191" customFormat="1" ht="13.8" x14ac:dyDescent="0.25">
      <c r="P969" s="222"/>
    </row>
    <row r="970" spans="16:16" s="191" customFormat="1" ht="13.8" x14ac:dyDescent="0.25">
      <c r="P970" s="222"/>
    </row>
    <row r="971" spans="16:16" s="191" customFormat="1" ht="13.8" x14ac:dyDescent="0.25">
      <c r="P971" s="222"/>
    </row>
    <row r="972" spans="16:16" s="191" customFormat="1" ht="13.8" x14ac:dyDescent="0.25">
      <c r="P972" s="222"/>
    </row>
    <row r="973" spans="16:16" s="191" customFormat="1" ht="13.8" x14ac:dyDescent="0.25">
      <c r="P973" s="222"/>
    </row>
    <row r="974" spans="16:16" s="191" customFormat="1" ht="13.8" x14ac:dyDescent="0.25">
      <c r="P974" s="222"/>
    </row>
    <row r="975" spans="16:16" s="191" customFormat="1" ht="13.8" x14ac:dyDescent="0.25">
      <c r="P975" s="222"/>
    </row>
    <row r="976" spans="16:16" s="191" customFormat="1" ht="13.8" x14ac:dyDescent="0.25">
      <c r="P976" s="222"/>
    </row>
    <row r="977" spans="16:16" s="191" customFormat="1" ht="13.8" x14ac:dyDescent="0.25">
      <c r="P977" s="222"/>
    </row>
    <row r="978" spans="16:16" s="191" customFormat="1" ht="13.8" x14ac:dyDescent="0.25">
      <c r="P978" s="222"/>
    </row>
    <row r="979" spans="16:16" s="191" customFormat="1" ht="13.8" x14ac:dyDescent="0.25">
      <c r="P979" s="222"/>
    </row>
    <row r="980" spans="16:16" s="191" customFormat="1" ht="13.8" x14ac:dyDescent="0.25">
      <c r="P980" s="222"/>
    </row>
    <row r="981" spans="16:16" s="191" customFormat="1" ht="13.8" x14ac:dyDescent="0.25">
      <c r="P981" s="222"/>
    </row>
    <row r="982" spans="16:16" s="191" customFormat="1" ht="13.8" x14ac:dyDescent="0.25">
      <c r="P982" s="222"/>
    </row>
    <row r="983" spans="16:16" s="191" customFormat="1" ht="13.8" x14ac:dyDescent="0.25">
      <c r="P983" s="222"/>
    </row>
    <row r="984" spans="16:16" s="191" customFormat="1" ht="13.8" x14ac:dyDescent="0.25">
      <c r="P984" s="222"/>
    </row>
    <row r="985" spans="16:16" s="191" customFormat="1" ht="13.8" x14ac:dyDescent="0.25">
      <c r="P985" s="222"/>
    </row>
    <row r="986" spans="16:16" s="191" customFormat="1" ht="13.8" x14ac:dyDescent="0.25">
      <c r="P986" s="222"/>
    </row>
    <row r="987" spans="16:16" s="191" customFormat="1" ht="13.8" x14ac:dyDescent="0.25">
      <c r="P987" s="222"/>
    </row>
    <row r="988" spans="16:16" s="191" customFormat="1" ht="13.8" x14ac:dyDescent="0.25">
      <c r="P988" s="222"/>
    </row>
    <row r="989" spans="16:16" s="191" customFormat="1" ht="13.8" x14ac:dyDescent="0.25">
      <c r="P989" s="222"/>
    </row>
    <row r="990" spans="16:16" s="191" customFormat="1" ht="13.8" x14ac:dyDescent="0.25">
      <c r="P990" s="222"/>
    </row>
    <row r="991" spans="16:16" s="191" customFormat="1" ht="13.8" x14ac:dyDescent="0.25">
      <c r="P991" s="222"/>
    </row>
    <row r="992" spans="16:16" s="191" customFormat="1" ht="13.8" x14ac:dyDescent="0.25">
      <c r="P992" s="222"/>
    </row>
    <row r="993" spans="16:16" s="191" customFormat="1" ht="13.8" x14ac:dyDescent="0.25">
      <c r="P993" s="222"/>
    </row>
    <row r="994" spans="16:16" s="191" customFormat="1" ht="13.8" x14ac:dyDescent="0.25">
      <c r="P994" s="222"/>
    </row>
    <row r="995" spans="16:16" s="191" customFormat="1" ht="13.8" x14ac:dyDescent="0.25">
      <c r="P995" s="222"/>
    </row>
    <row r="996" spans="16:16" s="191" customFormat="1" ht="13.8" x14ac:dyDescent="0.25">
      <c r="P996" s="222"/>
    </row>
    <row r="997" spans="16:16" s="191" customFormat="1" ht="13.8" x14ac:dyDescent="0.25">
      <c r="P997" s="222"/>
    </row>
    <row r="998" spans="16:16" s="191" customFormat="1" ht="13.8" x14ac:dyDescent="0.25">
      <c r="P998" s="222"/>
    </row>
    <row r="999" spans="16:16" s="191" customFormat="1" ht="13.8" x14ac:dyDescent="0.25">
      <c r="P999" s="222"/>
    </row>
    <row r="1000" spans="16:16" s="191" customFormat="1" ht="13.8" x14ac:dyDescent="0.25">
      <c r="P1000" s="222"/>
    </row>
    <row r="1001" spans="16:16" s="191" customFormat="1" ht="13.8" x14ac:dyDescent="0.25">
      <c r="P1001" s="222"/>
    </row>
    <row r="1002" spans="16:16" s="191" customFormat="1" ht="13.8" x14ac:dyDescent="0.25">
      <c r="P1002" s="222"/>
    </row>
    <row r="1003" spans="16:16" s="191" customFormat="1" ht="13.8" x14ac:dyDescent="0.25">
      <c r="P1003" s="222"/>
    </row>
    <row r="1004" spans="16:16" s="191" customFormat="1" ht="13.8" x14ac:dyDescent="0.25">
      <c r="P1004" s="222"/>
    </row>
    <row r="1005" spans="16:16" s="191" customFormat="1" ht="13.8" x14ac:dyDescent="0.25">
      <c r="P1005" s="222"/>
    </row>
    <row r="1006" spans="16:16" s="191" customFormat="1" ht="13.8" x14ac:dyDescent="0.25">
      <c r="P1006" s="222"/>
    </row>
    <row r="1007" spans="16:16" s="191" customFormat="1" ht="13.8" x14ac:dyDescent="0.25">
      <c r="P1007" s="222"/>
    </row>
    <row r="1008" spans="16:16" s="191" customFormat="1" ht="13.8" x14ac:dyDescent="0.25">
      <c r="P1008" s="222"/>
    </row>
    <row r="1009" spans="16:16" s="191" customFormat="1" ht="13.8" x14ac:dyDescent="0.25">
      <c r="P1009" s="222"/>
    </row>
    <row r="1010" spans="16:16" s="191" customFormat="1" ht="13.8" x14ac:dyDescent="0.25">
      <c r="P1010" s="222"/>
    </row>
    <row r="1011" spans="16:16" s="191" customFormat="1" ht="13.8" x14ac:dyDescent="0.25">
      <c r="P1011" s="222"/>
    </row>
    <row r="1012" spans="16:16" s="191" customFormat="1" ht="13.8" x14ac:dyDescent="0.25">
      <c r="P1012" s="222"/>
    </row>
    <row r="1013" spans="16:16" s="191" customFormat="1" ht="13.8" x14ac:dyDescent="0.25">
      <c r="P1013" s="222"/>
    </row>
    <row r="1014" spans="16:16" s="191" customFormat="1" ht="13.8" x14ac:dyDescent="0.25">
      <c r="P1014" s="222"/>
    </row>
    <row r="1015" spans="16:16" s="191" customFormat="1" ht="13.8" x14ac:dyDescent="0.25">
      <c r="P1015" s="222"/>
    </row>
    <row r="1016" spans="16:16" s="191" customFormat="1" ht="13.8" x14ac:dyDescent="0.25">
      <c r="P1016" s="222"/>
    </row>
    <row r="1017" spans="16:16" s="191" customFormat="1" ht="13.8" x14ac:dyDescent="0.25">
      <c r="P1017" s="222"/>
    </row>
    <row r="1018" spans="16:16" s="191" customFormat="1" ht="13.8" x14ac:dyDescent="0.25">
      <c r="P1018" s="222"/>
    </row>
    <row r="1019" spans="16:16" s="191" customFormat="1" ht="13.8" x14ac:dyDescent="0.25">
      <c r="P1019" s="222"/>
    </row>
    <row r="1020" spans="16:16" s="191" customFormat="1" ht="13.8" x14ac:dyDescent="0.25">
      <c r="P1020" s="222"/>
    </row>
    <row r="1021" spans="16:16" s="191" customFormat="1" ht="13.8" x14ac:dyDescent="0.25">
      <c r="P1021" s="222"/>
    </row>
    <row r="1022" spans="16:16" s="191" customFormat="1" ht="13.8" x14ac:dyDescent="0.25">
      <c r="P1022" s="222"/>
    </row>
    <row r="1023" spans="16:16" s="191" customFormat="1" ht="13.8" x14ac:dyDescent="0.25">
      <c r="P1023" s="222"/>
    </row>
    <row r="1024" spans="16:16" s="191" customFormat="1" ht="13.8" x14ac:dyDescent="0.25">
      <c r="P1024" s="222"/>
    </row>
    <row r="1025" spans="16:16" s="191" customFormat="1" ht="13.8" x14ac:dyDescent="0.25">
      <c r="P1025" s="222"/>
    </row>
    <row r="1026" spans="16:16" s="191" customFormat="1" ht="13.8" x14ac:dyDescent="0.25">
      <c r="P1026" s="222"/>
    </row>
    <row r="1027" spans="16:16" s="191" customFormat="1" ht="13.8" x14ac:dyDescent="0.25">
      <c r="P1027" s="222"/>
    </row>
    <row r="1028" spans="16:16" s="191" customFormat="1" ht="13.8" x14ac:dyDescent="0.25">
      <c r="P1028" s="222"/>
    </row>
    <row r="1029" spans="16:16" s="191" customFormat="1" ht="13.8" x14ac:dyDescent="0.25">
      <c r="P1029" s="222"/>
    </row>
    <row r="1030" spans="16:16" s="191" customFormat="1" ht="13.8" x14ac:dyDescent="0.25">
      <c r="P1030" s="222"/>
    </row>
    <row r="1031" spans="16:16" s="191" customFormat="1" ht="13.8" x14ac:dyDescent="0.25">
      <c r="P1031" s="222"/>
    </row>
    <row r="1032" spans="16:16" s="191" customFormat="1" ht="13.8" x14ac:dyDescent="0.25">
      <c r="P1032" s="222"/>
    </row>
    <row r="1033" spans="16:16" s="191" customFormat="1" ht="13.8" x14ac:dyDescent="0.25">
      <c r="P1033" s="222"/>
    </row>
    <row r="1034" spans="16:16" s="191" customFormat="1" ht="13.8" x14ac:dyDescent="0.25">
      <c r="P1034" s="222"/>
    </row>
    <row r="1035" spans="16:16" s="191" customFormat="1" ht="13.8" x14ac:dyDescent="0.25">
      <c r="P1035" s="222"/>
    </row>
    <row r="1036" spans="16:16" s="191" customFormat="1" ht="13.8" x14ac:dyDescent="0.25">
      <c r="P1036" s="222"/>
    </row>
    <row r="1037" spans="16:16" s="191" customFormat="1" ht="13.8" x14ac:dyDescent="0.25">
      <c r="P1037" s="222"/>
    </row>
    <row r="1038" spans="16:16" s="191" customFormat="1" ht="13.8" x14ac:dyDescent="0.25">
      <c r="P1038" s="222"/>
    </row>
    <row r="1039" spans="16:16" s="191" customFormat="1" ht="13.8" x14ac:dyDescent="0.25">
      <c r="P1039" s="222"/>
    </row>
    <row r="1040" spans="16:16" s="191" customFormat="1" ht="13.8" x14ac:dyDescent="0.25">
      <c r="P1040" s="222"/>
    </row>
    <row r="1041" spans="16:16" s="191" customFormat="1" ht="13.8" x14ac:dyDescent="0.25">
      <c r="P1041" s="222"/>
    </row>
    <row r="1042" spans="16:16" s="191" customFormat="1" ht="13.8" x14ac:dyDescent="0.25">
      <c r="P1042" s="222"/>
    </row>
    <row r="1043" spans="16:16" s="191" customFormat="1" ht="13.8" x14ac:dyDescent="0.25">
      <c r="P1043" s="222"/>
    </row>
    <row r="1044" spans="16:16" s="191" customFormat="1" ht="13.8" x14ac:dyDescent="0.25">
      <c r="P1044" s="222"/>
    </row>
    <row r="1045" spans="16:16" s="191" customFormat="1" ht="13.8" x14ac:dyDescent="0.25">
      <c r="P1045" s="222"/>
    </row>
    <row r="1046" spans="16:16" s="191" customFormat="1" ht="13.8" x14ac:dyDescent="0.25">
      <c r="P1046" s="222"/>
    </row>
    <row r="1047" spans="16:16" s="191" customFormat="1" ht="13.8" x14ac:dyDescent="0.25">
      <c r="P1047" s="222"/>
    </row>
    <row r="1048" spans="16:16" s="191" customFormat="1" ht="13.8" x14ac:dyDescent="0.25">
      <c r="P1048" s="222"/>
    </row>
    <row r="1049" spans="16:16" s="191" customFormat="1" ht="13.8" x14ac:dyDescent="0.25">
      <c r="P1049" s="222"/>
    </row>
    <row r="1050" spans="16:16" s="191" customFormat="1" ht="13.8" x14ac:dyDescent="0.25">
      <c r="P1050" s="222"/>
    </row>
    <row r="1051" spans="16:16" s="191" customFormat="1" ht="13.8" x14ac:dyDescent="0.25">
      <c r="P1051" s="222"/>
    </row>
    <row r="1052" spans="16:16" s="191" customFormat="1" ht="13.8" x14ac:dyDescent="0.25">
      <c r="P1052" s="222"/>
    </row>
    <row r="1053" spans="16:16" s="191" customFormat="1" ht="13.8" x14ac:dyDescent="0.25">
      <c r="P1053" s="222"/>
    </row>
    <row r="1054" spans="16:16" s="191" customFormat="1" ht="13.8" x14ac:dyDescent="0.25">
      <c r="P1054" s="222"/>
    </row>
    <row r="1055" spans="16:16" s="191" customFormat="1" ht="13.8" x14ac:dyDescent="0.25">
      <c r="P1055" s="222"/>
    </row>
    <row r="1056" spans="16:16" s="191" customFormat="1" ht="13.8" x14ac:dyDescent="0.25">
      <c r="P1056" s="222"/>
    </row>
    <row r="1057" spans="16:16" s="191" customFormat="1" ht="13.8" x14ac:dyDescent="0.25">
      <c r="P1057" s="222"/>
    </row>
    <row r="1058" spans="16:16" s="191" customFormat="1" ht="13.8" x14ac:dyDescent="0.25">
      <c r="P1058" s="222"/>
    </row>
    <row r="1059" spans="16:16" s="191" customFormat="1" ht="13.8" x14ac:dyDescent="0.25">
      <c r="P1059" s="222"/>
    </row>
    <row r="1060" spans="16:16" s="191" customFormat="1" ht="13.8" x14ac:dyDescent="0.25">
      <c r="P1060" s="222"/>
    </row>
    <row r="1061" spans="16:16" s="191" customFormat="1" ht="13.8" x14ac:dyDescent="0.25">
      <c r="P1061" s="222"/>
    </row>
    <row r="1062" spans="16:16" s="191" customFormat="1" ht="13.8" x14ac:dyDescent="0.25">
      <c r="P1062" s="222"/>
    </row>
    <row r="1063" spans="16:16" s="191" customFormat="1" ht="13.8" x14ac:dyDescent="0.25">
      <c r="P1063" s="222"/>
    </row>
    <row r="1064" spans="16:16" s="191" customFormat="1" ht="13.8" x14ac:dyDescent="0.25">
      <c r="P1064" s="222"/>
    </row>
    <row r="1065" spans="16:16" s="191" customFormat="1" ht="13.8" x14ac:dyDescent="0.25">
      <c r="P1065" s="222"/>
    </row>
    <row r="1066" spans="16:16" s="191" customFormat="1" ht="13.8" x14ac:dyDescent="0.25">
      <c r="P1066" s="222"/>
    </row>
    <row r="1067" spans="16:16" s="191" customFormat="1" ht="13.8" x14ac:dyDescent="0.25">
      <c r="P1067" s="222"/>
    </row>
    <row r="1068" spans="16:16" s="191" customFormat="1" ht="13.8" x14ac:dyDescent="0.25">
      <c r="P1068" s="222"/>
    </row>
    <row r="1069" spans="16:16" s="191" customFormat="1" ht="13.8" x14ac:dyDescent="0.25">
      <c r="P1069" s="222"/>
    </row>
    <row r="1070" spans="16:16" s="191" customFormat="1" ht="13.8" x14ac:dyDescent="0.25">
      <c r="P1070" s="222"/>
    </row>
    <row r="1071" spans="16:16" s="191" customFormat="1" ht="13.8" x14ac:dyDescent="0.25">
      <c r="P1071" s="222"/>
    </row>
    <row r="1072" spans="16:16" s="191" customFormat="1" ht="13.8" x14ac:dyDescent="0.25">
      <c r="P1072" s="222"/>
    </row>
    <row r="1073" spans="16:16" s="191" customFormat="1" ht="13.8" x14ac:dyDescent="0.25">
      <c r="P1073" s="222"/>
    </row>
    <row r="1074" spans="16:16" s="191" customFormat="1" ht="13.8" x14ac:dyDescent="0.25">
      <c r="P1074" s="222"/>
    </row>
    <row r="1075" spans="16:16" s="191" customFormat="1" ht="13.8" x14ac:dyDescent="0.25">
      <c r="P1075" s="222"/>
    </row>
    <row r="1076" spans="16:16" s="191" customFormat="1" ht="13.8" x14ac:dyDescent="0.25">
      <c r="P1076" s="222"/>
    </row>
    <row r="1077" spans="16:16" s="191" customFormat="1" ht="13.8" x14ac:dyDescent="0.25">
      <c r="P1077" s="222"/>
    </row>
    <row r="1078" spans="16:16" s="191" customFormat="1" ht="13.8" x14ac:dyDescent="0.25">
      <c r="P1078" s="222"/>
    </row>
    <row r="1079" spans="16:16" s="191" customFormat="1" ht="13.8" x14ac:dyDescent="0.25">
      <c r="P1079" s="222"/>
    </row>
    <row r="1080" spans="16:16" s="191" customFormat="1" ht="13.8" x14ac:dyDescent="0.25">
      <c r="P1080" s="222"/>
    </row>
    <row r="1081" spans="16:16" s="191" customFormat="1" ht="13.8" x14ac:dyDescent="0.25">
      <c r="P1081" s="222"/>
    </row>
    <row r="1082" spans="16:16" s="191" customFormat="1" ht="13.8" x14ac:dyDescent="0.25">
      <c r="P1082" s="222"/>
    </row>
    <row r="1083" spans="16:16" s="191" customFormat="1" ht="13.8" x14ac:dyDescent="0.25">
      <c r="P1083" s="222"/>
    </row>
    <row r="1084" spans="16:16" s="191" customFormat="1" ht="13.8" x14ac:dyDescent="0.25">
      <c r="P1084" s="222"/>
    </row>
    <row r="1085" spans="16:16" s="191" customFormat="1" ht="13.8" x14ac:dyDescent="0.25">
      <c r="P1085" s="222"/>
    </row>
    <row r="1086" spans="16:16" s="191" customFormat="1" ht="13.8" x14ac:dyDescent="0.25">
      <c r="P1086" s="222"/>
    </row>
    <row r="1087" spans="16:16" s="191" customFormat="1" ht="13.8" x14ac:dyDescent="0.25">
      <c r="P1087" s="222"/>
    </row>
    <row r="1088" spans="16:16" s="191" customFormat="1" ht="13.8" x14ac:dyDescent="0.25">
      <c r="P1088" s="222"/>
    </row>
    <row r="1089" spans="16:16" s="191" customFormat="1" ht="13.8" x14ac:dyDescent="0.25">
      <c r="P1089" s="222"/>
    </row>
    <row r="1090" spans="16:16" s="191" customFormat="1" ht="13.8" x14ac:dyDescent="0.25">
      <c r="P1090" s="222"/>
    </row>
    <row r="1091" spans="16:16" s="191" customFormat="1" ht="13.8" x14ac:dyDescent="0.25">
      <c r="P1091" s="222"/>
    </row>
    <row r="1092" spans="16:16" s="191" customFormat="1" ht="13.8" x14ac:dyDescent="0.25">
      <c r="P1092" s="222"/>
    </row>
    <row r="1093" spans="16:16" s="191" customFormat="1" ht="13.8" x14ac:dyDescent="0.25">
      <c r="P1093" s="222"/>
    </row>
    <row r="1094" spans="16:16" s="191" customFormat="1" ht="13.8" x14ac:dyDescent="0.25">
      <c r="P1094" s="222"/>
    </row>
    <row r="1095" spans="16:16" s="191" customFormat="1" ht="13.8" x14ac:dyDescent="0.25">
      <c r="P1095" s="222"/>
    </row>
    <row r="1096" spans="16:16" s="191" customFormat="1" ht="13.8" x14ac:dyDescent="0.25">
      <c r="P1096" s="222"/>
    </row>
    <row r="1097" spans="16:16" s="191" customFormat="1" ht="13.8" x14ac:dyDescent="0.25">
      <c r="P1097" s="222"/>
    </row>
    <row r="1098" spans="16:16" s="191" customFormat="1" ht="13.8" x14ac:dyDescent="0.25">
      <c r="P1098" s="222"/>
    </row>
    <row r="1099" spans="16:16" s="191" customFormat="1" ht="13.8" x14ac:dyDescent="0.25">
      <c r="P1099" s="222"/>
    </row>
    <row r="1100" spans="16:16" s="191" customFormat="1" ht="13.8" x14ac:dyDescent="0.25">
      <c r="P1100" s="222"/>
    </row>
    <row r="1101" spans="16:16" s="191" customFormat="1" ht="13.8" x14ac:dyDescent="0.25">
      <c r="P1101" s="222"/>
    </row>
    <row r="1102" spans="16:16" s="191" customFormat="1" ht="13.8" x14ac:dyDescent="0.25">
      <c r="P1102" s="222"/>
    </row>
    <row r="1103" spans="16:16" s="191" customFormat="1" ht="13.8" x14ac:dyDescent="0.25">
      <c r="P1103" s="222"/>
    </row>
    <row r="1104" spans="16:16" s="191" customFormat="1" ht="13.8" x14ac:dyDescent="0.25">
      <c r="P1104" s="222"/>
    </row>
    <row r="1105" spans="16:16" s="191" customFormat="1" ht="13.8" x14ac:dyDescent="0.25">
      <c r="P1105" s="222"/>
    </row>
    <row r="1106" spans="16:16" s="191" customFormat="1" ht="13.8" x14ac:dyDescent="0.25">
      <c r="P1106" s="222"/>
    </row>
    <row r="1107" spans="16:16" s="191" customFormat="1" ht="13.8" x14ac:dyDescent="0.25">
      <c r="P1107" s="222"/>
    </row>
    <row r="1108" spans="16:16" s="191" customFormat="1" ht="13.8" x14ac:dyDescent="0.25">
      <c r="P1108" s="222"/>
    </row>
    <row r="1109" spans="16:16" s="191" customFormat="1" ht="13.8" x14ac:dyDescent="0.25">
      <c r="P1109" s="222"/>
    </row>
    <row r="1110" spans="16:16" s="191" customFormat="1" ht="13.8" x14ac:dyDescent="0.25">
      <c r="P1110" s="222"/>
    </row>
    <row r="1111" spans="16:16" s="191" customFormat="1" ht="13.8" x14ac:dyDescent="0.25">
      <c r="P1111" s="222"/>
    </row>
    <row r="1112" spans="16:16" s="191" customFormat="1" ht="13.8" x14ac:dyDescent="0.25">
      <c r="P1112" s="222"/>
    </row>
    <row r="1113" spans="16:16" s="191" customFormat="1" ht="13.8" x14ac:dyDescent="0.25">
      <c r="P1113" s="222"/>
    </row>
    <row r="1114" spans="16:16" s="191" customFormat="1" ht="13.8" x14ac:dyDescent="0.25">
      <c r="P1114" s="222"/>
    </row>
    <row r="1115" spans="16:16" s="191" customFormat="1" ht="13.8" x14ac:dyDescent="0.25">
      <c r="P1115" s="222"/>
    </row>
    <row r="1116" spans="16:16" s="191" customFormat="1" ht="13.8" x14ac:dyDescent="0.25">
      <c r="P1116" s="222"/>
    </row>
    <row r="1117" spans="16:16" s="191" customFormat="1" ht="13.8" x14ac:dyDescent="0.25">
      <c r="P1117" s="222"/>
    </row>
    <row r="1118" spans="16:16" s="191" customFormat="1" ht="13.8" x14ac:dyDescent="0.25">
      <c r="P1118" s="222"/>
    </row>
    <row r="1119" spans="16:16" s="191" customFormat="1" ht="13.8" x14ac:dyDescent="0.25">
      <c r="P1119" s="222"/>
    </row>
    <row r="1120" spans="16:16" s="191" customFormat="1" ht="13.8" x14ac:dyDescent="0.25">
      <c r="P1120" s="222"/>
    </row>
    <row r="1121" spans="16:16" s="191" customFormat="1" ht="13.8" x14ac:dyDescent="0.25">
      <c r="P1121" s="222"/>
    </row>
    <row r="1122" spans="16:16" s="191" customFormat="1" ht="13.8" x14ac:dyDescent="0.25">
      <c r="P1122" s="222"/>
    </row>
    <row r="1123" spans="16:16" s="191" customFormat="1" ht="13.8" x14ac:dyDescent="0.25">
      <c r="P1123" s="222"/>
    </row>
    <row r="1124" spans="16:16" s="191" customFormat="1" ht="13.8" x14ac:dyDescent="0.25">
      <c r="P1124" s="222"/>
    </row>
    <row r="1125" spans="16:16" s="191" customFormat="1" ht="13.8" x14ac:dyDescent="0.25">
      <c r="P1125" s="222"/>
    </row>
    <row r="1126" spans="16:16" s="191" customFormat="1" ht="13.8" x14ac:dyDescent="0.25">
      <c r="P1126" s="222"/>
    </row>
    <row r="1127" spans="16:16" s="191" customFormat="1" ht="13.8" x14ac:dyDescent="0.25">
      <c r="P1127" s="222"/>
    </row>
    <row r="1128" spans="16:16" s="191" customFormat="1" ht="13.8" x14ac:dyDescent="0.25">
      <c r="P1128" s="222"/>
    </row>
    <row r="1129" spans="16:16" s="191" customFormat="1" ht="13.8" x14ac:dyDescent="0.25">
      <c r="P1129" s="222"/>
    </row>
    <row r="1130" spans="16:16" s="191" customFormat="1" ht="13.8" x14ac:dyDescent="0.25">
      <c r="P1130" s="222"/>
    </row>
    <row r="1131" spans="16:16" s="191" customFormat="1" ht="13.8" x14ac:dyDescent="0.25">
      <c r="P1131" s="222"/>
    </row>
    <row r="1132" spans="16:16" s="191" customFormat="1" ht="13.8" x14ac:dyDescent="0.25">
      <c r="P1132" s="222"/>
    </row>
    <row r="1133" spans="16:16" s="191" customFormat="1" ht="13.8" x14ac:dyDescent="0.25">
      <c r="P1133" s="222"/>
    </row>
    <row r="1134" spans="16:16" s="191" customFormat="1" ht="13.8" x14ac:dyDescent="0.25">
      <c r="P1134" s="222"/>
    </row>
    <row r="1135" spans="16:16" s="191" customFormat="1" ht="13.8" x14ac:dyDescent="0.25">
      <c r="P1135" s="222"/>
    </row>
    <row r="1136" spans="16:16" s="191" customFormat="1" ht="13.8" x14ac:dyDescent="0.25">
      <c r="P1136" s="222"/>
    </row>
    <row r="1137" spans="16:16" s="191" customFormat="1" ht="13.8" x14ac:dyDescent="0.25">
      <c r="P1137" s="222"/>
    </row>
    <row r="1138" spans="16:16" s="191" customFormat="1" ht="13.8" x14ac:dyDescent="0.25">
      <c r="P1138" s="222"/>
    </row>
    <row r="1139" spans="16:16" s="191" customFormat="1" ht="13.8" x14ac:dyDescent="0.25">
      <c r="P1139" s="222"/>
    </row>
    <row r="1140" spans="16:16" s="191" customFormat="1" ht="13.8" x14ac:dyDescent="0.25">
      <c r="P1140" s="222"/>
    </row>
    <row r="1141" spans="16:16" s="191" customFormat="1" ht="13.8" x14ac:dyDescent="0.25">
      <c r="P1141" s="222"/>
    </row>
    <row r="1142" spans="16:16" s="191" customFormat="1" ht="13.8" x14ac:dyDescent="0.25">
      <c r="P1142" s="222"/>
    </row>
    <row r="1143" spans="16:16" s="191" customFormat="1" ht="13.8" x14ac:dyDescent="0.25">
      <c r="P1143" s="222"/>
    </row>
    <row r="1144" spans="16:16" s="191" customFormat="1" ht="13.8" x14ac:dyDescent="0.25">
      <c r="P1144" s="222"/>
    </row>
    <row r="1145" spans="16:16" s="191" customFormat="1" ht="13.8" x14ac:dyDescent="0.25">
      <c r="P1145" s="222"/>
    </row>
    <row r="1146" spans="16:16" s="191" customFormat="1" ht="13.8" x14ac:dyDescent="0.25">
      <c r="P1146" s="222"/>
    </row>
    <row r="1147" spans="16:16" s="191" customFormat="1" ht="13.8" x14ac:dyDescent="0.25">
      <c r="P1147" s="222"/>
    </row>
    <row r="1148" spans="16:16" s="191" customFormat="1" ht="13.8" x14ac:dyDescent="0.25">
      <c r="P1148" s="222"/>
    </row>
    <row r="1149" spans="16:16" s="191" customFormat="1" ht="13.8" x14ac:dyDescent="0.25">
      <c r="P1149" s="222"/>
    </row>
    <row r="1150" spans="16:16" s="191" customFormat="1" ht="13.8" x14ac:dyDescent="0.25">
      <c r="P1150" s="222"/>
    </row>
    <row r="1151" spans="16:16" s="191" customFormat="1" ht="13.8" x14ac:dyDescent="0.25">
      <c r="P1151" s="222"/>
    </row>
    <row r="1152" spans="16:16" s="191" customFormat="1" ht="13.8" x14ac:dyDescent="0.25">
      <c r="P1152" s="222"/>
    </row>
    <row r="1153" spans="16:16" s="191" customFormat="1" ht="13.8" x14ac:dyDescent="0.25">
      <c r="P1153" s="222"/>
    </row>
    <row r="1154" spans="16:16" s="191" customFormat="1" ht="13.8" x14ac:dyDescent="0.25">
      <c r="P1154" s="222"/>
    </row>
    <row r="1155" spans="16:16" s="191" customFormat="1" ht="13.8" x14ac:dyDescent="0.25">
      <c r="P1155" s="222"/>
    </row>
    <row r="1156" spans="16:16" s="191" customFormat="1" ht="13.8" x14ac:dyDescent="0.25">
      <c r="P1156" s="222"/>
    </row>
    <row r="1157" spans="16:16" s="191" customFormat="1" ht="13.8" x14ac:dyDescent="0.25">
      <c r="P1157" s="222"/>
    </row>
    <row r="1158" spans="16:16" s="191" customFormat="1" ht="13.8" x14ac:dyDescent="0.25">
      <c r="P1158" s="222"/>
    </row>
    <row r="1159" spans="16:16" s="191" customFormat="1" ht="13.8" x14ac:dyDescent="0.25">
      <c r="P1159" s="222"/>
    </row>
    <row r="1160" spans="16:16" s="191" customFormat="1" ht="13.8" x14ac:dyDescent="0.25">
      <c r="P1160" s="222"/>
    </row>
    <row r="1161" spans="16:16" s="191" customFormat="1" ht="13.8" x14ac:dyDescent="0.25">
      <c r="P1161" s="222"/>
    </row>
    <row r="1162" spans="16:16" s="191" customFormat="1" ht="13.8" x14ac:dyDescent="0.25">
      <c r="P1162" s="222"/>
    </row>
    <row r="1163" spans="16:16" s="191" customFormat="1" ht="13.8" x14ac:dyDescent="0.25">
      <c r="P1163" s="222"/>
    </row>
    <row r="1164" spans="16:16" s="191" customFormat="1" ht="13.8" x14ac:dyDescent="0.25">
      <c r="P1164" s="222"/>
    </row>
    <row r="1165" spans="16:16" s="191" customFormat="1" ht="13.8" x14ac:dyDescent="0.25">
      <c r="P1165" s="222"/>
    </row>
    <row r="1166" spans="16:16" s="191" customFormat="1" ht="13.8" x14ac:dyDescent="0.25">
      <c r="P1166" s="222"/>
    </row>
    <row r="1167" spans="16:16" s="191" customFormat="1" ht="13.8" x14ac:dyDescent="0.25">
      <c r="P1167" s="222"/>
    </row>
    <row r="1168" spans="16:16" s="191" customFormat="1" ht="13.8" x14ac:dyDescent="0.25">
      <c r="P1168" s="222"/>
    </row>
    <row r="1169" spans="16:16" s="191" customFormat="1" ht="13.8" x14ac:dyDescent="0.25">
      <c r="P1169" s="222"/>
    </row>
    <row r="1170" spans="16:16" s="191" customFormat="1" ht="13.8" x14ac:dyDescent="0.25">
      <c r="P1170" s="222"/>
    </row>
    <row r="1171" spans="16:16" s="191" customFormat="1" ht="13.8" x14ac:dyDescent="0.25">
      <c r="P1171" s="222"/>
    </row>
    <row r="1172" spans="16:16" s="191" customFormat="1" ht="13.8" x14ac:dyDescent="0.25">
      <c r="P1172" s="222"/>
    </row>
    <row r="1173" spans="16:16" s="191" customFormat="1" ht="13.8" x14ac:dyDescent="0.25">
      <c r="P1173" s="222"/>
    </row>
    <row r="1174" spans="16:16" s="191" customFormat="1" ht="13.8" x14ac:dyDescent="0.25">
      <c r="P1174" s="222"/>
    </row>
    <row r="1175" spans="16:16" s="191" customFormat="1" ht="13.8" x14ac:dyDescent="0.25">
      <c r="P1175" s="222"/>
    </row>
    <row r="1176" spans="16:16" s="191" customFormat="1" ht="13.8" x14ac:dyDescent="0.25">
      <c r="P1176" s="222"/>
    </row>
    <row r="1177" spans="16:16" s="191" customFormat="1" ht="13.8" x14ac:dyDescent="0.25">
      <c r="P1177" s="222"/>
    </row>
    <row r="1178" spans="16:16" s="191" customFormat="1" ht="13.8" x14ac:dyDescent="0.25">
      <c r="P1178" s="222"/>
    </row>
    <row r="1179" spans="16:16" s="191" customFormat="1" ht="13.8" x14ac:dyDescent="0.25">
      <c r="P1179" s="222"/>
    </row>
    <row r="1180" spans="16:16" s="191" customFormat="1" ht="13.8" x14ac:dyDescent="0.25">
      <c r="P1180" s="222"/>
    </row>
    <row r="1181" spans="16:16" s="191" customFormat="1" ht="13.8" x14ac:dyDescent="0.25">
      <c r="P1181" s="222"/>
    </row>
    <row r="1182" spans="16:16" s="191" customFormat="1" ht="13.8" x14ac:dyDescent="0.25">
      <c r="P1182" s="222"/>
    </row>
    <row r="1183" spans="16:16" s="191" customFormat="1" ht="13.8" x14ac:dyDescent="0.25">
      <c r="P1183" s="222"/>
    </row>
    <row r="1184" spans="16:16" s="191" customFormat="1" ht="13.8" x14ac:dyDescent="0.25">
      <c r="P1184" s="222"/>
    </row>
    <row r="1185" spans="16:16" s="191" customFormat="1" ht="13.8" x14ac:dyDescent="0.25">
      <c r="P1185" s="222"/>
    </row>
    <row r="1186" spans="16:16" s="191" customFormat="1" ht="13.8" x14ac:dyDescent="0.25">
      <c r="P1186" s="222"/>
    </row>
    <row r="1187" spans="16:16" s="191" customFormat="1" ht="13.8" x14ac:dyDescent="0.25">
      <c r="P1187" s="222"/>
    </row>
    <row r="1188" spans="16:16" s="191" customFormat="1" ht="13.8" x14ac:dyDescent="0.25">
      <c r="P1188" s="222"/>
    </row>
    <row r="1189" spans="16:16" s="191" customFormat="1" ht="13.8" x14ac:dyDescent="0.25">
      <c r="P1189" s="222"/>
    </row>
    <row r="1190" spans="16:16" s="191" customFormat="1" ht="13.8" x14ac:dyDescent="0.25">
      <c r="P1190" s="222"/>
    </row>
    <row r="1191" spans="16:16" s="191" customFormat="1" ht="13.8" x14ac:dyDescent="0.25">
      <c r="P1191" s="222"/>
    </row>
    <row r="1192" spans="16:16" s="191" customFormat="1" ht="13.8" x14ac:dyDescent="0.25">
      <c r="P1192" s="222"/>
    </row>
    <row r="1193" spans="16:16" s="191" customFormat="1" ht="13.8" x14ac:dyDescent="0.25">
      <c r="P1193" s="222"/>
    </row>
    <row r="1194" spans="16:16" s="191" customFormat="1" ht="13.8" x14ac:dyDescent="0.25">
      <c r="P1194" s="222"/>
    </row>
    <row r="1195" spans="16:16" s="191" customFormat="1" ht="13.8" x14ac:dyDescent="0.25">
      <c r="P1195" s="222"/>
    </row>
    <row r="1196" spans="16:16" s="191" customFormat="1" ht="13.8" x14ac:dyDescent="0.25">
      <c r="P1196" s="222"/>
    </row>
    <row r="1197" spans="16:16" s="191" customFormat="1" ht="13.8" x14ac:dyDescent="0.25">
      <c r="P1197" s="222"/>
    </row>
    <row r="1198" spans="16:16" s="191" customFormat="1" ht="13.8" x14ac:dyDescent="0.25">
      <c r="P1198" s="222"/>
    </row>
    <row r="1199" spans="16:16" s="191" customFormat="1" ht="13.8" x14ac:dyDescent="0.25">
      <c r="P1199" s="222"/>
    </row>
    <row r="1200" spans="16:16" s="191" customFormat="1" ht="13.8" x14ac:dyDescent="0.25">
      <c r="P1200" s="222"/>
    </row>
    <row r="1201" spans="16:16" s="191" customFormat="1" ht="13.8" x14ac:dyDescent="0.25">
      <c r="P1201" s="222"/>
    </row>
    <row r="1202" spans="16:16" s="191" customFormat="1" ht="13.8" x14ac:dyDescent="0.25">
      <c r="P1202" s="222"/>
    </row>
    <row r="1203" spans="16:16" s="191" customFormat="1" ht="13.8" x14ac:dyDescent="0.25">
      <c r="P1203" s="222"/>
    </row>
    <row r="1204" spans="16:16" s="191" customFormat="1" ht="13.8" x14ac:dyDescent="0.25">
      <c r="P1204" s="222"/>
    </row>
    <row r="1205" spans="16:16" s="191" customFormat="1" ht="13.8" x14ac:dyDescent="0.25">
      <c r="P1205" s="222"/>
    </row>
    <row r="1206" spans="16:16" s="191" customFormat="1" ht="13.8" x14ac:dyDescent="0.25">
      <c r="P1206" s="222"/>
    </row>
    <row r="1207" spans="16:16" s="191" customFormat="1" ht="13.8" x14ac:dyDescent="0.25">
      <c r="P1207" s="222"/>
    </row>
    <row r="1208" spans="16:16" s="191" customFormat="1" ht="13.8" x14ac:dyDescent="0.25">
      <c r="P1208" s="222"/>
    </row>
    <row r="1209" spans="16:16" s="191" customFormat="1" ht="13.8" x14ac:dyDescent="0.25">
      <c r="P1209" s="222"/>
    </row>
    <row r="1210" spans="16:16" s="191" customFormat="1" ht="13.8" x14ac:dyDescent="0.25">
      <c r="P1210" s="222"/>
    </row>
    <row r="1211" spans="16:16" s="191" customFormat="1" ht="13.8" x14ac:dyDescent="0.25">
      <c r="P1211" s="222"/>
    </row>
    <row r="1212" spans="16:16" s="191" customFormat="1" ht="13.8" x14ac:dyDescent="0.25">
      <c r="P1212" s="222"/>
    </row>
    <row r="1213" spans="16:16" s="191" customFormat="1" ht="13.8" x14ac:dyDescent="0.25">
      <c r="P1213" s="222"/>
    </row>
    <row r="1214" spans="16:16" s="191" customFormat="1" ht="13.8" x14ac:dyDescent="0.25">
      <c r="P1214" s="222"/>
    </row>
    <row r="1215" spans="16:16" s="191" customFormat="1" ht="13.8" x14ac:dyDescent="0.25">
      <c r="P1215" s="222"/>
    </row>
    <row r="1216" spans="16:16" s="191" customFormat="1" ht="13.8" x14ac:dyDescent="0.25">
      <c r="P1216" s="222"/>
    </row>
    <row r="1217" spans="16:16" s="191" customFormat="1" ht="13.8" x14ac:dyDescent="0.25">
      <c r="P1217" s="222"/>
    </row>
    <row r="1218" spans="16:16" s="191" customFormat="1" ht="13.8" x14ac:dyDescent="0.25">
      <c r="P1218" s="222"/>
    </row>
    <row r="1219" spans="16:16" s="191" customFormat="1" ht="13.8" x14ac:dyDescent="0.25">
      <c r="P1219" s="222"/>
    </row>
    <row r="1220" spans="16:16" s="191" customFormat="1" ht="13.8" x14ac:dyDescent="0.25">
      <c r="P1220" s="222"/>
    </row>
    <row r="1221" spans="16:16" s="191" customFormat="1" ht="13.8" x14ac:dyDescent="0.25">
      <c r="P1221" s="222"/>
    </row>
    <row r="1222" spans="16:16" s="191" customFormat="1" ht="13.8" x14ac:dyDescent="0.25">
      <c r="P1222" s="222"/>
    </row>
    <row r="1223" spans="16:16" s="191" customFormat="1" ht="13.8" x14ac:dyDescent="0.25">
      <c r="P1223" s="222"/>
    </row>
    <row r="1224" spans="16:16" s="191" customFormat="1" ht="13.8" x14ac:dyDescent="0.25">
      <c r="P1224" s="222"/>
    </row>
    <row r="1225" spans="16:16" s="191" customFormat="1" ht="13.8" x14ac:dyDescent="0.25">
      <c r="P1225" s="222"/>
    </row>
    <row r="1226" spans="16:16" s="191" customFormat="1" ht="13.8" x14ac:dyDescent="0.25">
      <c r="P1226" s="222"/>
    </row>
    <row r="1227" spans="16:16" s="191" customFormat="1" ht="13.8" x14ac:dyDescent="0.25">
      <c r="P1227" s="222"/>
    </row>
    <row r="1228" spans="16:16" s="191" customFormat="1" ht="13.8" x14ac:dyDescent="0.25">
      <c r="P1228" s="222"/>
    </row>
    <row r="1229" spans="16:16" s="191" customFormat="1" ht="13.8" x14ac:dyDescent="0.25">
      <c r="P1229" s="222"/>
    </row>
    <row r="1230" spans="16:16" s="191" customFormat="1" ht="13.8" x14ac:dyDescent="0.25">
      <c r="P1230" s="222"/>
    </row>
    <row r="1231" spans="16:16" s="191" customFormat="1" ht="13.8" x14ac:dyDescent="0.25">
      <c r="P1231" s="222"/>
    </row>
    <row r="1232" spans="16:16" s="191" customFormat="1" ht="13.8" x14ac:dyDescent="0.25">
      <c r="P1232" s="222"/>
    </row>
    <row r="1233" spans="16:16" s="191" customFormat="1" ht="13.8" x14ac:dyDescent="0.25">
      <c r="P1233" s="222"/>
    </row>
    <row r="1234" spans="16:16" s="191" customFormat="1" ht="13.8" x14ac:dyDescent="0.25">
      <c r="P1234" s="222"/>
    </row>
    <row r="1235" spans="16:16" s="191" customFormat="1" ht="13.8" x14ac:dyDescent="0.25">
      <c r="P1235" s="222"/>
    </row>
    <row r="1236" spans="16:16" s="191" customFormat="1" ht="13.8" x14ac:dyDescent="0.25">
      <c r="P1236" s="222"/>
    </row>
    <row r="1237" spans="16:16" s="191" customFormat="1" ht="13.8" x14ac:dyDescent="0.25">
      <c r="P1237" s="222"/>
    </row>
    <row r="1238" spans="16:16" s="191" customFormat="1" ht="13.8" x14ac:dyDescent="0.25">
      <c r="P1238" s="222"/>
    </row>
    <row r="1239" spans="16:16" s="191" customFormat="1" ht="13.8" x14ac:dyDescent="0.25">
      <c r="P1239" s="222"/>
    </row>
    <row r="1240" spans="16:16" s="191" customFormat="1" ht="13.8" x14ac:dyDescent="0.25">
      <c r="P1240" s="222"/>
    </row>
    <row r="1241" spans="16:16" s="191" customFormat="1" ht="13.8" x14ac:dyDescent="0.25">
      <c r="P1241" s="222"/>
    </row>
    <row r="1242" spans="16:16" s="191" customFormat="1" ht="13.8" x14ac:dyDescent="0.25">
      <c r="P1242" s="222"/>
    </row>
    <row r="1243" spans="16:16" s="191" customFormat="1" ht="13.8" x14ac:dyDescent="0.25">
      <c r="P1243" s="222"/>
    </row>
    <row r="1244" spans="16:16" s="191" customFormat="1" ht="13.8" x14ac:dyDescent="0.25">
      <c r="P1244" s="222"/>
    </row>
    <row r="1245" spans="16:16" s="191" customFormat="1" ht="13.8" x14ac:dyDescent="0.25">
      <c r="P1245" s="222"/>
    </row>
    <row r="1246" spans="16:16" s="191" customFormat="1" ht="13.8" x14ac:dyDescent="0.25">
      <c r="P1246" s="222"/>
    </row>
    <row r="1247" spans="16:16" s="191" customFormat="1" ht="13.8" x14ac:dyDescent="0.25">
      <c r="P1247" s="222"/>
    </row>
    <row r="1248" spans="16:16" s="191" customFormat="1" ht="13.8" x14ac:dyDescent="0.25">
      <c r="P1248" s="222"/>
    </row>
    <row r="1249" spans="16:16" s="191" customFormat="1" ht="13.8" x14ac:dyDescent="0.25">
      <c r="P1249" s="222"/>
    </row>
    <row r="1250" spans="16:16" s="191" customFormat="1" ht="13.8" x14ac:dyDescent="0.25">
      <c r="P1250" s="222"/>
    </row>
    <row r="1251" spans="16:16" s="191" customFormat="1" ht="13.8" x14ac:dyDescent="0.25">
      <c r="P1251" s="222"/>
    </row>
    <row r="1252" spans="16:16" s="191" customFormat="1" ht="13.8" x14ac:dyDescent="0.25">
      <c r="P1252" s="222"/>
    </row>
    <row r="1253" spans="16:16" s="191" customFormat="1" ht="13.8" x14ac:dyDescent="0.25">
      <c r="P1253" s="222"/>
    </row>
    <row r="1254" spans="16:16" s="191" customFormat="1" ht="13.8" x14ac:dyDescent="0.25">
      <c r="P1254" s="222"/>
    </row>
    <row r="1255" spans="16:16" s="191" customFormat="1" ht="13.8" x14ac:dyDescent="0.25">
      <c r="P1255" s="222"/>
    </row>
    <row r="1256" spans="16:16" s="191" customFormat="1" ht="13.8" x14ac:dyDescent="0.25">
      <c r="P1256" s="222"/>
    </row>
    <row r="1257" spans="16:16" s="191" customFormat="1" ht="13.8" x14ac:dyDescent="0.25">
      <c r="P1257" s="222"/>
    </row>
    <row r="1258" spans="16:16" s="191" customFormat="1" ht="13.8" x14ac:dyDescent="0.25">
      <c r="P1258" s="222"/>
    </row>
    <row r="1259" spans="16:16" s="191" customFormat="1" ht="13.8" x14ac:dyDescent="0.25">
      <c r="P1259" s="222"/>
    </row>
    <row r="1260" spans="16:16" s="191" customFormat="1" ht="13.8" x14ac:dyDescent="0.25">
      <c r="P1260" s="222"/>
    </row>
    <row r="1261" spans="16:16" s="191" customFormat="1" ht="13.8" x14ac:dyDescent="0.25">
      <c r="P1261" s="222"/>
    </row>
    <row r="1262" spans="16:16" s="191" customFormat="1" ht="13.8" x14ac:dyDescent="0.25">
      <c r="P1262" s="222"/>
    </row>
    <row r="1263" spans="16:16" s="191" customFormat="1" ht="13.8" x14ac:dyDescent="0.25">
      <c r="P1263" s="222"/>
    </row>
    <row r="1264" spans="16:16" s="191" customFormat="1" ht="13.8" x14ac:dyDescent="0.25">
      <c r="P1264" s="222"/>
    </row>
    <row r="1265" spans="16:16" s="191" customFormat="1" ht="13.8" x14ac:dyDescent="0.25">
      <c r="P1265" s="222"/>
    </row>
    <row r="1266" spans="16:16" s="191" customFormat="1" ht="13.8" x14ac:dyDescent="0.25">
      <c r="P1266" s="222"/>
    </row>
    <row r="1267" spans="16:16" s="191" customFormat="1" ht="13.8" x14ac:dyDescent="0.25">
      <c r="P1267" s="222"/>
    </row>
    <row r="1268" spans="16:16" s="191" customFormat="1" ht="13.8" x14ac:dyDescent="0.25">
      <c r="P1268" s="222"/>
    </row>
    <row r="1269" spans="16:16" s="191" customFormat="1" ht="13.8" x14ac:dyDescent="0.25">
      <c r="P1269" s="222"/>
    </row>
    <row r="1270" spans="16:16" s="191" customFormat="1" ht="13.8" x14ac:dyDescent="0.25">
      <c r="P1270" s="222"/>
    </row>
    <row r="1271" spans="16:16" s="191" customFormat="1" ht="13.8" x14ac:dyDescent="0.25">
      <c r="P1271" s="222"/>
    </row>
    <row r="1272" spans="16:16" s="191" customFormat="1" ht="13.8" x14ac:dyDescent="0.25">
      <c r="P1272" s="222"/>
    </row>
    <row r="1273" spans="16:16" s="191" customFormat="1" ht="13.8" x14ac:dyDescent="0.25">
      <c r="P1273" s="222"/>
    </row>
    <row r="1274" spans="16:16" s="191" customFormat="1" ht="13.8" x14ac:dyDescent="0.25">
      <c r="P1274" s="222"/>
    </row>
    <row r="1275" spans="16:16" s="191" customFormat="1" ht="13.8" x14ac:dyDescent="0.25">
      <c r="P1275" s="222"/>
    </row>
    <row r="1276" spans="16:16" s="191" customFormat="1" ht="13.8" x14ac:dyDescent="0.25">
      <c r="P1276" s="222"/>
    </row>
    <row r="1277" spans="16:16" s="191" customFormat="1" ht="13.8" x14ac:dyDescent="0.25">
      <c r="P1277" s="222"/>
    </row>
    <row r="1278" spans="16:16" s="191" customFormat="1" ht="13.8" x14ac:dyDescent="0.25">
      <c r="P1278" s="222"/>
    </row>
    <row r="1279" spans="16:16" s="191" customFormat="1" ht="13.8" x14ac:dyDescent="0.25">
      <c r="P1279" s="222"/>
    </row>
    <row r="1280" spans="16:16" s="191" customFormat="1" ht="13.8" x14ac:dyDescent="0.25">
      <c r="P1280" s="222"/>
    </row>
    <row r="1281" spans="16:16" s="191" customFormat="1" ht="13.8" x14ac:dyDescent="0.25">
      <c r="P1281" s="222"/>
    </row>
    <row r="1282" spans="16:16" s="191" customFormat="1" ht="13.8" x14ac:dyDescent="0.25">
      <c r="P1282" s="222"/>
    </row>
    <row r="1283" spans="16:16" s="191" customFormat="1" ht="13.8" x14ac:dyDescent="0.25">
      <c r="P1283" s="222"/>
    </row>
    <row r="1284" spans="16:16" s="191" customFormat="1" ht="13.8" x14ac:dyDescent="0.25">
      <c r="P1284" s="222"/>
    </row>
    <row r="1285" spans="16:16" s="191" customFormat="1" ht="13.8" x14ac:dyDescent="0.25">
      <c r="P1285" s="222"/>
    </row>
    <row r="1286" spans="16:16" s="191" customFormat="1" ht="13.8" x14ac:dyDescent="0.25">
      <c r="P1286" s="222"/>
    </row>
    <row r="1287" spans="16:16" s="191" customFormat="1" ht="13.8" x14ac:dyDescent="0.25">
      <c r="P1287" s="222"/>
    </row>
  </sheetData>
  <autoFilter ref="A12:O307">
    <sortState ref="A13:O307">
      <sortCondition ref="A12:A307"/>
    </sortState>
  </autoFilter>
  <sortState ref="A13:A334">
    <sortCondition ref="A13:A334"/>
  </sortState>
  <mergeCells count="1">
    <mergeCell ref="A1:O1"/>
  </mergeCells>
  <dataValidations count="2">
    <dataValidation type="list" allowBlank="1" showInputMessage="1" showErrorMessage="1" sqref="C89 C81:C82 C84:C87">
      <formula1>$N$3784:$N$3804</formula1>
    </dataValidation>
    <dataValidation type="list" allowBlank="1" showInputMessage="1" showErrorMessage="1" sqref="D124">
      <formula1>$N$3781:$N$3801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horizontalDpi="360" verticalDpi="360" r:id="rId1"/>
  <rowBreaks count="2" manualBreakCount="2">
    <brk id="11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Récapitulatif</vt:lpstr>
      <vt:lpstr>Donateur</vt:lpstr>
      <vt:lpstr>Feuil2</vt:lpstr>
      <vt:lpstr>DATA MAI 2023</vt:lpstr>
      <vt:lpstr>'DATA MAI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MAMAN_DE_OZA'S</cp:lastModifiedBy>
  <cp:lastPrinted>2022-12-19T11:25:20Z</cp:lastPrinted>
  <dcterms:created xsi:type="dcterms:W3CDTF">2020-09-02T13:35:58Z</dcterms:created>
  <dcterms:modified xsi:type="dcterms:W3CDTF">2023-07-09T18:27:11Z</dcterms:modified>
</cp:coreProperties>
</file>