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LF\Mol PALF\2023\Juin 23\"/>
    </mc:Choice>
  </mc:AlternateContent>
  <bookViews>
    <workbookView xWindow="-120" yWindow="-120" windowWidth="20736" windowHeight="11160" activeTab="3"/>
  </bookViews>
  <sheets>
    <sheet name="Récapitulatif" sheetId="16" r:id="rId1"/>
    <sheet name="Feuil2" sheetId="175" r:id="rId2"/>
    <sheet name="Donateur" sheetId="176" r:id="rId3"/>
    <sheet name="DATA JUIN 2023" sheetId="1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'DATA JUIN 2023'!$A$12:$O$332</definedName>
    <definedName name="_xlnm.Print_Area" localSheetId="3">'DATA JUIN 2023'!$A$1:$N$219</definedName>
  </definedNames>
  <calcPr calcId="162913"/>
  <pivotCaches>
    <pivotCache cacheId="0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7" i="153" l="1"/>
  <c r="G128" i="153"/>
  <c r="C20" i="176" l="1"/>
  <c r="C19" i="176"/>
  <c r="AT7" i="175"/>
  <c r="AT8" i="175"/>
  <c r="AT9" i="175"/>
  <c r="AT10" i="175"/>
  <c r="AT11" i="175"/>
  <c r="AT12" i="175"/>
  <c r="AT13" i="175"/>
  <c r="AT14" i="175"/>
  <c r="AT15" i="175"/>
  <c r="AT16" i="175"/>
  <c r="AT17" i="175"/>
  <c r="AT18" i="175"/>
  <c r="AT19" i="175"/>
  <c r="AT20" i="175"/>
  <c r="AT6" i="175"/>
  <c r="AS17" i="175"/>
  <c r="AS7" i="175"/>
  <c r="AS8" i="175"/>
  <c r="AS9" i="175"/>
  <c r="AS10" i="175"/>
  <c r="AS11" i="175"/>
  <c r="AS12" i="175"/>
  <c r="AS13" i="175"/>
  <c r="AS14" i="175"/>
  <c r="AS15" i="175"/>
  <c r="AS16" i="175"/>
  <c r="AS18" i="175"/>
  <c r="AS19" i="175"/>
  <c r="AS20" i="175"/>
  <c r="AS6" i="175"/>
  <c r="AU6" i="175"/>
  <c r="AR7" i="175"/>
  <c r="AR8" i="175"/>
  <c r="AR9" i="175"/>
  <c r="AR10" i="175"/>
  <c r="AR11" i="175"/>
  <c r="AR12" i="175"/>
  <c r="AR13" i="175"/>
  <c r="AR14" i="175"/>
  <c r="AR15" i="175"/>
  <c r="AR16" i="175"/>
  <c r="AR17" i="175"/>
  <c r="AR18" i="175"/>
  <c r="AR19" i="175"/>
  <c r="AR20" i="175"/>
  <c r="AQ21" i="175"/>
  <c r="AQ7" i="175"/>
  <c r="AQ8" i="175"/>
  <c r="AQ9" i="175"/>
  <c r="AQ10" i="175"/>
  <c r="AQ11" i="175"/>
  <c r="AQ12" i="175"/>
  <c r="AQ13" i="175"/>
  <c r="AQ14" i="175"/>
  <c r="AQ15" i="175"/>
  <c r="AQ16" i="175"/>
  <c r="AQ17" i="175"/>
  <c r="AQ18" i="175"/>
  <c r="AQ19" i="175"/>
  <c r="AQ20" i="175"/>
  <c r="AQ6" i="175"/>
  <c r="AU7" i="175"/>
  <c r="AT21" i="175" l="1"/>
  <c r="AS21" i="175"/>
  <c r="AU21" i="175"/>
  <c r="AR21" i="175"/>
  <c r="AS23" i="175"/>
  <c r="AR23" i="175" l="1"/>
  <c r="C49" i="16"/>
  <c r="G4" i="16" l="1"/>
  <c r="G5" i="16"/>
  <c r="G6" i="16"/>
  <c r="G7" i="16"/>
  <c r="G8" i="16"/>
  <c r="G9" i="16"/>
  <c r="G10" i="16"/>
  <c r="F14" i="16"/>
  <c r="F15" i="16"/>
  <c r="F16" i="16"/>
  <c r="F17" i="16"/>
  <c r="F18" i="16"/>
  <c r="F19" i="16"/>
  <c r="F13" i="16"/>
  <c r="F4" i="16"/>
  <c r="F5" i="16"/>
  <c r="F6" i="16"/>
  <c r="F7" i="16"/>
  <c r="F8" i="16"/>
  <c r="F9" i="16"/>
  <c r="H34" i="16" s="1"/>
  <c r="F10" i="16"/>
  <c r="E14" i="16"/>
  <c r="E15" i="16"/>
  <c r="E16" i="16"/>
  <c r="E17" i="16"/>
  <c r="E18" i="16"/>
  <c r="E19" i="16"/>
  <c r="E4" i="16"/>
  <c r="E5" i="16"/>
  <c r="E6" i="16"/>
  <c r="E7" i="16"/>
  <c r="E8" i="16"/>
  <c r="E9" i="16"/>
  <c r="E10" i="16"/>
  <c r="E3" i="16"/>
  <c r="D14" i="16"/>
  <c r="D15" i="16"/>
  <c r="D16" i="16"/>
  <c r="D17" i="16"/>
  <c r="D18" i="16"/>
  <c r="D19" i="16"/>
  <c r="D5" i="16"/>
  <c r="D6" i="16"/>
  <c r="D7" i="16"/>
  <c r="D8" i="16"/>
  <c r="D9" i="16"/>
  <c r="I9" i="16" s="1"/>
  <c r="D10" i="16"/>
  <c r="D4" i="16"/>
  <c r="G49" i="16" s="1"/>
  <c r="L20" i="16"/>
  <c r="E34" i="16"/>
  <c r="C34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I34" i="16"/>
  <c r="I6" i="16" l="1"/>
  <c r="I7" i="16"/>
  <c r="I5" i="16"/>
  <c r="I10" i="16"/>
  <c r="I8" i="16"/>
  <c r="I4" i="16"/>
  <c r="J5" i="16"/>
  <c r="J9" i="16"/>
  <c r="J34" i="16"/>
  <c r="K34" i="16" s="1"/>
  <c r="F95" i="153" l="1"/>
  <c r="F18" i="153"/>
  <c r="C48" i="16" l="1"/>
  <c r="C46" i="16"/>
  <c r="C44" i="16"/>
  <c r="C43" i="16"/>
  <c r="C42" i="16"/>
  <c r="C41" i="16"/>
  <c r="C40" i="16"/>
  <c r="C39" i="16"/>
  <c r="C38" i="16"/>
  <c r="C37" i="16"/>
  <c r="C36" i="16"/>
  <c r="C35" i="16"/>
  <c r="C33" i="16"/>
  <c r="C32" i="16"/>
  <c r="A32" i="16"/>
  <c r="C31" i="16"/>
  <c r="O20" i="16"/>
  <c r="N20" i="16"/>
  <c r="M20" i="16"/>
  <c r="H20" i="16"/>
  <c r="C20" i="16"/>
  <c r="A23" i="16" s="1"/>
  <c r="G19" i="16"/>
  <c r="I19" i="16" s="1"/>
  <c r="H44" i="16"/>
  <c r="I44" i="16"/>
  <c r="E44" i="16"/>
  <c r="G18" i="16"/>
  <c r="I18" i="16" s="1"/>
  <c r="H43" i="16"/>
  <c r="I43" i="16"/>
  <c r="E43" i="16"/>
  <c r="G17" i="16"/>
  <c r="I17" i="16" s="1"/>
  <c r="H42" i="16"/>
  <c r="I42" i="16"/>
  <c r="E42" i="16"/>
  <c r="G16" i="16"/>
  <c r="I16" i="16" s="1"/>
  <c r="H41" i="16"/>
  <c r="I41" i="16"/>
  <c r="E41" i="16"/>
  <c r="G15" i="16"/>
  <c r="I15" i="16" s="1"/>
  <c r="H40" i="16"/>
  <c r="I40" i="16"/>
  <c r="E40" i="16"/>
  <c r="G14" i="16"/>
  <c r="I14" i="16" s="1"/>
  <c r="H39" i="16"/>
  <c r="I39" i="16"/>
  <c r="E39" i="16"/>
  <c r="G13" i="16"/>
  <c r="H38" i="16"/>
  <c r="E13" i="16"/>
  <c r="I38" i="16" s="1"/>
  <c r="D13" i="16"/>
  <c r="E38" i="16" s="1"/>
  <c r="G12" i="16"/>
  <c r="F12" i="16"/>
  <c r="H37" i="16" s="1"/>
  <c r="E12" i="16"/>
  <c r="I37" i="16" s="1"/>
  <c r="D12" i="16"/>
  <c r="E37" i="16" s="1"/>
  <c r="G11" i="16"/>
  <c r="F11" i="16"/>
  <c r="H36" i="16" s="1"/>
  <c r="E11" i="16"/>
  <c r="I36" i="16" s="1"/>
  <c r="D11" i="16"/>
  <c r="E36" i="16" s="1"/>
  <c r="H35" i="16"/>
  <c r="I35" i="16"/>
  <c r="E35" i="16"/>
  <c r="H33" i="16"/>
  <c r="I33" i="16"/>
  <c r="E33" i="16"/>
  <c r="H32" i="16"/>
  <c r="I32" i="16"/>
  <c r="E32" i="16"/>
  <c r="H31" i="16"/>
  <c r="I31" i="16"/>
  <c r="E31" i="16"/>
  <c r="H46" i="16"/>
  <c r="I46" i="16"/>
  <c r="E46" i="16"/>
  <c r="A5" i="16"/>
  <c r="D49" i="16"/>
  <c r="H49" i="16"/>
  <c r="J49" i="16" s="1"/>
  <c r="K49" i="16" s="1"/>
  <c r="I49" i="16"/>
  <c r="A4" i="16"/>
  <c r="G3" i="16"/>
  <c r="F3" i="16"/>
  <c r="H48" i="16" s="1"/>
  <c r="D3" i="16"/>
  <c r="A3" i="16"/>
  <c r="A39" i="16" l="1"/>
  <c r="A40" i="16" s="1"/>
  <c r="A41" i="16" s="1"/>
  <c r="A42" i="16" s="1"/>
  <c r="A43" i="16" s="1"/>
  <c r="A44" i="16" s="1"/>
  <c r="A46" i="16" s="1"/>
  <c r="A48" i="16" s="1"/>
  <c r="A49" i="16" s="1"/>
  <c r="A33" i="16"/>
  <c r="A34" i="16" s="1"/>
  <c r="A35" i="16" s="1"/>
  <c r="A36" i="16" s="1"/>
  <c r="A37" i="16" s="1"/>
  <c r="A38" i="16" s="1"/>
  <c r="D20" i="16"/>
  <c r="J41" i="16"/>
  <c r="J43" i="16"/>
  <c r="J35" i="16"/>
  <c r="J37" i="16"/>
  <c r="J39" i="16"/>
  <c r="I3" i="16"/>
  <c r="C50" i="16"/>
  <c r="J3" i="16"/>
  <c r="J4" i="16"/>
  <c r="J31" i="16"/>
  <c r="J6" i="16"/>
  <c r="J33" i="16"/>
  <c r="J8" i="16"/>
  <c r="J36" i="16"/>
  <c r="I11" i="16"/>
  <c r="J11" i="16" s="1"/>
  <c r="J38" i="16"/>
  <c r="I13" i="16"/>
  <c r="J13" i="16" s="1"/>
  <c r="J40" i="16"/>
  <c r="J15" i="16"/>
  <c r="F20" i="16"/>
  <c r="G22" i="16" s="1"/>
  <c r="J32" i="16"/>
  <c r="E20" i="16"/>
  <c r="C23" i="16" s="1"/>
  <c r="I48" i="16"/>
  <c r="G20" i="16"/>
  <c r="B23" i="16" s="1"/>
  <c r="D48" i="16"/>
  <c r="J16" i="16"/>
  <c r="J17" i="16"/>
  <c r="J42" i="16"/>
  <c r="J18" i="16"/>
  <c r="J19" i="16"/>
  <c r="J44" i="16"/>
  <c r="I50" i="16"/>
  <c r="J46" i="16"/>
  <c r="J7" i="16"/>
  <c r="J10" i="16"/>
  <c r="I12" i="16"/>
  <c r="J12" i="16" s="1"/>
  <c r="J14" i="16"/>
  <c r="J50" i="16" l="1"/>
  <c r="D23" i="16"/>
  <c r="K42" i="16"/>
  <c r="J48" i="16"/>
  <c r="K48" i="16" s="1"/>
  <c r="K37" i="16"/>
  <c r="I20" i="16"/>
  <c r="K41" i="16"/>
  <c r="K46" i="16"/>
  <c r="K44" i="16"/>
  <c r="K32" i="16"/>
  <c r="K40" i="16"/>
  <c r="K38" i="16"/>
  <c r="K36" i="16"/>
  <c r="K33" i="16"/>
  <c r="K31" i="16"/>
  <c r="K39" i="16"/>
  <c r="K35" i="16"/>
  <c r="K43" i="16"/>
  <c r="E23" i="16" l="1"/>
  <c r="I21" i="16"/>
  <c r="K50" i="16"/>
  <c r="C97" i="16"/>
  <c r="C90" i="16"/>
  <c r="C91" i="16"/>
  <c r="C92" i="16"/>
  <c r="C93" i="16"/>
  <c r="C94" i="16"/>
  <c r="C95" i="16"/>
  <c r="N72" i="16"/>
  <c r="G66" i="16"/>
  <c r="G67" i="16"/>
  <c r="G68" i="16"/>
  <c r="G69" i="16"/>
  <c r="G70" i="16"/>
  <c r="G71" i="16"/>
  <c r="F66" i="16"/>
  <c r="H90" i="16" s="1"/>
  <c r="F67" i="16"/>
  <c r="H91" i="16" s="1"/>
  <c r="F68" i="16"/>
  <c r="H92" i="16" s="1"/>
  <c r="F69" i="16"/>
  <c r="H93" i="16" s="1"/>
  <c r="F70" i="16"/>
  <c r="H94" i="16" s="1"/>
  <c r="F71" i="16"/>
  <c r="H95" i="16" s="1"/>
  <c r="E66" i="16"/>
  <c r="E67" i="16"/>
  <c r="E68" i="16"/>
  <c r="I92" i="16" s="1"/>
  <c r="E69" i="16"/>
  <c r="E70" i="16"/>
  <c r="E71" i="16"/>
  <c r="D66" i="16"/>
  <c r="E90" i="16" s="1"/>
  <c r="D67" i="16"/>
  <c r="E91" i="16" s="1"/>
  <c r="D68" i="16"/>
  <c r="E92" i="16" s="1"/>
  <c r="D69" i="16"/>
  <c r="E93" i="16" s="1"/>
  <c r="D70" i="16"/>
  <c r="E94" i="16" s="1"/>
  <c r="D71" i="16"/>
  <c r="E95" i="16" s="1"/>
  <c r="I68" i="16" l="1"/>
  <c r="J68" i="16" s="1"/>
  <c r="J92" i="16"/>
  <c r="K92" i="16" l="1"/>
  <c r="C100" i="16" l="1"/>
  <c r="C99" i="16"/>
  <c r="I91" i="16"/>
  <c r="C89" i="16"/>
  <c r="C88" i="16"/>
  <c r="C87" i="16"/>
  <c r="C86" i="16"/>
  <c r="C85" i="16"/>
  <c r="C84" i="16"/>
  <c r="A84" i="16"/>
  <c r="A85" i="16" s="1"/>
  <c r="A86" i="16" s="1"/>
  <c r="A87" i="16" s="1"/>
  <c r="A88" i="16" s="1"/>
  <c r="A89" i="16" s="1"/>
  <c r="C83" i="16"/>
  <c r="O72" i="16"/>
  <c r="M72" i="16"/>
  <c r="L72" i="16"/>
  <c r="H72" i="16"/>
  <c r="C72" i="16"/>
  <c r="A75" i="16" s="1"/>
  <c r="I95" i="16"/>
  <c r="A71" i="16"/>
  <c r="I94" i="16"/>
  <c r="I70" i="16"/>
  <c r="J70" i="16" s="1"/>
  <c r="A70" i="16"/>
  <c r="I93" i="16"/>
  <c r="A69" i="16"/>
  <c r="A67" i="16"/>
  <c r="I90" i="16"/>
  <c r="A66" i="16"/>
  <c r="G65" i="16"/>
  <c r="F65" i="16"/>
  <c r="H89" i="16" s="1"/>
  <c r="E65" i="16"/>
  <c r="I89" i="16" s="1"/>
  <c r="D65" i="16"/>
  <c r="E89" i="16" s="1"/>
  <c r="A65" i="16"/>
  <c r="G64" i="16"/>
  <c r="F64" i="16"/>
  <c r="H88" i="16" s="1"/>
  <c r="E64" i="16"/>
  <c r="I88" i="16" s="1"/>
  <c r="D64" i="16"/>
  <c r="E88" i="16" s="1"/>
  <c r="A64" i="16"/>
  <c r="G63" i="16"/>
  <c r="F63" i="16"/>
  <c r="H87" i="16" s="1"/>
  <c r="E63" i="16"/>
  <c r="I87" i="16" s="1"/>
  <c r="D63" i="16"/>
  <c r="E87" i="16" s="1"/>
  <c r="A63" i="16"/>
  <c r="G62" i="16"/>
  <c r="F62" i="16"/>
  <c r="H86" i="16" s="1"/>
  <c r="E62" i="16"/>
  <c r="I86" i="16" s="1"/>
  <c r="D62" i="16"/>
  <c r="E86" i="16" s="1"/>
  <c r="A62" i="16"/>
  <c r="G61" i="16"/>
  <c r="F61" i="16"/>
  <c r="H85" i="16" s="1"/>
  <c r="E61" i="16"/>
  <c r="I85" i="16" s="1"/>
  <c r="D61" i="16"/>
  <c r="A61" i="16"/>
  <c r="G60" i="16"/>
  <c r="F60" i="16"/>
  <c r="H84" i="16" s="1"/>
  <c r="E60" i="16"/>
  <c r="I84" i="16" s="1"/>
  <c r="D60" i="16"/>
  <c r="E84" i="16" s="1"/>
  <c r="A60" i="16"/>
  <c r="G59" i="16"/>
  <c r="F59" i="16"/>
  <c r="H83" i="16" s="1"/>
  <c r="E59" i="16"/>
  <c r="I83" i="16" s="1"/>
  <c r="D59" i="16"/>
  <c r="E83" i="16" s="1"/>
  <c r="A59" i="16"/>
  <c r="G58" i="16"/>
  <c r="F58" i="16"/>
  <c r="H97" i="16" s="1"/>
  <c r="E58" i="16"/>
  <c r="I97" i="16" s="1"/>
  <c r="D58" i="16"/>
  <c r="E97" i="16" s="1"/>
  <c r="A58" i="16"/>
  <c r="G57" i="16"/>
  <c r="D100" i="16" s="1"/>
  <c r="F57" i="16"/>
  <c r="H100" i="16" s="1"/>
  <c r="E57" i="16"/>
  <c r="I100" i="16" s="1"/>
  <c r="D57" i="16"/>
  <c r="A57" i="16"/>
  <c r="G56" i="16"/>
  <c r="D99" i="16" s="1"/>
  <c r="F56" i="16"/>
  <c r="H99" i="16" s="1"/>
  <c r="E56" i="16"/>
  <c r="I99" i="16" s="1"/>
  <c r="D56" i="16"/>
  <c r="A56" i="16"/>
  <c r="A90" i="16" l="1"/>
  <c r="A91" i="16" s="1"/>
  <c r="A92" i="16" s="1"/>
  <c r="A93" i="16" s="1"/>
  <c r="A94" i="16" s="1"/>
  <c r="A95" i="16" s="1"/>
  <c r="A97" i="16" s="1"/>
  <c r="A99" i="16" s="1"/>
  <c r="A100" i="16" s="1"/>
  <c r="I57" i="16"/>
  <c r="J57" i="16" s="1"/>
  <c r="I56" i="16"/>
  <c r="I61" i="16"/>
  <c r="J61" i="16" s="1"/>
  <c r="J89" i="16"/>
  <c r="C101" i="16"/>
  <c r="J100" i="16"/>
  <c r="J86" i="16"/>
  <c r="J99" i="16"/>
  <c r="J84" i="16"/>
  <c r="J88" i="16"/>
  <c r="J93" i="16"/>
  <c r="I101" i="16"/>
  <c r="J95" i="16"/>
  <c r="J83" i="16"/>
  <c r="J87" i="16"/>
  <c r="J91" i="16"/>
  <c r="J90" i="16"/>
  <c r="J56" i="16"/>
  <c r="J97" i="16"/>
  <c r="I65" i="16"/>
  <c r="J65" i="16" s="1"/>
  <c r="F72" i="16"/>
  <c r="E85" i="16"/>
  <c r="J85" i="16" s="1"/>
  <c r="J94" i="16"/>
  <c r="K94" i="16" s="1"/>
  <c r="I58" i="16"/>
  <c r="J58" i="16" s="1"/>
  <c r="I62" i="16"/>
  <c r="J62" i="16" s="1"/>
  <c r="I66" i="16"/>
  <c r="J66" i="16" s="1"/>
  <c r="I71" i="16"/>
  <c r="J71" i="16" s="1"/>
  <c r="E72" i="16"/>
  <c r="C75" i="16" s="1"/>
  <c r="I59" i="16"/>
  <c r="J59" i="16" s="1"/>
  <c r="I63" i="16"/>
  <c r="J63" i="16" s="1"/>
  <c r="I67" i="16"/>
  <c r="J67" i="16" s="1"/>
  <c r="D72" i="16"/>
  <c r="I60" i="16"/>
  <c r="J60" i="16" s="1"/>
  <c r="I64" i="16"/>
  <c r="J64" i="16" s="1"/>
  <c r="I69" i="16"/>
  <c r="J69" i="16" s="1"/>
  <c r="G72" i="16"/>
  <c r="B75" i="16" s="1"/>
  <c r="D75" i="16" l="1"/>
  <c r="K90" i="16"/>
  <c r="K100" i="16"/>
  <c r="K85" i="16"/>
  <c r="K99" i="16"/>
  <c r="K97" i="16"/>
  <c r="K95" i="16"/>
  <c r="K93" i="16"/>
  <c r="K83" i="16"/>
  <c r="J101" i="16"/>
  <c r="K86" i="16"/>
  <c r="I72" i="16"/>
  <c r="K87" i="16"/>
  <c r="K89" i="16"/>
  <c r="K84" i="16"/>
  <c r="G74" i="16"/>
  <c r="K91" i="16"/>
  <c r="K88" i="16"/>
  <c r="K101" i="16" l="1"/>
  <c r="I73" i="16"/>
  <c r="E75" i="16"/>
  <c r="J72" i="16"/>
  <c r="J73" i="16"/>
  <c r="N122" i="16" l="1"/>
  <c r="C149" i="16" l="1"/>
  <c r="C148" i="16"/>
  <c r="C146" i="16"/>
  <c r="C144" i="16"/>
  <c r="C143" i="16"/>
  <c r="C142" i="16"/>
  <c r="C141" i="16"/>
  <c r="C140" i="16"/>
  <c r="C139" i="16"/>
  <c r="C138" i="16"/>
  <c r="C137" i="16"/>
  <c r="C136" i="16"/>
  <c r="C135" i="16"/>
  <c r="C134" i="16"/>
  <c r="A134" i="16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6" i="16" s="1"/>
  <c r="A148" i="16" s="1"/>
  <c r="A149" i="16" s="1"/>
  <c r="C133" i="16"/>
  <c r="O122" i="16"/>
  <c r="M122" i="16"/>
  <c r="L122" i="16"/>
  <c r="H122" i="16"/>
  <c r="C122" i="16"/>
  <c r="A125" i="16" s="1"/>
  <c r="G121" i="16"/>
  <c r="F121" i="16"/>
  <c r="H144" i="16" s="1"/>
  <c r="E121" i="16"/>
  <c r="I144" i="16" s="1"/>
  <c r="D121" i="16"/>
  <c r="E144" i="16" s="1"/>
  <c r="A121" i="16"/>
  <c r="G120" i="16"/>
  <c r="F120" i="16"/>
  <c r="H143" i="16" s="1"/>
  <c r="E120" i="16"/>
  <c r="I143" i="16" s="1"/>
  <c r="D120" i="16"/>
  <c r="E143" i="16" s="1"/>
  <c r="A120" i="16"/>
  <c r="G119" i="16"/>
  <c r="F119" i="16"/>
  <c r="H142" i="16" s="1"/>
  <c r="E119" i="16"/>
  <c r="I142" i="16" s="1"/>
  <c r="D119" i="16"/>
  <c r="E142" i="16" s="1"/>
  <c r="A119" i="16"/>
  <c r="G118" i="16"/>
  <c r="F118" i="16"/>
  <c r="H141" i="16" s="1"/>
  <c r="E118" i="16"/>
  <c r="I141" i="16" s="1"/>
  <c r="D118" i="16"/>
  <c r="E141" i="16" s="1"/>
  <c r="A118" i="16"/>
  <c r="G117" i="16"/>
  <c r="F117" i="16"/>
  <c r="H140" i="16" s="1"/>
  <c r="E117" i="16"/>
  <c r="I140" i="16" s="1"/>
  <c r="D117" i="16"/>
  <c r="E140" i="16" s="1"/>
  <c r="A117" i="16"/>
  <c r="G116" i="16"/>
  <c r="F116" i="16"/>
  <c r="H139" i="16" s="1"/>
  <c r="E116" i="16"/>
  <c r="I139" i="16" s="1"/>
  <c r="D116" i="16"/>
  <c r="E139" i="16" s="1"/>
  <c r="A116" i="16"/>
  <c r="G115" i="16"/>
  <c r="F115" i="16"/>
  <c r="H138" i="16" s="1"/>
  <c r="E115" i="16"/>
  <c r="I138" i="16" s="1"/>
  <c r="D115" i="16"/>
  <c r="E138" i="16" s="1"/>
  <c r="A115" i="16"/>
  <c r="G114" i="16"/>
  <c r="F114" i="16"/>
  <c r="H137" i="16" s="1"/>
  <c r="E114" i="16"/>
  <c r="I137" i="16" s="1"/>
  <c r="D114" i="16"/>
  <c r="E137" i="16" s="1"/>
  <c r="A114" i="16"/>
  <c r="G113" i="16"/>
  <c r="F113" i="16"/>
  <c r="H136" i="16" s="1"/>
  <c r="E113" i="16"/>
  <c r="I136" i="16" s="1"/>
  <c r="D113" i="16"/>
  <c r="E136" i="16" s="1"/>
  <c r="A113" i="16"/>
  <c r="G112" i="16"/>
  <c r="F112" i="16"/>
  <c r="H135" i="16" s="1"/>
  <c r="E112" i="16"/>
  <c r="I135" i="16" s="1"/>
  <c r="D112" i="16"/>
  <c r="E135" i="16" s="1"/>
  <c r="A112" i="16"/>
  <c r="G111" i="16"/>
  <c r="F111" i="16"/>
  <c r="H134" i="16" s="1"/>
  <c r="E111" i="16"/>
  <c r="I134" i="16" s="1"/>
  <c r="D111" i="16"/>
  <c r="E134" i="16" s="1"/>
  <c r="A111" i="16"/>
  <c r="G110" i="16"/>
  <c r="F110" i="16"/>
  <c r="H133" i="16" s="1"/>
  <c r="E110" i="16"/>
  <c r="I133" i="16" s="1"/>
  <c r="D110" i="16"/>
  <c r="E133" i="16" s="1"/>
  <c r="A110" i="16"/>
  <c r="G109" i="16"/>
  <c r="F109" i="16"/>
  <c r="H146" i="16" s="1"/>
  <c r="E109" i="16"/>
  <c r="I146" i="16" s="1"/>
  <c r="D109" i="16"/>
  <c r="E146" i="16" s="1"/>
  <c r="A109" i="16"/>
  <c r="G108" i="16"/>
  <c r="D149" i="16" s="1"/>
  <c r="F108" i="16"/>
  <c r="H149" i="16" s="1"/>
  <c r="E108" i="16"/>
  <c r="I149" i="16" s="1"/>
  <c r="D108" i="16"/>
  <c r="A108" i="16"/>
  <c r="G107" i="16"/>
  <c r="D148" i="16" s="1"/>
  <c r="F107" i="16"/>
  <c r="H148" i="16" s="1"/>
  <c r="E107" i="16"/>
  <c r="I148" i="16" s="1"/>
  <c r="D107" i="16"/>
  <c r="A107" i="16"/>
  <c r="M170" i="16"/>
  <c r="J137" i="16" l="1"/>
  <c r="J134" i="16"/>
  <c r="J141" i="16"/>
  <c r="J133" i="16"/>
  <c r="J148" i="16"/>
  <c r="I108" i="16"/>
  <c r="J108" i="16" s="1"/>
  <c r="D122" i="16"/>
  <c r="C150" i="16"/>
  <c r="J149" i="16"/>
  <c r="J135" i="16"/>
  <c r="J139" i="16"/>
  <c r="J143" i="16"/>
  <c r="J138" i="16"/>
  <c r="J142" i="16"/>
  <c r="J146" i="16"/>
  <c r="I150" i="16"/>
  <c r="J136" i="16"/>
  <c r="J140" i="16"/>
  <c r="J144" i="16"/>
  <c r="I110" i="16"/>
  <c r="J110" i="16" s="1"/>
  <c r="I107" i="16"/>
  <c r="I112" i="16"/>
  <c r="J112" i="16" s="1"/>
  <c r="I116" i="16"/>
  <c r="J116" i="16" s="1"/>
  <c r="I120" i="16"/>
  <c r="J120" i="16" s="1"/>
  <c r="F122" i="16"/>
  <c r="I114" i="16"/>
  <c r="J114" i="16" s="1"/>
  <c r="I118" i="16"/>
  <c r="J118" i="16" s="1"/>
  <c r="I111" i="16"/>
  <c r="J111" i="16" s="1"/>
  <c r="I109" i="16"/>
  <c r="J109" i="16" s="1"/>
  <c r="I113" i="16"/>
  <c r="J113" i="16" s="1"/>
  <c r="I117" i="16"/>
  <c r="J117" i="16" s="1"/>
  <c r="I121" i="16"/>
  <c r="J121" i="16" s="1"/>
  <c r="E122" i="16"/>
  <c r="C125" i="16" s="1"/>
  <c r="I115" i="16"/>
  <c r="J115" i="16" s="1"/>
  <c r="I119" i="16"/>
  <c r="J119" i="16" s="1"/>
  <c r="G122" i="16"/>
  <c r="B125" i="16" s="1"/>
  <c r="K137" i="16" l="1"/>
  <c r="D125" i="16"/>
  <c r="G124" i="16"/>
  <c r="K139" i="16"/>
  <c r="K148" i="16"/>
  <c r="K136" i="16"/>
  <c r="K143" i="16"/>
  <c r="K140" i="16"/>
  <c r="K141" i="16"/>
  <c r="K134" i="16"/>
  <c r="K149" i="16"/>
  <c r="K135" i="16"/>
  <c r="K133" i="16"/>
  <c r="J150" i="16"/>
  <c r="I122" i="16"/>
  <c r="J107" i="16"/>
  <c r="K138" i="16"/>
  <c r="K144" i="16"/>
  <c r="K146" i="16"/>
  <c r="K142" i="16"/>
  <c r="K150" i="16" l="1"/>
  <c r="I123" i="16"/>
  <c r="E125" i="16"/>
  <c r="J122" i="16"/>
  <c r="J123" i="16"/>
  <c r="C197" i="16" l="1"/>
  <c r="C196" i="16"/>
  <c r="C194" i="16"/>
  <c r="C192" i="16"/>
  <c r="C191" i="16"/>
  <c r="C190" i="16"/>
  <c r="C189" i="16"/>
  <c r="C188" i="16"/>
  <c r="C187" i="16"/>
  <c r="C186" i="16"/>
  <c r="C185" i="16"/>
  <c r="C184" i="16"/>
  <c r="C183" i="16"/>
  <c r="C182" i="16"/>
  <c r="A182" i="16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4" i="16" s="1"/>
  <c r="A196" i="16" s="1"/>
  <c r="A197" i="16" s="1"/>
  <c r="C181" i="16"/>
  <c r="O170" i="16"/>
  <c r="N170" i="16"/>
  <c r="L170" i="16"/>
  <c r="H170" i="16"/>
  <c r="C170" i="16"/>
  <c r="A173" i="16" s="1"/>
  <c r="G169" i="16"/>
  <c r="F169" i="16"/>
  <c r="H192" i="16" s="1"/>
  <c r="E169" i="16"/>
  <c r="I192" i="16" s="1"/>
  <c r="D169" i="16"/>
  <c r="E192" i="16" s="1"/>
  <c r="A169" i="16"/>
  <c r="G168" i="16"/>
  <c r="F168" i="16"/>
  <c r="H191" i="16" s="1"/>
  <c r="E168" i="16"/>
  <c r="I191" i="16" s="1"/>
  <c r="D168" i="16"/>
  <c r="E191" i="16" s="1"/>
  <c r="A168" i="16"/>
  <c r="G167" i="16"/>
  <c r="F167" i="16"/>
  <c r="H190" i="16" s="1"/>
  <c r="E167" i="16"/>
  <c r="I190" i="16" s="1"/>
  <c r="D167" i="16"/>
  <c r="E190" i="16" s="1"/>
  <c r="A167" i="16"/>
  <c r="G166" i="16"/>
  <c r="F166" i="16"/>
  <c r="H189" i="16" s="1"/>
  <c r="E166" i="16"/>
  <c r="I189" i="16" s="1"/>
  <c r="D166" i="16"/>
  <c r="E189" i="16" s="1"/>
  <c r="A166" i="16"/>
  <c r="G165" i="16"/>
  <c r="F165" i="16"/>
  <c r="H188" i="16" s="1"/>
  <c r="E165" i="16"/>
  <c r="I188" i="16" s="1"/>
  <c r="D165" i="16"/>
  <c r="E188" i="16" s="1"/>
  <c r="A165" i="16"/>
  <c r="G164" i="16"/>
  <c r="F164" i="16"/>
  <c r="H187" i="16" s="1"/>
  <c r="E164" i="16"/>
  <c r="I187" i="16" s="1"/>
  <c r="D164" i="16"/>
  <c r="E187" i="16" s="1"/>
  <c r="A164" i="16"/>
  <c r="G163" i="16"/>
  <c r="F163" i="16"/>
  <c r="H186" i="16" s="1"/>
  <c r="E163" i="16"/>
  <c r="I186" i="16" s="1"/>
  <c r="D163" i="16"/>
  <c r="E186" i="16" s="1"/>
  <c r="A163" i="16"/>
  <c r="G162" i="16"/>
  <c r="F162" i="16"/>
  <c r="H185" i="16" s="1"/>
  <c r="E162" i="16"/>
  <c r="I185" i="16" s="1"/>
  <c r="D162" i="16"/>
  <c r="E185" i="16" s="1"/>
  <c r="A162" i="16"/>
  <c r="G161" i="16"/>
  <c r="F161" i="16"/>
  <c r="H184" i="16" s="1"/>
  <c r="E161" i="16"/>
  <c r="I184" i="16" s="1"/>
  <c r="D161" i="16"/>
  <c r="E184" i="16" s="1"/>
  <c r="A161" i="16"/>
  <c r="G160" i="16"/>
  <c r="F160" i="16"/>
  <c r="H183" i="16" s="1"/>
  <c r="E160" i="16"/>
  <c r="I183" i="16" s="1"/>
  <c r="D160" i="16"/>
  <c r="E183" i="16" s="1"/>
  <c r="A160" i="16"/>
  <c r="G159" i="16"/>
  <c r="F159" i="16"/>
  <c r="H182" i="16" s="1"/>
  <c r="E159" i="16"/>
  <c r="I182" i="16" s="1"/>
  <c r="D159" i="16"/>
  <c r="E182" i="16" s="1"/>
  <c r="A159" i="16"/>
  <c r="G158" i="16"/>
  <c r="F158" i="16"/>
  <c r="E158" i="16"/>
  <c r="I181" i="16" s="1"/>
  <c r="D158" i="16"/>
  <c r="E181" i="16" s="1"/>
  <c r="A158" i="16"/>
  <c r="G157" i="16"/>
  <c r="F157" i="16"/>
  <c r="H194" i="16" s="1"/>
  <c r="E157" i="16"/>
  <c r="I194" i="16" s="1"/>
  <c r="D157" i="16"/>
  <c r="E194" i="16" s="1"/>
  <c r="A157" i="16"/>
  <c r="G156" i="16"/>
  <c r="D197" i="16" s="1"/>
  <c r="F156" i="16"/>
  <c r="H197" i="16" s="1"/>
  <c r="E156" i="16"/>
  <c r="I197" i="16" s="1"/>
  <c r="D156" i="16"/>
  <c r="A156" i="16"/>
  <c r="G155" i="16"/>
  <c r="D196" i="16" s="1"/>
  <c r="F155" i="16"/>
  <c r="H196" i="16" s="1"/>
  <c r="E155" i="16"/>
  <c r="I196" i="16" s="1"/>
  <c r="D155" i="16"/>
  <c r="A155" i="16"/>
  <c r="A203" i="16"/>
  <c r="D203" i="16"/>
  <c r="E203" i="16"/>
  <c r="F203" i="16"/>
  <c r="G203" i="16"/>
  <c r="A204" i="16"/>
  <c r="D204" i="16"/>
  <c r="E204" i="16"/>
  <c r="F204" i="16"/>
  <c r="G204" i="16"/>
  <c r="A205" i="16"/>
  <c r="D205" i="16"/>
  <c r="E205" i="16"/>
  <c r="F205" i="16"/>
  <c r="G205" i="16"/>
  <c r="A206" i="16"/>
  <c r="D206" i="16"/>
  <c r="E206" i="16"/>
  <c r="F206" i="16"/>
  <c r="G206" i="16"/>
  <c r="A207" i="16"/>
  <c r="D207" i="16"/>
  <c r="E207" i="16"/>
  <c r="F207" i="16"/>
  <c r="G207" i="16"/>
  <c r="A208" i="16"/>
  <c r="D208" i="16"/>
  <c r="E208" i="16"/>
  <c r="F208" i="16"/>
  <c r="G208" i="16"/>
  <c r="A209" i="16"/>
  <c r="D209" i="16"/>
  <c r="E209" i="16"/>
  <c r="F209" i="16"/>
  <c r="G209" i="16"/>
  <c r="A210" i="16"/>
  <c r="D210" i="16"/>
  <c r="E210" i="16"/>
  <c r="F210" i="16"/>
  <c r="G210" i="16"/>
  <c r="A211" i="16"/>
  <c r="D211" i="16"/>
  <c r="E211" i="16"/>
  <c r="F211" i="16"/>
  <c r="G211" i="16"/>
  <c r="A212" i="16"/>
  <c r="D212" i="16"/>
  <c r="E212" i="16"/>
  <c r="F212" i="16"/>
  <c r="G212" i="16"/>
  <c r="A213" i="16"/>
  <c r="D213" i="16"/>
  <c r="E213" i="16"/>
  <c r="F213" i="16"/>
  <c r="G213" i="16"/>
  <c r="I212" i="16" l="1"/>
  <c r="J212" i="16" s="1"/>
  <c r="I210" i="16"/>
  <c r="J210" i="16" s="1"/>
  <c r="I208" i="16"/>
  <c r="J208" i="16" s="1"/>
  <c r="J191" i="16"/>
  <c r="I207" i="16"/>
  <c r="J207" i="16" s="1"/>
  <c r="I205" i="16"/>
  <c r="J205" i="16" s="1"/>
  <c r="I211" i="16"/>
  <c r="J211" i="16" s="1"/>
  <c r="I209" i="16"/>
  <c r="J209" i="16" s="1"/>
  <c r="I156" i="16"/>
  <c r="J156" i="16" s="1"/>
  <c r="F170" i="16"/>
  <c r="C198" i="16"/>
  <c r="I213" i="16"/>
  <c r="J213" i="16" s="1"/>
  <c r="I206" i="16"/>
  <c r="J206" i="16" s="1"/>
  <c r="I204" i="16"/>
  <c r="J204" i="16" s="1"/>
  <c r="I203" i="16"/>
  <c r="J203" i="16" s="1"/>
  <c r="I155" i="16"/>
  <c r="J155" i="16" s="1"/>
  <c r="J187" i="16"/>
  <c r="J192" i="16"/>
  <c r="J190" i="16"/>
  <c r="I198" i="16"/>
  <c r="J184" i="16"/>
  <c r="J186" i="16"/>
  <c r="J197" i="16"/>
  <c r="J189" i="16"/>
  <c r="J183" i="16"/>
  <c r="J196" i="16"/>
  <c r="J182" i="16"/>
  <c r="J185" i="16"/>
  <c r="J188" i="16"/>
  <c r="J194" i="16"/>
  <c r="I160" i="16"/>
  <c r="J160" i="16" s="1"/>
  <c r="I164" i="16"/>
  <c r="J164" i="16" s="1"/>
  <c r="I157" i="16"/>
  <c r="J157" i="16" s="1"/>
  <c r="I161" i="16"/>
  <c r="J161" i="16" s="1"/>
  <c r="I165" i="16"/>
  <c r="J165" i="16" s="1"/>
  <c r="I169" i="16"/>
  <c r="J169" i="16" s="1"/>
  <c r="E170" i="16"/>
  <c r="C173" i="16" s="1"/>
  <c r="H181" i="16"/>
  <c r="J181" i="16" s="1"/>
  <c r="I168" i="16"/>
  <c r="J168" i="16" s="1"/>
  <c r="I158" i="16"/>
  <c r="J158" i="16" s="1"/>
  <c r="I162" i="16"/>
  <c r="J162" i="16" s="1"/>
  <c r="I166" i="16"/>
  <c r="J166" i="16" s="1"/>
  <c r="D170" i="16"/>
  <c r="I159" i="16"/>
  <c r="J159" i="16" s="1"/>
  <c r="I163" i="16"/>
  <c r="J163" i="16" s="1"/>
  <c r="I167" i="16"/>
  <c r="J167" i="16" s="1"/>
  <c r="G170" i="16"/>
  <c r="B173" i="16" s="1"/>
  <c r="G172" i="16" l="1"/>
  <c r="D173" i="16"/>
  <c r="K196" i="16"/>
  <c r="K197" i="16"/>
  <c r="K185" i="16"/>
  <c r="K194" i="16"/>
  <c r="K181" i="16"/>
  <c r="J198" i="16"/>
  <c r="I170" i="16"/>
  <c r="K189" i="16"/>
  <c r="K184" i="16"/>
  <c r="K187" i="16"/>
  <c r="K188" i="16"/>
  <c r="K183" i="16"/>
  <c r="K186" i="16"/>
  <c r="K192" i="16"/>
  <c r="K190" i="16"/>
  <c r="K182" i="16"/>
  <c r="K191" i="16"/>
  <c r="I171" i="16" l="1"/>
  <c r="E173" i="16"/>
  <c r="J170" i="16"/>
  <c r="J171" i="16"/>
  <c r="K198" i="16"/>
  <c r="C245" i="16" l="1"/>
  <c r="C244" i="16"/>
  <c r="C242" i="16"/>
  <c r="C240" i="16"/>
  <c r="C239" i="16"/>
  <c r="C238" i="16"/>
  <c r="C237" i="16"/>
  <c r="C236" i="16"/>
  <c r="C235" i="16"/>
  <c r="C234" i="16"/>
  <c r="C233" i="16"/>
  <c r="C232" i="16"/>
  <c r="C231" i="16"/>
  <c r="C230" i="16"/>
  <c r="A230" i="16"/>
  <c r="A231" i="16" s="1"/>
  <c r="A232" i="16" s="1"/>
  <c r="A233" i="16" s="1"/>
  <c r="A234" i="16" s="1"/>
  <c r="A235" i="16" s="1"/>
  <c r="A236" i="16" s="1"/>
  <c r="A237" i="16" s="1"/>
  <c r="C229" i="16"/>
  <c r="O218" i="16"/>
  <c r="N218" i="16"/>
  <c r="M218" i="16"/>
  <c r="L218" i="16"/>
  <c r="H218" i="16"/>
  <c r="C218" i="16"/>
  <c r="A221" i="16" s="1"/>
  <c r="G217" i="16"/>
  <c r="F217" i="16"/>
  <c r="H240" i="16" s="1"/>
  <c r="E217" i="16"/>
  <c r="I240" i="16" s="1"/>
  <c r="D217" i="16"/>
  <c r="E240" i="16" s="1"/>
  <c r="A217" i="16"/>
  <c r="G216" i="16"/>
  <c r="F216" i="16"/>
  <c r="H239" i="16" s="1"/>
  <c r="E216" i="16"/>
  <c r="I239" i="16" s="1"/>
  <c r="D216" i="16"/>
  <c r="E239" i="16" s="1"/>
  <c r="A216" i="16"/>
  <c r="G215" i="16"/>
  <c r="F215" i="16"/>
  <c r="H238" i="16" s="1"/>
  <c r="E215" i="16"/>
  <c r="I238" i="16" s="1"/>
  <c r="D215" i="16"/>
  <c r="A215" i="16"/>
  <c r="G214" i="16"/>
  <c r="F214" i="16"/>
  <c r="H237" i="16" s="1"/>
  <c r="E214" i="16"/>
  <c r="I237" i="16" s="1"/>
  <c r="D214" i="16"/>
  <c r="E237" i="16" s="1"/>
  <c r="A214" i="16"/>
  <c r="H236" i="16"/>
  <c r="I236" i="16"/>
  <c r="E236" i="16"/>
  <c r="H235" i="16"/>
  <c r="I235" i="16"/>
  <c r="E235" i="16"/>
  <c r="H234" i="16"/>
  <c r="I234" i="16"/>
  <c r="E234" i="16"/>
  <c r="H233" i="16"/>
  <c r="I233" i="16"/>
  <c r="E233" i="16"/>
  <c r="H232" i="16"/>
  <c r="I232" i="16"/>
  <c r="E232" i="16"/>
  <c r="H231" i="16"/>
  <c r="I231" i="16"/>
  <c r="E231" i="16"/>
  <c r="H230" i="16"/>
  <c r="I230" i="16"/>
  <c r="E230" i="16"/>
  <c r="H229" i="16"/>
  <c r="I229" i="16"/>
  <c r="H242" i="16"/>
  <c r="E242" i="16"/>
  <c r="D245" i="16"/>
  <c r="H245" i="16"/>
  <c r="I245" i="16"/>
  <c r="D244" i="16"/>
  <c r="I244" i="16"/>
  <c r="I242" i="16" l="1"/>
  <c r="J242" i="16" s="1"/>
  <c r="A238" i="16"/>
  <c r="A239" i="16" s="1"/>
  <c r="A240" i="16" s="1"/>
  <c r="A242" i="16" s="1"/>
  <c r="A244" i="16" s="1"/>
  <c r="A245" i="16" s="1"/>
  <c r="C246" i="16"/>
  <c r="J234" i="16"/>
  <c r="F218" i="16"/>
  <c r="J230" i="16"/>
  <c r="I215" i="16"/>
  <c r="J215" i="16" s="1"/>
  <c r="I216" i="16"/>
  <c r="J216" i="16" s="1"/>
  <c r="E238" i="16"/>
  <c r="J238" i="16" s="1"/>
  <c r="J232" i="16"/>
  <c r="J236" i="16"/>
  <c r="J245" i="16"/>
  <c r="J231" i="16"/>
  <c r="J235" i="16"/>
  <c r="J239" i="16"/>
  <c r="J233" i="16"/>
  <c r="J237" i="16"/>
  <c r="J240" i="16"/>
  <c r="I217" i="16"/>
  <c r="J217" i="16" s="1"/>
  <c r="E218" i="16"/>
  <c r="C221" i="16" s="1"/>
  <c r="D218" i="16"/>
  <c r="E229" i="16"/>
  <c r="J229" i="16" s="1"/>
  <c r="I214" i="16"/>
  <c r="J214" i="16" s="1"/>
  <c r="G218" i="16"/>
  <c r="B221" i="16" s="1"/>
  <c r="H244" i="16"/>
  <c r="J244" i="16" s="1"/>
  <c r="C425" i="16"/>
  <c r="C426" i="16"/>
  <c r="C427" i="16"/>
  <c r="C428" i="16"/>
  <c r="C429" i="16"/>
  <c r="C424" i="16"/>
  <c r="C423" i="16"/>
  <c r="C419" i="16"/>
  <c r="C470" i="16"/>
  <c r="C471" i="16"/>
  <c r="C472" i="16"/>
  <c r="C473" i="16"/>
  <c r="C474" i="16"/>
  <c r="C466" i="16"/>
  <c r="C285" i="16"/>
  <c r="C286" i="16"/>
  <c r="C287" i="16"/>
  <c r="C288" i="16"/>
  <c r="C289" i="16"/>
  <c r="C290" i="16"/>
  <c r="C279" i="16"/>
  <c r="C280" i="16"/>
  <c r="C281" i="16"/>
  <c r="E262" i="16"/>
  <c r="I286" i="16" s="1"/>
  <c r="E255" i="16"/>
  <c r="I279" i="16" s="1"/>
  <c r="G255" i="16"/>
  <c r="F262" i="16"/>
  <c r="H286" i="16" s="1"/>
  <c r="F255" i="16"/>
  <c r="H279" i="16" s="1"/>
  <c r="D262" i="16"/>
  <c r="E286" i="16" s="1"/>
  <c r="A262" i="16"/>
  <c r="D255" i="16"/>
  <c r="E279" i="16" s="1"/>
  <c r="A255" i="16"/>
  <c r="K238" i="16" l="1"/>
  <c r="I246" i="16"/>
  <c r="G220" i="16"/>
  <c r="K245" i="16"/>
  <c r="K244" i="16"/>
  <c r="J279" i="16"/>
  <c r="I255" i="16"/>
  <c r="J255" i="16" s="1"/>
  <c r="K231" i="16"/>
  <c r="K237" i="16"/>
  <c r="D221" i="16"/>
  <c r="K239" i="16"/>
  <c r="J246" i="16"/>
  <c r="K229" i="16"/>
  <c r="K234" i="16"/>
  <c r="I218" i="16"/>
  <c r="K240" i="16"/>
  <c r="K235" i="16"/>
  <c r="K232" i="16"/>
  <c r="K233" i="16"/>
  <c r="K236" i="16"/>
  <c r="K230" i="16"/>
  <c r="K242" i="16"/>
  <c r="K279" i="16" l="1"/>
  <c r="E221" i="16"/>
  <c r="K246" i="16"/>
  <c r="J218" i="16"/>
  <c r="I219" i="16"/>
  <c r="J219" i="16"/>
  <c r="C295" i="16" l="1"/>
  <c r="C294" i="16"/>
  <c r="C292" i="16"/>
  <c r="C284" i="16"/>
  <c r="C283" i="16"/>
  <c r="C282" i="16"/>
  <c r="A279" i="16"/>
  <c r="C278" i="16"/>
  <c r="O267" i="16"/>
  <c r="N267" i="16"/>
  <c r="M267" i="16"/>
  <c r="L267" i="16"/>
  <c r="H267" i="16"/>
  <c r="C267" i="16"/>
  <c r="A270" i="16" s="1"/>
  <c r="G266" i="16"/>
  <c r="F266" i="16"/>
  <c r="H290" i="16" s="1"/>
  <c r="E266" i="16"/>
  <c r="I290" i="16" s="1"/>
  <c r="D266" i="16"/>
  <c r="E290" i="16" s="1"/>
  <c r="A266" i="16"/>
  <c r="G265" i="16"/>
  <c r="F265" i="16"/>
  <c r="H289" i="16" s="1"/>
  <c r="E265" i="16"/>
  <c r="I289" i="16" s="1"/>
  <c r="D265" i="16"/>
  <c r="E289" i="16" s="1"/>
  <c r="A265" i="16"/>
  <c r="G264" i="16"/>
  <c r="F264" i="16"/>
  <c r="H288" i="16" s="1"/>
  <c r="E264" i="16"/>
  <c r="I288" i="16" s="1"/>
  <c r="D264" i="16"/>
  <c r="E288" i="16" s="1"/>
  <c r="A264" i="16"/>
  <c r="G263" i="16"/>
  <c r="F263" i="16"/>
  <c r="H287" i="16" s="1"/>
  <c r="E263" i="16"/>
  <c r="I287" i="16" s="1"/>
  <c r="D263" i="16"/>
  <c r="E287" i="16" s="1"/>
  <c r="A263" i="16"/>
  <c r="G261" i="16"/>
  <c r="F261" i="16"/>
  <c r="H285" i="16" s="1"/>
  <c r="E261" i="16"/>
  <c r="I285" i="16" s="1"/>
  <c r="D261" i="16"/>
  <c r="E285" i="16" s="1"/>
  <c r="A261" i="16"/>
  <c r="G260" i="16"/>
  <c r="F260" i="16"/>
  <c r="H284" i="16" s="1"/>
  <c r="E260" i="16"/>
  <c r="I284" i="16" s="1"/>
  <c r="D260" i="16"/>
  <c r="E284" i="16" s="1"/>
  <c r="A260" i="16"/>
  <c r="G259" i="16"/>
  <c r="F259" i="16"/>
  <c r="H283" i="16" s="1"/>
  <c r="E259" i="16"/>
  <c r="I283" i="16" s="1"/>
  <c r="D259" i="16"/>
  <c r="E283" i="16" s="1"/>
  <c r="A259" i="16"/>
  <c r="G258" i="16"/>
  <c r="F258" i="16"/>
  <c r="H282" i="16" s="1"/>
  <c r="E258" i="16"/>
  <c r="I282" i="16" s="1"/>
  <c r="D258" i="16"/>
  <c r="A258" i="16"/>
  <c r="G257" i="16"/>
  <c r="F257" i="16"/>
  <c r="H281" i="16" s="1"/>
  <c r="E257" i="16"/>
  <c r="I281" i="16" s="1"/>
  <c r="D257" i="16"/>
  <c r="E281" i="16" s="1"/>
  <c r="A257" i="16"/>
  <c r="G256" i="16"/>
  <c r="F256" i="16"/>
  <c r="H280" i="16" s="1"/>
  <c r="E256" i="16"/>
  <c r="I280" i="16" s="1"/>
  <c r="D256" i="16"/>
  <c r="E280" i="16" s="1"/>
  <c r="A256" i="16"/>
  <c r="G254" i="16"/>
  <c r="F254" i="16"/>
  <c r="H278" i="16" s="1"/>
  <c r="E254" i="16"/>
  <c r="I278" i="16" s="1"/>
  <c r="D254" i="16"/>
  <c r="E278" i="16" s="1"/>
  <c r="A254" i="16"/>
  <c r="G253" i="16"/>
  <c r="F253" i="16"/>
  <c r="H292" i="16" s="1"/>
  <c r="E253" i="16"/>
  <c r="I292" i="16" s="1"/>
  <c r="D253" i="16"/>
  <c r="A253" i="16"/>
  <c r="G252" i="16"/>
  <c r="D295" i="16" s="1"/>
  <c r="F252" i="16"/>
  <c r="H295" i="16" s="1"/>
  <c r="E252" i="16"/>
  <c r="I295" i="16" s="1"/>
  <c r="D252" i="16"/>
  <c r="A252" i="16"/>
  <c r="G251" i="16"/>
  <c r="D294" i="16" s="1"/>
  <c r="F251" i="16"/>
  <c r="H294" i="16" s="1"/>
  <c r="E251" i="16"/>
  <c r="D251" i="16"/>
  <c r="A251" i="16"/>
  <c r="J280" i="16" l="1"/>
  <c r="J281" i="16"/>
  <c r="J289" i="16"/>
  <c r="A280" i="16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2" i="16" s="1"/>
  <c r="A294" i="16" s="1"/>
  <c r="A295" i="16" s="1"/>
  <c r="C296" i="16"/>
  <c r="I264" i="16"/>
  <c r="J264" i="16" s="1"/>
  <c r="I253" i="16"/>
  <c r="J253" i="16" s="1"/>
  <c r="I263" i="16"/>
  <c r="J263" i="16" s="1"/>
  <c r="E267" i="16"/>
  <c r="C270" i="16" s="1"/>
  <c r="I252" i="16"/>
  <c r="J252" i="16" s="1"/>
  <c r="J278" i="16"/>
  <c r="I257" i="16"/>
  <c r="J257" i="16" s="1"/>
  <c r="I261" i="16"/>
  <c r="J261" i="16" s="1"/>
  <c r="I266" i="16"/>
  <c r="J266" i="16" s="1"/>
  <c r="J287" i="16"/>
  <c r="I258" i="16"/>
  <c r="J258" i="16" s="1"/>
  <c r="D267" i="16"/>
  <c r="I265" i="16"/>
  <c r="J265" i="16" s="1"/>
  <c r="J295" i="16"/>
  <c r="J284" i="16"/>
  <c r="J283" i="16"/>
  <c r="I251" i="16"/>
  <c r="I256" i="16"/>
  <c r="J256" i="16" s="1"/>
  <c r="I260" i="16"/>
  <c r="J260" i="16" s="1"/>
  <c r="I254" i="16"/>
  <c r="J254" i="16" s="1"/>
  <c r="I259" i="16"/>
  <c r="J259" i="16" s="1"/>
  <c r="G267" i="16"/>
  <c r="B270" i="16" s="1"/>
  <c r="J288" i="16"/>
  <c r="K288" i="16" s="1"/>
  <c r="F267" i="16"/>
  <c r="J285" i="16"/>
  <c r="J290" i="16"/>
  <c r="I294" i="16"/>
  <c r="J294" i="16" s="1"/>
  <c r="E282" i="16"/>
  <c r="J282" i="16" s="1"/>
  <c r="J286" i="16"/>
  <c r="K286" i="16" s="1"/>
  <c r="E292" i="16"/>
  <c r="J292" i="16" s="1"/>
  <c r="K283" i="16" l="1"/>
  <c r="K290" i="16"/>
  <c r="K294" i="16"/>
  <c r="K284" i="16"/>
  <c r="K280" i="16"/>
  <c r="I296" i="16"/>
  <c r="K289" i="16"/>
  <c r="K282" i="16"/>
  <c r="K287" i="16"/>
  <c r="K281" i="16"/>
  <c r="K285" i="16"/>
  <c r="K295" i="16"/>
  <c r="K292" i="16"/>
  <c r="G269" i="16"/>
  <c r="D270" i="16"/>
  <c r="J296" i="16"/>
  <c r="I267" i="16"/>
  <c r="J251" i="16"/>
  <c r="K278" i="16"/>
  <c r="E270" i="16" l="1"/>
  <c r="J267" i="16"/>
  <c r="I268" i="16"/>
  <c r="J268" i="16"/>
  <c r="K296" i="16"/>
  <c r="C341" i="16" l="1"/>
  <c r="C340" i="16"/>
  <c r="C338" i="16"/>
  <c r="C336" i="16"/>
  <c r="C335" i="16"/>
  <c r="C334" i="16"/>
  <c r="C333" i="16"/>
  <c r="C332" i="16"/>
  <c r="C331" i="16"/>
  <c r="C330" i="16"/>
  <c r="C329" i="16"/>
  <c r="C328" i="16"/>
  <c r="C327" i="16"/>
  <c r="A327" i="16"/>
  <c r="A328" i="16" s="1"/>
  <c r="A329" i="16" s="1"/>
  <c r="A330" i="16" s="1"/>
  <c r="A331" i="16" s="1"/>
  <c r="A332" i="16" s="1"/>
  <c r="A333" i="16" s="1"/>
  <c r="A334" i="16" s="1"/>
  <c r="A335" i="16" s="1"/>
  <c r="A336" i="16" s="1"/>
  <c r="A338" i="16" s="1"/>
  <c r="A340" i="16" s="1"/>
  <c r="A341" i="16" s="1"/>
  <c r="C326" i="16"/>
  <c r="O315" i="16"/>
  <c r="N315" i="16"/>
  <c r="M315" i="16"/>
  <c r="L315" i="16"/>
  <c r="H315" i="16"/>
  <c r="C315" i="16"/>
  <c r="A318" i="16" s="1"/>
  <c r="G314" i="16"/>
  <c r="F314" i="16"/>
  <c r="H336" i="16" s="1"/>
  <c r="E314" i="16"/>
  <c r="I336" i="16" s="1"/>
  <c r="D314" i="16"/>
  <c r="A314" i="16"/>
  <c r="G313" i="16"/>
  <c r="F313" i="16"/>
  <c r="H335" i="16" s="1"/>
  <c r="E313" i="16"/>
  <c r="I335" i="16" s="1"/>
  <c r="D313" i="16"/>
  <c r="A313" i="16"/>
  <c r="G312" i="16"/>
  <c r="F312" i="16"/>
  <c r="H334" i="16" s="1"/>
  <c r="E312" i="16"/>
  <c r="I334" i="16" s="1"/>
  <c r="D312" i="16"/>
  <c r="E334" i="16" s="1"/>
  <c r="A312" i="16"/>
  <c r="G311" i="16"/>
  <c r="F311" i="16"/>
  <c r="H333" i="16" s="1"/>
  <c r="E311" i="16"/>
  <c r="I333" i="16" s="1"/>
  <c r="D311" i="16"/>
  <c r="A311" i="16"/>
  <c r="G310" i="16"/>
  <c r="F310" i="16"/>
  <c r="H332" i="16" s="1"/>
  <c r="E310" i="16"/>
  <c r="I332" i="16" s="1"/>
  <c r="D310" i="16"/>
  <c r="A310" i="16"/>
  <c r="G309" i="16"/>
  <c r="F309" i="16"/>
  <c r="H331" i="16" s="1"/>
  <c r="E309" i="16"/>
  <c r="I331" i="16" s="1"/>
  <c r="D309" i="16"/>
  <c r="A309" i="16"/>
  <c r="G308" i="16"/>
  <c r="F308" i="16"/>
  <c r="H330" i="16" s="1"/>
  <c r="E308" i="16"/>
  <c r="I330" i="16" s="1"/>
  <c r="D308" i="16"/>
  <c r="E330" i="16" s="1"/>
  <c r="A308" i="16"/>
  <c r="G307" i="16"/>
  <c r="F307" i="16"/>
  <c r="H329" i="16" s="1"/>
  <c r="E307" i="16"/>
  <c r="I329" i="16" s="1"/>
  <c r="D307" i="16"/>
  <c r="A307" i="16"/>
  <c r="G306" i="16"/>
  <c r="F306" i="16"/>
  <c r="H328" i="16" s="1"/>
  <c r="E306" i="16"/>
  <c r="I328" i="16" s="1"/>
  <c r="D306" i="16"/>
  <c r="A306" i="16"/>
  <c r="G305" i="16"/>
  <c r="F305" i="16"/>
  <c r="H327" i="16" s="1"/>
  <c r="E305" i="16"/>
  <c r="I327" i="16" s="1"/>
  <c r="D305" i="16"/>
  <c r="A305" i="16"/>
  <c r="G304" i="16"/>
  <c r="F304" i="16"/>
  <c r="H326" i="16" s="1"/>
  <c r="E304" i="16"/>
  <c r="I326" i="16" s="1"/>
  <c r="D304" i="16"/>
  <c r="E326" i="16" s="1"/>
  <c r="A304" i="16"/>
  <c r="G303" i="16"/>
  <c r="F303" i="16"/>
  <c r="H338" i="16" s="1"/>
  <c r="E303" i="16"/>
  <c r="I338" i="16" s="1"/>
  <c r="D303" i="16"/>
  <c r="A303" i="16"/>
  <c r="G302" i="16"/>
  <c r="D341" i="16" s="1"/>
  <c r="F302" i="16"/>
  <c r="H341" i="16" s="1"/>
  <c r="E302" i="16"/>
  <c r="I341" i="16" s="1"/>
  <c r="D302" i="16"/>
  <c r="A302" i="16"/>
  <c r="G301" i="16"/>
  <c r="D340" i="16" s="1"/>
  <c r="F301" i="16"/>
  <c r="H340" i="16" s="1"/>
  <c r="E301" i="16"/>
  <c r="D301" i="16"/>
  <c r="A301" i="16"/>
  <c r="A347" i="16"/>
  <c r="D347" i="16"/>
  <c r="E347" i="16"/>
  <c r="F347" i="16"/>
  <c r="G347" i="16"/>
  <c r="D386" i="16" s="1"/>
  <c r="A348" i="16"/>
  <c r="D348" i="16"/>
  <c r="E348" i="16"/>
  <c r="I387" i="16" s="1"/>
  <c r="F348" i="16"/>
  <c r="H387" i="16" s="1"/>
  <c r="G348" i="16"/>
  <c r="A349" i="16"/>
  <c r="D349" i="16"/>
  <c r="E349" i="16"/>
  <c r="F349" i="16"/>
  <c r="H384" i="16" s="1"/>
  <c r="G349" i="16"/>
  <c r="A350" i="16"/>
  <c r="D350" i="16"/>
  <c r="E350" i="16"/>
  <c r="I372" i="16" s="1"/>
  <c r="F350" i="16"/>
  <c r="H372" i="16" s="1"/>
  <c r="G350" i="16"/>
  <c r="A351" i="16"/>
  <c r="D351" i="16"/>
  <c r="E373" i="16" s="1"/>
  <c r="E351" i="16"/>
  <c r="F351" i="16"/>
  <c r="H373" i="16" s="1"/>
  <c r="G351" i="16"/>
  <c r="A352" i="16"/>
  <c r="D352" i="16"/>
  <c r="E374" i="16" s="1"/>
  <c r="E352" i="16"/>
  <c r="I374" i="16" s="1"/>
  <c r="F352" i="16"/>
  <c r="H374" i="16" s="1"/>
  <c r="G352" i="16"/>
  <c r="A353" i="16"/>
  <c r="D353" i="16"/>
  <c r="E375" i="16" s="1"/>
  <c r="E353" i="16"/>
  <c r="I375" i="16" s="1"/>
  <c r="F353" i="16"/>
  <c r="H375" i="16" s="1"/>
  <c r="G353" i="16"/>
  <c r="A354" i="16"/>
  <c r="D354" i="16"/>
  <c r="E376" i="16" s="1"/>
  <c r="E354" i="16"/>
  <c r="I376" i="16" s="1"/>
  <c r="F354" i="16"/>
  <c r="H376" i="16" s="1"/>
  <c r="G354" i="16"/>
  <c r="A355" i="16"/>
  <c r="D355" i="16"/>
  <c r="E377" i="16" s="1"/>
  <c r="E355" i="16"/>
  <c r="F355" i="16"/>
  <c r="H377" i="16" s="1"/>
  <c r="G355" i="16"/>
  <c r="A356" i="16"/>
  <c r="D356" i="16"/>
  <c r="E378" i="16" s="1"/>
  <c r="E356" i="16"/>
  <c r="I378" i="16" s="1"/>
  <c r="F356" i="16"/>
  <c r="H378" i="16" s="1"/>
  <c r="G356" i="16"/>
  <c r="A357" i="16"/>
  <c r="D357" i="16"/>
  <c r="E357" i="16"/>
  <c r="I379" i="16" s="1"/>
  <c r="F357" i="16"/>
  <c r="H379" i="16" s="1"/>
  <c r="G357" i="16"/>
  <c r="A358" i="16"/>
  <c r="D358" i="16"/>
  <c r="E380" i="16" s="1"/>
  <c r="E358" i="16"/>
  <c r="I380" i="16" s="1"/>
  <c r="F358" i="16"/>
  <c r="H380" i="16" s="1"/>
  <c r="G358" i="16"/>
  <c r="A359" i="16"/>
  <c r="D359" i="16"/>
  <c r="E381" i="16" s="1"/>
  <c r="E359" i="16"/>
  <c r="F359" i="16"/>
  <c r="H381" i="16" s="1"/>
  <c r="G359" i="16"/>
  <c r="A360" i="16"/>
  <c r="D360" i="16"/>
  <c r="E382" i="16" s="1"/>
  <c r="E360" i="16"/>
  <c r="F360" i="16"/>
  <c r="H382" i="16" s="1"/>
  <c r="G360" i="16"/>
  <c r="C361" i="16"/>
  <c r="A364" i="16" s="1"/>
  <c r="H361" i="16"/>
  <c r="L361" i="16"/>
  <c r="M361" i="16"/>
  <c r="N361" i="16"/>
  <c r="O361" i="16"/>
  <c r="C372" i="16"/>
  <c r="A373" i="16"/>
  <c r="A374" i="16" s="1"/>
  <c r="A375" i="16" s="1"/>
  <c r="A376" i="16" s="1"/>
  <c r="A377" i="16" s="1"/>
  <c r="A378" i="16" s="1"/>
  <c r="A379" i="16" s="1"/>
  <c r="A380" i="16" s="1"/>
  <c r="A381" i="16" s="1"/>
  <c r="A382" i="16" s="1"/>
  <c r="A384" i="16" s="1"/>
  <c r="A386" i="16" s="1"/>
  <c r="A387" i="16" s="1"/>
  <c r="C373" i="16"/>
  <c r="C374" i="16"/>
  <c r="C375" i="16"/>
  <c r="C376" i="16"/>
  <c r="C377" i="16"/>
  <c r="C378" i="16"/>
  <c r="C379" i="16"/>
  <c r="E379" i="16"/>
  <c r="C380" i="16"/>
  <c r="C381" i="16"/>
  <c r="C382" i="16"/>
  <c r="I382" i="16"/>
  <c r="C384" i="16"/>
  <c r="E384" i="16"/>
  <c r="C386" i="16"/>
  <c r="H386" i="16"/>
  <c r="I386" i="16"/>
  <c r="C387" i="16"/>
  <c r="I348" i="16" l="1"/>
  <c r="J348" i="16" s="1"/>
  <c r="I314" i="16"/>
  <c r="J314" i="16" s="1"/>
  <c r="I359" i="16"/>
  <c r="J359" i="16" s="1"/>
  <c r="I354" i="16"/>
  <c r="J354" i="16" s="1"/>
  <c r="I355" i="16"/>
  <c r="J355" i="16" s="1"/>
  <c r="D387" i="16"/>
  <c r="J386" i="16"/>
  <c r="I350" i="16"/>
  <c r="J350" i="16" s="1"/>
  <c r="I349" i="16"/>
  <c r="J349" i="16" s="1"/>
  <c r="I310" i="16"/>
  <c r="J310" i="16" s="1"/>
  <c r="E315" i="16"/>
  <c r="C318" i="16" s="1"/>
  <c r="I302" i="16"/>
  <c r="J302" i="16" s="1"/>
  <c r="J341" i="16"/>
  <c r="I306" i="16"/>
  <c r="J306" i="16" s="1"/>
  <c r="I384" i="16"/>
  <c r="J384" i="16" s="1"/>
  <c r="J375" i="16"/>
  <c r="G361" i="16"/>
  <c r="B364" i="16" s="1"/>
  <c r="J376" i="16"/>
  <c r="I353" i="16"/>
  <c r="J353" i="16" s="1"/>
  <c r="F361" i="16"/>
  <c r="I347" i="16"/>
  <c r="D315" i="16"/>
  <c r="I305" i="16"/>
  <c r="J305" i="16" s="1"/>
  <c r="I309" i="16"/>
  <c r="J309" i="16" s="1"/>
  <c r="I313" i="16"/>
  <c r="J313" i="16" s="1"/>
  <c r="J382" i="16"/>
  <c r="I360" i="16"/>
  <c r="J360" i="16" s="1"/>
  <c r="J380" i="16"/>
  <c r="I357" i="16"/>
  <c r="J357" i="16" s="1"/>
  <c r="I356" i="16"/>
  <c r="J356" i="16" s="1"/>
  <c r="C342" i="16"/>
  <c r="J374" i="16"/>
  <c r="D361" i="16"/>
  <c r="J387" i="16"/>
  <c r="J379" i="16"/>
  <c r="J378" i="16"/>
  <c r="I351" i="16"/>
  <c r="J351" i="16" s="1"/>
  <c r="I303" i="16"/>
  <c r="J303" i="16" s="1"/>
  <c r="I307" i="16"/>
  <c r="J307" i="16" s="1"/>
  <c r="I311" i="16"/>
  <c r="J311" i="16" s="1"/>
  <c r="J330" i="16"/>
  <c r="J334" i="16"/>
  <c r="I304" i="16"/>
  <c r="J304" i="16" s="1"/>
  <c r="I308" i="16"/>
  <c r="J308" i="16" s="1"/>
  <c r="I312" i="16"/>
  <c r="J312" i="16" s="1"/>
  <c r="G315" i="16"/>
  <c r="B318" i="16" s="1"/>
  <c r="J326" i="16"/>
  <c r="E327" i="16"/>
  <c r="J327" i="16" s="1"/>
  <c r="E331" i="16"/>
  <c r="J331" i="16" s="1"/>
  <c r="E335" i="16"/>
  <c r="J335" i="16" s="1"/>
  <c r="I301" i="16"/>
  <c r="F315" i="16"/>
  <c r="E328" i="16"/>
  <c r="J328" i="16" s="1"/>
  <c r="E332" i="16"/>
  <c r="J332" i="16" s="1"/>
  <c r="K332" i="16" s="1"/>
  <c r="E336" i="16"/>
  <c r="J336" i="16" s="1"/>
  <c r="I340" i="16"/>
  <c r="J340" i="16" s="1"/>
  <c r="E329" i="16"/>
  <c r="J329" i="16" s="1"/>
  <c r="E333" i="16"/>
  <c r="J333" i="16" s="1"/>
  <c r="E338" i="16"/>
  <c r="J338" i="16" s="1"/>
  <c r="I381" i="16"/>
  <c r="J381" i="16" s="1"/>
  <c r="K381" i="16" s="1"/>
  <c r="I377" i="16"/>
  <c r="J377" i="16" s="1"/>
  <c r="I373" i="16"/>
  <c r="J373" i="16" s="1"/>
  <c r="E361" i="16"/>
  <c r="C364" i="16" s="1"/>
  <c r="I352" i="16"/>
  <c r="J352" i="16" s="1"/>
  <c r="I358" i="16"/>
  <c r="J358" i="16" s="1"/>
  <c r="E372" i="16"/>
  <c r="J372" i="16" s="1"/>
  <c r="K336" i="16" l="1"/>
  <c r="K372" i="16"/>
  <c r="K333" i="16"/>
  <c r="G363" i="16"/>
  <c r="K386" i="16"/>
  <c r="K341" i="16"/>
  <c r="D364" i="16"/>
  <c r="J347" i="16"/>
  <c r="K387" i="16"/>
  <c r="K335" i="16"/>
  <c r="K384" i="16"/>
  <c r="K377" i="16"/>
  <c r="K373" i="16"/>
  <c r="K329" i="16"/>
  <c r="K382" i="16"/>
  <c r="K376" i="16"/>
  <c r="K375" i="16"/>
  <c r="K328" i="16"/>
  <c r="D318" i="16"/>
  <c r="G317" i="16"/>
  <c r="K327" i="16"/>
  <c r="K338" i="16"/>
  <c r="K340" i="16"/>
  <c r="K331" i="16"/>
  <c r="K379" i="16"/>
  <c r="K378" i="16"/>
  <c r="I315" i="16"/>
  <c r="J301" i="16"/>
  <c r="I342" i="16"/>
  <c r="K326" i="16"/>
  <c r="J342" i="16"/>
  <c r="K330" i="16"/>
  <c r="K334" i="16"/>
  <c r="K380" i="16"/>
  <c r="I361" i="16"/>
  <c r="K374" i="16"/>
  <c r="C479" i="16"/>
  <c r="C478" i="16"/>
  <c r="C476" i="16"/>
  <c r="C469" i="16"/>
  <c r="C468" i="16"/>
  <c r="C467" i="16"/>
  <c r="A466" i="16"/>
  <c r="A467" i="16" s="1"/>
  <c r="A468" i="16" s="1"/>
  <c r="A469" i="16" s="1"/>
  <c r="A470" i="16" s="1"/>
  <c r="C465" i="16"/>
  <c r="O454" i="16"/>
  <c r="M454" i="16"/>
  <c r="L454" i="16"/>
  <c r="C454" i="16"/>
  <c r="A457" i="16" s="1"/>
  <c r="G453" i="16"/>
  <c r="F453" i="16"/>
  <c r="H474" i="16" s="1"/>
  <c r="E453" i="16"/>
  <c r="I474" i="16" s="1"/>
  <c r="D453" i="16"/>
  <c r="E474" i="16" s="1"/>
  <c r="A453" i="16"/>
  <c r="G452" i="16"/>
  <c r="F452" i="16"/>
  <c r="H473" i="16" s="1"/>
  <c r="E452" i="16"/>
  <c r="I473" i="16" s="1"/>
  <c r="D452" i="16"/>
  <c r="E473" i="16" s="1"/>
  <c r="A452" i="16"/>
  <c r="G451" i="16"/>
  <c r="F451" i="16"/>
  <c r="H472" i="16" s="1"/>
  <c r="E451" i="16"/>
  <c r="I472" i="16" s="1"/>
  <c r="D451" i="16"/>
  <c r="E472" i="16" s="1"/>
  <c r="A451" i="16"/>
  <c r="N450" i="16"/>
  <c r="N454" i="16" s="1"/>
  <c r="H450" i="16"/>
  <c r="G450" i="16"/>
  <c r="F450" i="16"/>
  <c r="H471" i="16" s="1"/>
  <c r="D450" i="16"/>
  <c r="E471" i="16" s="1"/>
  <c r="A450" i="16"/>
  <c r="H449" i="16"/>
  <c r="G449" i="16"/>
  <c r="F449" i="16"/>
  <c r="H470" i="16" s="1"/>
  <c r="E449" i="16"/>
  <c r="I470" i="16" s="1"/>
  <c r="D449" i="16"/>
  <c r="E470" i="16" s="1"/>
  <c r="A449" i="16"/>
  <c r="G448" i="16"/>
  <c r="F448" i="16"/>
  <c r="H469" i="16" s="1"/>
  <c r="E448" i="16"/>
  <c r="I469" i="16" s="1"/>
  <c r="D448" i="16"/>
  <c r="A448" i="16"/>
  <c r="G447" i="16"/>
  <c r="F447" i="16"/>
  <c r="H468" i="16" s="1"/>
  <c r="E447" i="16"/>
  <c r="I468" i="16" s="1"/>
  <c r="D447" i="16"/>
  <c r="E468" i="16" s="1"/>
  <c r="A447" i="16"/>
  <c r="G446" i="16"/>
  <c r="F446" i="16"/>
  <c r="H467" i="16" s="1"/>
  <c r="E446" i="16"/>
  <c r="I467" i="16" s="1"/>
  <c r="D446" i="16"/>
  <c r="A446" i="16"/>
  <c r="G445" i="16"/>
  <c r="F445" i="16"/>
  <c r="H466" i="16" s="1"/>
  <c r="E445" i="16"/>
  <c r="I466" i="16" s="1"/>
  <c r="D445" i="16"/>
  <c r="A445" i="16"/>
  <c r="G444" i="16"/>
  <c r="F444" i="16"/>
  <c r="H465" i="16" s="1"/>
  <c r="E444" i="16"/>
  <c r="I465" i="16" s="1"/>
  <c r="D444" i="16"/>
  <c r="A444" i="16"/>
  <c r="G443" i="16"/>
  <c r="F443" i="16"/>
  <c r="H476" i="16" s="1"/>
  <c r="E443" i="16"/>
  <c r="I476" i="16" s="1"/>
  <c r="D443" i="16"/>
  <c r="E476" i="16" s="1"/>
  <c r="A443" i="16"/>
  <c r="G442" i="16"/>
  <c r="D479" i="16" s="1"/>
  <c r="F442" i="16"/>
  <c r="H479" i="16" s="1"/>
  <c r="E442" i="16"/>
  <c r="I479" i="16" s="1"/>
  <c r="D442" i="16"/>
  <c r="A442" i="16"/>
  <c r="G441" i="16"/>
  <c r="D478" i="16" s="1"/>
  <c r="F441" i="16"/>
  <c r="H478" i="16" s="1"/>
  <c r="E441" i="16"/>
  <c r="D441" i="16"/>
  <c r="A441" i="16"/>
  <c r="C434" i="16"/>
  <c r="C433" i="16"/>
  <c r="C431" i="16"/>
  <c r="C422" i="16"/>
  <c r="C421" i="16"/>
  <c r="C420" i="16"/>
  <c r="A420" i="16"/>
  <c r="A421" i="16" s="1"/>
  <c r="A422" i="16" s="1"/>
  <c r="A423" i="16" s="1"/>
  <c r="A424" i="16" s="1"/>
  <c r="O408" i="16"/>
  <c r="N408" i="16"/>
  <c r="M408" i="16"/>
  <c r="L408" i="16"/>
  <c r="H408" i="16"/>
  <c r="C408" i="16"/>
  <c r="A411" i="16" s="1"/>
  <c r="G407" i="16"/>
  <c r="F407" i="16"/>
  <c r="H429" i="16" s="1"/>
  <c r="E407" i="16"/>
  <c r="I429" i="16" s="1"/>
  <c r="D407" i="16"/>
  <c r="A407" i="16"/>
  <c r="G406" i="16"/>
  <c r="F406" i="16"/>
  <c r="H428" i="16" s="1"/>
  <c r="E406" i="16"/>
  <c r="I428" i="16" s="1"/>
  <c r="D406" i="16"/>
  <c r="E428" i="16" s="1"/>
  <c r="A406" i="16"/>
  <c r="G405" i="16"/>
  <c r="F405" i="16"/>
  <c r="H427" i="16" s="1"/>
  <c r="E405" i="16"/>
  <c r="I427" i="16" s="1"/>
  <c r="D405" i="16"/>
  <c r="E427" i="16" s="1"/>
  <c r="A405" i="16"/>
  <c r="G404" i="16"/>
  <c r="F404" i="16"/>
  <c r="H426" i="16" s="1"/>
  <c r="E404" i="16"/>
  <c r="I426" i="16" s="1"/>
  <c r="D404" i="16"/>
  <c r="A404" i="16"/>
  <c r="G403" i="16"/>
  <c r="F403" i="16"/>
  <c r="H425" i="16" s="1"/>
  <c r="E403" i="16"/>
  <c r="I425" i="16" s="1"/>
  <c r="D403" i="16"/>
  <c r="A403" i="16"/>
  <c r="G402" i="16"/>
  <c r="F402" i="16"/>
  <c r="H424" i="16" s="1"/>
  <c r="E402" i="16"/>
  <c r="I424" i="16" s="1"/>
  <c r="D402" i="16"/>
  <c r="A402" i="16"/>
  <c r="G401" i="16"/>
  <c r="F401" i="16"/>
  <c r="H422" i="16" s="1"/>
  <c r="E401" i="16"/>
  <c r="I422" i="16" s="1"/>
  <c r="D401" i="16"/>
  <c r="E422" i="16" s="1"/>
  <c r="A401" i="16"/>
  <c r="G400" i="16"/>
  <c r="F400" i="16"/>
  <c r="H421" i="16" s="1"/>
  <c r="E400" i="16"/>
  <c r="I421" i="16" s="1"/>
  <c r="D400" i="16"/>
  <c r="A400" i="16"/>
  <c r="G399" i="16"/>
  <c r="F399" i="16"/>
  <c r="H423" i="16" s="1"/>
  <c r="E399" i="16"/>
  <c r="I423" i="16" s="1"/>
  <c r="D399" i="16"/>
  <c r="E423" i="16" s="1"/>
  <c r="A399" i="16"/>
  <c r="G398" i="16"/>
  <c r="F398" i="16"/>
  <c r="H420" i="16" s="1"/>
  <c r="E398" i="16"/>
  <c r="I420" i="16" s="1"/>
  <c r="D398" i="16"/>
  <c r="A398" i="16"/>
  <c r="G397" i="16"/>
  <c r="F397" i="16"/>
  <c r="H419" i="16" s="1"/>
  <c r="E397" i="16"/>
  <c r="I419" i="16" s="1"/>
  <c r="D397" i="16"/>
  <c r="E419" i="16" s="1"/>
  <c r="A397" i="16"/>
  <c r="G396" i="16"/>
  <c r="F396" i="16"/>
  <c r="H431" i="16" s="1"/>
  <c r="E396" i="16"/>
  <c r="I431" i="16" s="1"/>
  <c r="D396" i="16"/>
  <c r="A396" i="16"/>
  <c r="G395" i="16"/>
  <c r="D434" i="16" s="1"/>
  <c r="F395" i="16"/>
  <c r="H434" i="16" s="1"/>
  <c r="E395" i="16"/>
  <c r="I434" i="16" s="1"/>
  <c r="D395" i="16"/>
  <c r="A395" i="16"/>
  <c r="G394" i="16"/>
  <c r="D433" i="16" s="1"/>
  <c r="F394" i="16"/>
  <c r="H433" i="16" s="1"/>
  <c r="E394" i="16"/>
  <c r="D394" i="16"/>
  <c r="A394" i="16"/>
  <c r="K342" i="16" l="1"/>
  <c r="E318" i="16"/>
  <c r="J315" i="16"/>
  <c r="I316" i="16"/>
  <c r="J316" i="16"/>
  <c r="J362" i="16"/>
  <c r="I362" i="16"/>
  <c r="J361" i="16"/>
  <c r="E364" i="16"/>
  <c r="E408" i="16"/>
  <c r="C411" i="16" s="1"/>
  <c r="I395" i="16"/>
  <c r="J395" i="16" s="1"/>
  <c r="G408" i="16"/>
  <c r="B411" i="16" s="1"/>
  <c r="D411" i="16" s="1"/>
  <c r="I403" i="16"/>
  <c r="J403" i="16" s="1"/>
  <c r="I407" i="16"/>
  <c r="J407" i="16" s="1"/>
  <c r="J470" i="16"/>
  <c r="J472" i="16"/>
  <c r="I453" i="16"/>
  <c r="J453" i="16" s="1"/>
  <c r="C480" i="16"/>
  <c r="I444" i="16"/>
  <c r="J444" i="16" s="1"/>
  <c r="I448" i="16"/>
  <c r="J448" i="16" s="1"/>
  <c r="I442" i="16"/>
  <c r="J442" i="16" s="1"/>
  <c r="I446" i="16"/>
  <c r="J446" i="16" s="1"/>
  <c r="I452" i="16"/>
  <c r="J452" i="16" s="1"/>
  <c r="C435" i="16"/>
  <c r="I441" i="16"/>
  <c r="J441" i="16" s="1"/>
  <c r="I445" i="16"/>
  <c r="J445" i="16" s="1"/>
  <c r="H454" i="16"/>
  <c r="A472" i="16"/>
  <c r="A474" i="16" s="1"/>
  <c r="A476" i="16" s="1"/>
  <c r="A478" i="16" s="1"/>
  <c r="A479" i="16" s="1"/>
  <c r="A471" i="16"/>
  <c r="A473" i="16" s="1"/>
  <c r="J479" i="16"/>
  <c r="J476" i="16"/>
  <c r="J468" i="16"/>
  <c r="I443" i="16"/>
  <c r="J443" i="16" s="1"/>
  <c r="I447" i="16"/>
  <c r="J447" i="16" s="1"/>
  <c r="D454" i="16"/>
  <c r="E465" i="16"/>
  <c r="J465" i="16" s="1"/>
  <c r="E469" i="16"/>
  <c r="J469" i="16" s="1"/>
  <c r="J473" i="16"/>
  <c r="I449" i="16"/>
  <c r="J449" i="16" s="1"/>
  <c r="E450" i="16"/>
  <c r="I451" i="16"/>
  <c r="J451" i="16" s="1"/>
  <c r="G454" i="16"/>
  <c r="B457" i="16" s="1"/>
  <c r="E466" i="16"/>
  <c r="J466" i="16" s="1"/>
  <c r="J474" i="16"/>
  <c r="I478" i="16"/>
  <c r="J478" i="16" s="1"/>
  <c r="F454" i="16"/>
  <c r="E467" i="16"/>
  <c r="J467" i="16" s="1"/>
  <c r="I396" i="16"/>
  <c r="J396" i="16" s="1"/>
  <c r="I400" i="16"/>
  <c r="J400" i="16" s="1"/>
  <c r="I404" i="16"/>
  <c r="J404" i="16" s="1"/>
  <c r="J428" i="16"/>
  <c r="E425" i="16"/>
  <c r="J425" i="16" s="1"/>
  <c r="E421" i="16"/>
  <c r="J421" i="16" s="1"/>
  <c r="K421" i="16" s="1"/>
  <c r="E431" i="16"/>
  <c r="J431" i="16" s="1"/>
  <c r="D408" i="16"/>
  <c r="I398" i="16"/>
  <c r="J398" i="16" s="1"/>
  <c r="I402" i="16"/>
  <c r="J402" i="16" s="1"/>
  <c r="I406" i="16"/>
  <c r="J406" i="16" s="1"/>
  <c r="E424" i="16"/>
  <c r="J424" i="16" s="1"/>
  <c r="E426" i="16"/>
  <c r="J426" i="16" s="1"/>
  <c r="E420" i="16"/>
  <c r="J420" i="16" s="1"/>
  <c r="E429" i="16"/>
  <c r="J429" i="16" s="1"/>
  <c r="K429" i="16" s="1"/>
  <c r="A425" i="16"/>
  <c r="A427" i="16" s="1"/>
  <c r="A429" i="16" s="1"/>
  <c r="A431" i="16" s="1"/>
  <c r="A433" i="16" s="1"/>
  <c r="A434" i="16" s="1"/>
  <c r="A426" i="16"/>
  <c r="A428" i="16" s="1"/>
  <c r="J419" i="16"/>
  <c r="J427" i="16"/>
  <c r="J422" i="16"/>
  <c r="J434" i="16"/>
  <c r="J423" i="16"/>
  <c r="I397" i="16"/>
  <c r="J397" i="16" s="1"/>
  <c r="I401" i="16"/>
  <c r="J401" i="16" s="1"/>
  <c r="I405" i="16"/>
  <c r="J405" i="16" s="1"/>
  <c r="I394" i="16"/>
  <c r="F408" i="16"/>
  <c r="I433" i="16"/>
  <c r="J433" i="16" s="1"/>
  <c r="I399" i="16"/>
  <c r="J399" i="16" s="1"/>
  <c r="G410" i="16" l="1"/>
  <c r="K434" i="16"/>
  <c r="K467" i="16"/>
  <c r="K426" i="16"/>
  <c r="K466" i="16"/>
  <c r="K425" i="16"/>
  <c r="K474" i="16"/>
  <c r="I471" i="16"/>
  <c r="I480" i="16" s="1"/>
  <c r="K478" i="16"/>
  <c r="K469" i="16"/>
  <c r="K479" i="16"/>
  <c r="K470" i="16"/>
  <c r="K420" i="16"/>
  <c r="K431" i="16"/>
  <c r="K473" i="16"/>
  <c r="K476" i="16"/>
  <c r="K424" i="16"/>
  <c r="K428" i="16"/>
  <c r="K465" i="16"/>
  <c r="I450" i="16"/>
  <c r="J450" i="16" s="1"/>
  <c r="K472" i="16"/>
  <c r="K468" i="16"/>
  <c r="G456" i="16"/>
  <c r="E454" i="16"/>
  <c r="C457" i="16" s="1"/>
  <c r="D457" i="16" s="1"/>
  <c r="K422" i="16"/>
  <c r="K427" i="16"/>
  <c r="K433" i="16"/>
  <c r="K423" i="16"/>
  <c r="I435" i="16"/>
  <c r="I408" i="16"/>
  <c r="J394" i="16"/>
  <c r="K419" i="16"/>
  <c r="J435" i="16"/>
  <c r="I454" i="16" l="1"/>
  <c r="J454" i="16" s="1"/>
  <c r="J471" i="16"/>
  <c r="J480" i="16" s="1"/>
  <c r="K435" i="16"/>
  <c r="E411" i="16"/>
  <c r="J408" i="16"/>
  <c r="I409" i="16"/>
  <c r="J409" i="16"/>
  <c r="K480" i="16" l="1"/>
  <c r="I455" i="16"/>
  <c r="J455" i="16"/>
  <c r="E457" i="16"/>
  <c r="K471" i="16"/>
  <c r="G13" i="153"/>
  <c r="G14" i="153" s="1"/>
  <c r="G15" i="153" s="1"/>
  <c r="G16" i="153" s="1"/>
  <c r="G17" i="153" s="1"/>
  <c r="G18" i="153" s="1"/>
  <c r="G19" i="153" s="1"/>
  <c r="G20" i="153" s="1"/>
  <c r="G21" i="153" s="1"/>
  <c r="G22" i="153" s="1"/>
  <c r="G23" i="153" s="1"/>
  <c r="C388" i="16" l="1"/>
  <c r="I388" i="16"/>
  <c r="J388" i="16" l="1"/>
  <c r="K388" i="16" s="1"/>
  <c r="C6" i="153" l="1"/>
  <c r="C5" i="153"/>
  <c r="C7" i="153" l="1"/>
  <c r="D7" i="153" l="1"/>
  <c r="E6" i="153"/>
  <c r="N498" i="16"/>
  <c r="M498" i="16"/>
  <c r="C523" i="16" l="1"/>
  <c r="C522" i="16"/>
  <c r="C520" i="16"/>
  <c r="C518" i="16"/>
  <c r="C517" i="16"/>
  <c r="C516" i="16"/>
  <c r="C515" i="16"/>
  <c r="C514" i="16"/>
  <c r="C513" i="16"/>
  <c r="C512" i="16"/>
  <c r="C511" i="16"/>
  <c r="C510" i="16"/>
  <c r="A510" i="16"/>
  <c r="A511" i="16" s="1"/>
  <c r="A512" i="16" s="1"/>
  <c r="A513" i="16" s="1"/>
  <c r="A514" i="16" s="1"/>
  <c r="C509" i="16"/>
  <c r="O498" i="16"/>
  <c r="L498" i="16"/>
  <c r="H498" i="16"/>
  <c r="C498" i="16"/>
  <c r="A501" i="16" s="1"/>
  <c r="G497" i="16"/>
  <c r="F497" i="16"/>
  <c r="H518" i="16" s="1"/>
  <c r="E497" i="16"/>
  <c r="I518" i="16" s="1"/>
  <c r="D497" i="16"/>
  <c r="E518" i="16" s="1"/>
  <c r="A497" i="16"/>
  <c r="G496" i="16"/>
  <c r="F496" i="16"/>
  <c r="H517" i="16" s="1"/>
  <c r="E496" i="16"/>
  <c r="I517" i="16" s="1"/>
  <c r="D496" i="16"/>
  <c r="E517" i="16" s="1"/>
  <c r="A496" i="16"/>
  <c r="G495" i="16"/>
  <c r="F495" i="16"/>
  <c r="H516" i="16" s="1"/>
  <c r="E495" i="16"/>
  <c r="I516" i="16" s="1"/>
  <c r="D495" i="16"/>
  <c r="E516" i="16" s="1"/>
  <c r="A495" i="16"/>
  <c r="G494" i="16"/>
  <c r="F494" i="16"/>
  <c r="H515" i="16" s="1"/>
  <c r="E494" i="16"/>
  <c r="I515" i="16" s="1"/>
  <c r="D494" i="16"/>
  <c r="E515" i="16" s="1"/>
  <c r="A494" i="16"/>
  <c r="G493" i="16"/>
  <c r="F493" i="16"/>
  <c r="H514" i="16" s="1"/>
  <c r="E493" i="16"/>
  <c r="I514" i="16" s="1"/>
  <c r="D493" i="16"/>
  <c r="E514" i="16" s="1"/>
  <c r="A493" i="16"/>
  <c r="G492" i="16"/>
  <c r="F492" i="16"/>
  <c r="H513" i="16" s="1"/>
  <c r="E492" i="16"/>
  <c r="I513" i="16" s="1"/>
  <c r="D492" i="16"/>
  <c r="E513" i="16" s="1"/>
  <c r="A492" i="16"/>
  <c r="G491" i="16"/>
  <c r="F491" i="16"/>
  <c r="H512" i="16" s="1"/>
  <c r="E491" i="16"/>
  <c r="I512" i="16" s="1"/>
  <c r="D491" i="16"/>
  <c r="E512" i="16" s="1"/>
  <c r="A491" i="16"/>
  <c r="G490" i="16"/>
  <c r="F490" i="16"/>
  <c r="H511" i="16" s="1"/>
  <c r="E490" i="16"/>
  <c r="I511" i="16" s="1"/>
  <c r="D490" i="16"/>
  <c r="E511" i="16" s="1"/>
  <c r="A490" i="16"/>
  <c r="G489" i="16"/>
  <c r="F489" i="16"/>
  <c r="H510" i="16" s="1"/>
  <c r="E489" i="16"/>
  <c r="I510" i="16" s="1"/>
  <c r="D489" i="16"/>
  <c r="E510" i="16" s="1"/>
  <c r="A489" i="16"/>
  <c r="G488" i="16"/>
  <c r="F488" i="16"/>
  <c r="H509" i="16" s="1"/>
  <c r="E488" i="16"/>
  <c r="I509" i="16" s="1"/>
  <c r="D488" i="16"/>
  <c r="E509" i="16" s="1"/>
  <c r="A488" i="16"/>
  <c r="G487" i="16"/>
  <c r="F487" i="16"/>
  <c r="H520" i="16" s="1"/>
  <c r="E487" i="16"/>
  <c r="I520" i="16" s="1"/>
  <c r="D487" i="16"/>
  <c r="E520" i="16" s="1"/>
  <c r="A487" i="16"/>
  <c r="G486" i="16"/>
  <c r="D523" i="16" s="1"/>
  <c r="F486" i="16"/>
  <c r="H523" i="16" s="1"/>
  <c r="E486" i="16"/>
  <c r="I523" i="16" s="1"/>
  <c r="D486" i="16"/>
  <c r="A486" i="16"/>
  <c r="G485" i="16"/>
  <c r="D522" i="16" s="1"/>
  <c r="F485" i="16"/>
  <c r="H522" i="16" s="1"/>
  <c r="E485" i="16"/>
  <c r="I522" i="16" s="1"/>
  <c r="D485" i="16"/>
  <c r="A485" i="16"/>
  <c r="E528" i="16"/>
  <c r="D536" i="16"/>
  <c r="D537" i="16"/>
  <c r="D538" i="16"/>
  <c r="D539" i="16"/>
  <c r="D540" i="16"/>
  <c r="D541" i="16"/>
  <c r="D529" i="16"/>
  <c r="D530" i="16"/>
  <c r="D531" i="16"/>
  <c r="D532" i="16"/>
  <c r="D528" i="16"/>
  <c r="L542" i="16"/>
  <c r="I486" i="16" l="1"/>
  <c r="J486" i="16" s="1"/>
  <c r="C524" i="16"/>
  <c r="D498" i="16"/>
  <c r="J523" i="16"/>
  <c r="J511" i="16"/>
  <c r="J515" i="16"/>
  <c r="J510" i="16"/>
  <c r="J514" i="16"/>
  <c r="J518" i="16"/>
  <c r="A515" i="16"/>
  <c r="A517" i="16" s="1"/>
  <c r="A516" i="16"/>
  <c r="A518" i="16" s="1"/>
  <c r="A520" i="16" s="1"/>
  <c r="J522" i="16"/>
  <c r="J509" i="16"/>
  <c r="J517" i="16"/>
  <c r="J513" i="16"/>
  <c r="J520" i="16"/>
  <c r="I524" i="16"/>
  <c r="J512" i="16"/>
  <c r="J516" i="16"/>
  <c r="I485" i="16"/>
  <c r="I489" i="16"/>
  <c r="J489" i="16" s="1"/>
  <c r="I493" i="16"/>
  <c r="J493" i="16" s="1"/>
  <c r="I497" i="16"/>
  <c r="J497" i="16" s="1"/>
  <c r="F498" i="16"/>
  <c r="I490" i="16"/>
  <c r="J490" i="16" s="1"/>
  <c r="I494" i="16"/>
  <c r="J494" i="16" s="1"/>
  <c r="E498" i="16"/>
  <c r="C501" i="16" s="1"/>
  <c r="I487" i="16"/>
  <c r="J487" i="16" s="1"/>
  <c r="I491" i="16"/>
  <c r="J491" i="16" s="1"/>
  <c r="I495" i="16"/>
  <c r="J495" i="16" s="1"/>
  <c r="I488" i="16"/>
  <c r="J488" i="16" s="1"/>
  <c r="I492" i="16"/>
  <c r="J492" i="16" s="1"/>
  <c r="I496" i="16"/>
  <c r="J496" i="16" s="1"/>
  <c r="G498" i="16"/>
  <c r="B501" i="16" s="1"/>
  <c r="A522" i="16" l="1"/>
  <c r="A523" i="16" s="1"/>
  <c r="K523" i="16"/>
  <c r="D501" i="16"/>
  <c r="G500" i="16"/>
  <c r="K520" i="16"/>
  <c r="K510" i="16"/>
  <c r="K518" i="16"/>
  <c r="J485" i="16"/>
  <c r="I498" i="16"/>
  <c r="K509" i="16"/>
  <c r="J524" i="16"/>
  <c r="K514" i="16"/>
  <c r="K512" i="16"/>
  <c r="K513" i="16"/>
  <c r="K517" i="16"/>
  <c r="K511" i="16"/>
  <c r="K516" i="16"/>
  <c r="K515" i="16"/>
  <c r="K522" i="16"/>
  <c r="K524" i="16" l="1"/>
  <c r="I499" i="16"/>
  <c r="E501" i="16"/>
  <c r="J498" i="16"/>
  <c r="C568" i="16" l="1"/>
  <c r="C567" i="16"/>
  <c r="C565" i="16"/>
  <c r="C563" i="16"/>
  <c r="C562" i="16"/>
  <c r="C561" i="16"/>
  <c r="C560" i="16"/>
  <c r="C559" i="16"/>
  <c r="C558" i="16"/>
  <c r="C557" i="16"/>
  <c r="C556" i="16"/>
  <c r="C555" i="16"/>
  <c r="C554" i="16"/>
  <c r="A554" i="16"/>
  <c r="A555" i="16" s="1"/>
  <c r="A556" i="16" s="1"/>
  <c r="A557" i="16" s="1"/>
  <c r="A558" i="16" s="1"/>
  <c r="C553" i="16"/>
  <c r="O542" i="16"/>
  <c r="N542" i="16"/>
  <c r="M542" i="16"/>
  <c r="H542" i="16"/>
  <c r="C542" i="16"/>
  <c r="A545" i="16" s="1"/>
  <c r="G541" i="16"/>
  <c r="F541" i="16"/>
  <c r="H563" i="16" s="1"/>
  <c r="E541" i="16"/>
  <c r="I563" i="16" s="1"/>
  <c r="E563" i="16"/>
  <c r="A541" i="16"/>
  <c r="G540" i="16"/>
  <c r="F540" i="16"/>
  <c r="H562" i="16" s="1"/>
  <c r="E540" i="16"/>
  <c r="I562" i="16" s="1"/>
  <c r="E562" i="16"/>
  <c r="A540" i="16"/>
  <c r="G539" i="16"/>
  <c r="F539" i="16"/>
  <c r="H561" i="16" s="1"/>
  <c r="E539" i="16"/>
  <c r="I561" i="16" s="1"/>
  <c r="E561" i="16"/>
  <c r="A539" i="16"/>
  <c r="G538" i="16"/>
  <c r="F538" i="16"/>
  <c r="H560" i="16" s="1"/>
  <c r="E538" i="16"/>
  <c r="I560" i="16" s="1"/>
  <c r="E560" i="16"/>
  <c r="A538" i="16"/>
  <c r="G537" i="16"/>
  <c r="F537" i="16"/>
  <c r="H559" i="16" s="1"/>
  <c r="E537" i="16"/>
  <c r="I559" i="16" s="1"/>
  <c r="E559" i="16"/>
  <c r="A537" i="16"/>
  <c r="G536" i="16"/>
  <c r="F536" i="16"/>
  <c r="H558" i="16" s="1"/>
  <c r="E536" i="16"/>
  <c r="I558" i="16" s="1"/>
  <c r="E558" i="16"/>
  <c r="A536" i="16"/>
  <c r="G535" i="16"/>
  <c r="F535" i="16"/>
  <c r="H557" i="16" s="1"/>
  <c r="E535" i="16"/>
  <c r="I557" i="16" s="1"/>
  <c r="D535" i="16"/>
  <c r="E557" i="16" s="1"/>
  <c r="A535" i="16"/>
  <c r="G534" i="16"/>
  <c r="F534" i="16"/>
  <c r="H556" i="16" s="1"/>
  <c r="E534" i="16"/>
  <c r="I556" i="16" s="1"/>
  <c r="D534" i="16"/>
  <c r="E556" i="16" s="1"/>
  <c r="A534" i="16"/>
  <c r="G533" i="16"/>
  <c r="F533" i="16"/>
  <c r="H555" i="16" s="1"/>
  <c r="E533" i="16"/>
  <c r="I555" i="16" s="1"/>
  <c r="D533" i="16"/>
  <c r="E555" i="16" s="1"/>
  <c r="A533" i="16"/>
  <c r="G532" i="16"/>
  <c r="F532" i="16"/>
  <c r="H554" i="16" s="1"/>
  <c r="E532" i="16"/>
  <c r="I554" i="16" s="1"/>
  <c r="E554" i="16"/>
  <c r="A532" i="16"/>
  <c r="G531" i="16"/>
  <c r="F531" i="16"/>
  <c r="H553" i="16" s="1"/>
  <c r="E531" i="16"/>
  <c r="I553" i="16" s="1"/>
  <c r="E553" i="16"/>
  <c r="A531" i="16"/>
  <c r="G530" i="16"/>
  <c r="F530" i="16"/>
  <c r="H565" i="16" s="1"/>
  <c r="E530" i="16"/>
  <c r="I565" i="16" s="1"/>
  <c r="E565" i="16"/>
  <c r="A530" i="16"/>
  <c r="G529" i="16"/>
  <c r="D568" i="16" s="1"/>
  <c r="F529" i="16"/>
  <c r="H568" i="16" s="1"/>
  <c r="E529" i="16"/>
  <c r="I568" i="16" s="1"/>
  <c r="A529" i="16"/>
  <c r="G528" i="16"/>
  <c r="D567" i="16" s="1"/>
  <c r="F528" i="16"/>
  <c r="H567" i="16" s="1"/>
  <c r="I567" i="16"/>
  <c r="A528" i="16"/>
  <c r="J555" i="16" l="1"/>
  <c r="J559" i="16"/>
  <c r="D542" i="16"/>
  <c r="J565" i="16"/>
  <c r="I569" i="16"/>
  <c r="J556" i="16"/>
  <c r="J560" i="16"/>
  <c r="C569" i="16"/>
  <c r="I529" i="16"/>
  <c r="J529" i="16" s="1"/>
  <c r="A559" i="16"/>
  <c r="A561" i="16" s="1"/>
  <c r="A563" i="16" s="1"/>
  <c r="A565" i="16" s="1"/>
  <c r="A567" i="16" s="1"/>
  <c r="A568" i="16" s="1"/>
  <c r="A560" i="16"/>
  <c r="A562" i="16" s="1"/>
  <c r="J568" i="16"/>
  <c r="J567" i="16"/>
  <c r="J554" i="16"/>
  <c r="J558" i="16"/>
  <c r="J562" i="16"/>
  <c r="J553" i="16"/>
  <c r="J557" i="16"/>
  <c r="J561" i="16"/>
  <c r="J563" i="16"/>
  <c r="I531" i="16"/>
  <c r="J531" i="16" s="1"/>
  <c r="I535" i="16"/>
  <c r="J535" i="16" s="1"/>
  <c r="I528" i="16"/>
  <c r="I532" i="16"/>
  <c r="J532" i="16" s="1"/>
  <c r="I536" i="16"/>
  <c r="J536" i="16" s="1"/>
  <c r="I540" i="16"/>
  <c r="J540" i="16" s="1"/>
  <c r="F542" i="16"/>
  <c r="G544" i="16" s="1"/>
  <c r="I533" i="16"/>
  <c r="J533" i="16" s="1"/>
  <c r="I537" i="16"/>
  <c r="J537" i="16" s="1"/>
  <c r="I541" i="16"/>
  <c r="J541" i="16" s="1"/>
  <c r="E542" i="16"/>
  <c r="C545" i="16" s="1"/>
  <c r="I530" i="16"/>
  <c r="J530" i="16" s="1"/>
  <c r="I534" i="16"/>
  <c r="J534" i="16" s="1"/>
  <c r="I538" i="16"/>
  <c r="J538" i="16" s="1"/>
  <c r="I539" i="16"/>
  <c r="J539" i="16" s="1"/>
  <c r="G542" i="16"/>
  <c r="B545" i="16" s="1"/>
  <c r="K568" i="16" l="1"/>
  <c r="K556" i="16"/>
  <c r="D545" i="16"/>
  <c r="K563" i="16"/>
  <c r="K562" i="16"/>
  <c r="K559" i="16"/>
  <c r="K553" i="16"/>
  <c r="J569" i="16"/>
  <c r="K567" i="16"/>
  <c r="K560" i="16"/>
  <c r="K557" i="16"/>
  <c r="K554" i="16"/>
  <c r="I542" i="16"/>
  <c r="J528" i="16"/>
  <c r="K561" i="16"/>
  <c r="K558" i="16"/>
  <c r="K555" i="16"/>
  <c r="K565" i="16"/>
  <c r="K569" i="16" l="1"/>
  <c r="I543" i="16"/>
  <c r="E545" i="16"/>
  <c r="J542" i="16"/>
  <c r="C614" i="16" l="1"/>
  <c r="C613" i="16"/>
  <c r="C611" i="16"/>
  <c r="C609" i="16"/>
  <c r="C608" i="16"/>
  <c r="C607" i="16"/>
  <c r="C606" i="16"/>
  <c r="C605" i="16"/>
  <c r="C604" i="16"/>
  <c r="C603" i="16"/>
  <c r="C602" i="16"/>
  <c r="C601" i="16"/>
  <c r="C600" i="16"/>
  <c r="A600" i="16"/>
  <c r="C599" i="16"/>
  <c r="O588" i="16"/>
  <c r="N588" i="16"/>
  <c r="M588" i="16"/>
  <c r="L588" i="16"/>
  <c r="H588" i="16"/>
  <c r="C588" i="16"/>
  <c r="A591" i="16" s="1"/>
  <c r="G587" i="16"/>
  <c r="F587" i="16"/>
  <c r="H609" i="16" s="1"/>
  <c r="E587" i="16"/>
  <c r="I609" i="16" s="1"/>
  <c r="D587" i="16"/>
  <c r="A587" i="16"/>
  <c r="G586" i="16"/>
  <c r="F586" i="16"/>
  <c r="H608" i="16" s="1"/>
  <c r="E586" i="16"/>
  <c r="I608" i="16" s="1"/>
  <c r="D586" i="16"/>
  <c r="A586" i="16"/>
  <c r="G585" i="16"/>
  <c r="F585" i="16"/>
  <c r="H607" i="16" s="1"/>
  <c r="E585" i="16"/>
  <c r="I607" i="16" s="1"/>
  <c r="D585" i="16"/>
  <c r="E607" i="16" s="1"/>
  <c r="A585" i="16"/>
  <c r="G584" i="16"/>
  <c r="F584" i="16"/>
  <c r="H606" i="16" s="1"/>
  <c r="E584" i="16"/>
  <c r="I606" i="16" s="1"/>
  <c r="D584" i="16"/>
  <c r="A584" i="16"/>
  <c r="G583" i="16"/>
  <c r="F583" i="16"/>
  <c r="H605" i="16" s="1"/>
  <c r="E583" i="16"/>
  <c r="I605" i="16" s="1"/>
  <c r="D583" i="16"/>
  <c r="A583" i="16"/>
  <c r="G582" i="16"/>
  <c r="F582" i="16"/>
  <c r="H604" i="16" s="1"/>
  <c r="E582" i="16"/>
  <c r="I604" i="16" s="1"/>
  <c r="D582" i="16"/>
  <c r="E604" i="16" s="1"/>
  <c r="A582" i="16"/>
  <c r="G581" i="16"/>
  <c r="F581" i="16"/>
  <c r="H603" i="16" s="1"/>
  <c r="E581" i="16"/>
  <c r="I603" i="16" s="1"/>
  <c r="D581" i="16"/>
  <c r="E603" i="16" s="1"/>
  <c r="A581" i="16"/>
  <c r="G580" i="16"/>
  <c r="F580" i="16"/>
  <c r="H602" i="16" s="1"/>
  <c r="E580" i="16"/>
  <c r="I602" i="16" s="1"/>
  <c r="D580" i="16"/>
  <c r="A580" i="16"/>
  <c r="G579" i="16"/>
  <c r="F579" i="16"/>
  <c r="H601" i="16" s="1"/>
  <c r="E579" i="16"/>
  <c r="I601" i="16" s="1"/>
  <c r="D579" i="16"/>
  <c r="A579" i="16"/>
  <c r="G578" i="16"/>
  <c r="F578" i="16"/>
  <c r="H600" i="16" s="1"/>
  <c r="E578" i="16"/>
  <c r="I600" i="16" s="1"/>
  <c r="D578" i="16"/>
  <c r="E600" i="16" s="1"/>
  <c r="A578" i="16"/>
  <c r="G577" i="16"/>
  <c r="F577" i="16"/>
  <c r="H599" i="16" s="1"/>
  <c r="E577" i="16"/>
  <c r="I599" i="16" s="1"/>
  <c r="D577" i="16"/>
  <c r="A577" i="16"/>
  <c r="G576" i="16"/>
  <c r="F576" i="16"/>
  <c r="H611" i="16" s="1"/>
  <c r="E576" i="16"/>
  <c r="I611" i="16" s="1"/>
  <c r="D576" i="16"/>
  <c r="E611" i="16" s="1"/>
  <c r="A576" i="16"/>
  <c r="G575" i="16"/>
  <c r="D614" i="16" s="1"/>
  <c r="F575" i="16"/>
  <c r="H614" i="16" s="1"/>
  <c r="E575" i="16"/>
  <c r="I614" i="16" s="1"/>
  <c r="D575" i="16"/>
  <c r="A575" i="16"/>
  <c r="G574" i="16"/>
  <c r="D613" i="16" s="1"/>
  <c r="F574" i="16"/>
  <c r="H613" i="16" s="1"/>
  <c r="E574" i="16"/>
  <c r="I613" i="16" s="1"/>
  <c r="D574" i="16"/>
  <c r="A574" i="16"/>
  <c r="A601" i="16" l="1"/>
  <c r="A602" i="16" s="1"/>
  <c r="A603" i="16" s="1"/>
  <c r="A604" i="16" s="1"/>
  <c r="I574" i="16"/>
  <c r="J574" i="16" s="1"/>
  <c r="I580" i="16"/>
  <c r="J580" i="16" s="1"/>
  <c r="I584" i="16"/>
  <c r="J584" i="16" s="1"/>
  <c r="C615" i="16"/>
  <c r="I587" i="16"/>
  <c r="J587" i="16" s="1"/>
  <c r="I577" i="16"/>
  <c r="J577" i="16" s="1"/>
  <c r="I579" i="16"/>
  <c r="J579" i="16" s="1"/>
  <c r="J604" i="16"/>
  <c r="I583" i="16"/>
  <c r="J583" i="16" s="1"/>
  <c r="I586" i="16"/>
  <c r="J586" i="16" s="1"/>
  <c r="E599" i="16"/>
  <c r="J599" i="16" s="1"/>
  <c r="E601" i="16"/>
  <c r="J601" i="16" s="1"/>
  <c r="E609" i="16"/>
  <c r="J609" i="16" s="1"/>
  <c r="J614" i="16"/>
  <c r="E606" i="16"/>
  <c r="J606" i="16" s="1"/>
  <c r="K606" i="16" s="1"/>
  <c r="E588" i="16"/>
  <c r="C591" i="16" s="1"/>
  <c r="I575" i="16"/>
  <c r="J575" i="16" s="1"/>
  <c r="E602" i="16"/>
  <c r="J602" i="16" s="1"/>
  <c r="E608" i="16"/>
  <c r="J608" i="16" s="1"/>
  <c r="I578" i="16"/>
  <c r="J578" i="16" s="1"/>
  <c r="E605" i="16"/>
  <c r="J605" i="16" s="1"/>
  <c r="J603" i="16"/>
  <c r="J613" i="16"/>
  <c r="J600" i="16"/>
  <c r="J611" i="16"/>
  <c r="I615" i="16"/>
  <c r="J607" i="16"/>
  <c r="I585" i="16"/>
  <c r="J585" i="16" s="1"/>
  <c r="D588" i="16"/>
  <c r="I581" i="16"/>
  <c r="J581" i="16" s="1"/>
  <c r="I582" i="16"/>
  <c r="J582" i="16" s="1"/>
  <c r="G588" i="16"/>
  <c r="B591" i="16" s="1"/>
  <c r="I576" i="16"/>
  <c r="J576" i="16" s="1"/>
  <c r="F588" i="16"/>
  <c r="C657" i="16"/>
  <c r="C658" i="16"/>
  <c r="C635" i="16"/>
  <c r="A638" i="16" s="1"/>
  <c r="H635" i="16"/>
  <c r="A606" i="16" l="1"/>
  <c r="A608" i="16" s="1"/>
  <c r="A605" i="16"/>
  <c r="A607" i="16" s="1"/>
  <c r="A609" i="16" s="1"/>
  <c r="A611" i="16" s="1"/>
  <c r="A613" i="16" s="1"/>
  <c r="A614" i="16" s="1"/>
  <c r="K609" i="16"/>
  <c r="K613" i="16"/>
  <c r="K608" i="16"/>
  <c r="K605" i="16"/>
  <c r="K601" i="16"/>
  <c r="K600" i="16"/>
  <c r="D591" i="16"/>
  <c r="K599" i="16"/>
  <c r="K602" i="16"/>
  <c r="K611" i="16"/>
  <c r="K614" i="16"/>
  <c r="K607" i="16"/>
  <c r="K604" i="16"/>
  <c r="I588" i="16"/>
  <c r="J615" i="16"/>
  <c r="G590" i="16"/>
  <c r="K603" i="16"/>
  <c r="N635" i="16"/>
  <c r="M635" i="16"/>
  <c r="L635" i="16"/>
  <c r="G634" i="16"/>
  <c r="F634" i="16"/>
  <c r="H658" i="16" s="1"/>
  <c r="E634" i="16"/>
  <c r="I658" i="16" s="1"/>
  <c r="D634" i="16"/>
  <c r="A634" i="16"/>
  <c r="E658" i="16" l="1"/>
  <c r="J658" i="16" s="1"/>
  <c r="I634" i="16"/>
  <c r="J634" i="16" s="1"/>
  <c r="K615" i="16"/>
  <c r="E591" i="16"/>
  <c r="J588" i="16"/>
  <c r="I589" i="16"/>
  <c r="K658" i="16" l="1"/>
  <c r="C663" i="16"/>
  <c r="C662" i="16"/>
  <c r="C660" i="16"/>
  <c r="C656" i="16"/>
  <c r="C655" i="16"/>
  <c r="C654" i="16"/>
  <c r="C653" i="16"/>
  <c r="C652" i="16"/>
  <c r="C651" i="16"/>
  <c r="C650" i="16"/>
  <c r="C649" i="16"/>
  <c r="C648" i="16"/>
  <c r="C647" i="16"/>
  <c r="A647" i="16"/>
  <c r="A648" i="16" s="1"/>
  <c r="A649" i="16" s="1"/>
  <c r="A650" i="16" s="1"/>
  <c r="A651" i="16" s="1"/>
  <c r="A652" i="16" s="1"/>
  <c r="C646" i="16"/>
  <c r="O635" i="16"/>
  <c r="G633" i="16"/>
  <c r="F633" i="16"/>
  <c r="H657" i="16" s="1"/>
  <c r="E633" i="16"/>
  <c r="I657" i="16" s="1"/>
  <c r="D633" i="16"/>
  <c r="A633" i="16"/>
  <c r="G632" i="16"/>
  <c r="F632" i="16"/>
  <c r="E632" i="16"/>
  <c r="D632" i="16"/>
  <c r="A632" i="16"/>
  <c r="G631" i="16"/>
  <c r="F631" i="16"/>
  <c r="H655" i="16" s="1"/>
  <c r="E631" i="16"/>
  <c r="I655" i="16" s="1"/>
  <c r="D631" i="16"/>
  <c r="E655" i="16" s="1"/>
  <c r="A631" i="16"/>
  <c r="G630" i="16"/>
  <c r="F630" i="16"/>
  <c r="H654" i="16" s="1"/>
  <c r="E630" i="16"/>
  <c r="I654" i="16" s="1"/>
  <c r="D630" i="16"/>
  <c r="E654" i="16" s="1"/>
  <c r="A630" i="16"/>
  <c r="G629" i="16"/>
  <c r="F629" i="16"/>
  <c r="H653" i="16" s="1"/>
  <c r="E629" i="16"/>
  <c r="I653" i="16" s="1"/>
  <c r="D629" i="16"/>
  <c r="E653" i="16" s="1"/>
  <c r="A629" i="16"/>
  <c r="G628" i="16"/>
  <c r="F628" i="16"/>
  <c r="H652" i="16" s="1"/>
  <c r="E628" i="16"/>
  <c r="I652" i="16" s="1"/>
  <c r="D628" i="16"/>
  <c r="E652" i="16" s="1"/>
  <c r="A628" i="16"/>
  <c r="G627" i="16"/>
  <c r="F627" i="16"/>
  <c r="H651" i="16" s="1"/>
  <c r="E627" i="16"/>
  <c r="I651" i="16" s="1"/>
  <c r="D627" i="16"/>
  <c r="E651" i="16" s="1"/>
  <c r="A627" i="16"/>
  <c r="G626" i="16"/>
  <c r="F626" i="16"/>
  <c r="H650" i="16" s="1"/>
  <c r="E626" i="16"/>
  <c r="I650" i="16" s="1"/>
  <c r="D626" i="16"/>
  <c r="E650" i="16" s="1"/>
  <c r="A626" i="16"/>
  <c r="G625" i="16"/>
  <c r="F625" i="16"/>
  <c r="H649" i="16" s="1"/>
  <c r="E625" i="16"/>
  <c r="I649" i="16" s="1"/>
  <c r="D625" i="16"/>
  <c r="E649" i="16" s="1"/>
  <c r="A625" i="16"/>
  <c r="G624" i="16"/>
  <c r="F624" i="16"/>
  <c r="H648" i="16" s="1"/>
  <c r="E624" i="16"/>
  <c r="I648" i="16" s="1"/>
  <c r="D624" i="16"/>
  <c r="A624" i="16"/>
  <c r="G623" i="16"/>
  <c r="F623" i="16"/>
  <c r="H647" i="16" s="1"/>
  <c r="E623" i="16"/>
  <c r="I647" i="16" s="1"/>
  <c r="D623" i="16"/>
  <c r="E647" i="16" s="1"/>
  <c r="A623" i="16"/>
  <c r="G622" i="16"/>
  <c r="F622" i="16"/>
  <c r="H646" i="16" s="1"/>
  <c r="E622" i="16"/>
  <c r="D622" i="16"/>
  <c r="E646" i="16" s="1"/>
  <c r="A622" i="16"/>
  <c r="G621" i="16"/>
  <c r="F621" i="16"/>
  <c r="H660" i="16" s="1"/>
  <c r="E621" i="16"/>
  <c r="I660" i="16" s="1"/>
  <c r="D621" i="16"/>
  <c r="E660" i="16" s="1"/>
  <c r="A621" i="16"/>
  <c r="G620" i="16"/>
  <c r="D663" i="16" s="1"/>
  <c r="F620" i="16"/>
  <c r="H663" i="16" s="1"/>
  <c r="E620" i="16"/>
  <c r="I663" i="16" s="1"/>
  <c r="D620" i="16"/>
  <c r="A620" i="16"/>
  <c r="G619" i="16"/>
  <c r="F619" i="16"/>
  <c r="E619" i="16"/>
  <c r="I662" i="16" s="1"/>
  <c r="D619" i="16"/>
  <c r="A619" i="16"/>
  <c r="A668" i="16"/>
  <c r="D668" i="16"/>
  <c r="E668" i="16"/>
  <c r="F668" i="16"/>
  <c r="G668" i="16"/>
  <c r="A669" i="16"/>
  <c r="D669" i="16"/>
  <c r="E669" i="16"/>
  <c r="F669" i="16"/>
  <c r="G669" i="16"/>
  <c r="A670" i="16"/>
  <c r="D670" i="16"/>
  <c r="E670" i="16"/>
  <c r="F670" i="16"/>
  <c r="G670" i="16"/>
  <c r="D635" i="16" l="1"/>
  <c r="C664" i="16"/>
  <c r="D662" i="16"/>
  <c r="G635" i="16"/>
  <c r="B638" i="16" s="1"/>
  <c r="J663" i="16"/>
  <c r="I633" i="16"/>
  <c r="J633" i="16" s="1"/>
  <c r="E657" i="16"/>
  <c r="J657" i="16" s="1"/>
  <c r="I669" i="16"/>
  <c r="J669" i="16" s="1"/>
  <c r="F635" i="16"/>
  <c r="I646" i="16"/>
  <c r="J646" i="16" s="1"/>
  <c r="E635" i="16"/>
  <c r="C638" i="16" s="1"/>
  <c r="I656" i="16"/>
  <c r="H656" i="16"/>
  <c r="J651" i="16"/>
  <c r="J647" i="16"/>
  <c r="J652" i="16"/>
  <c r="I670" i="16"/>
  <c r="J670" i="16" s="1"/>
  <c r="I668" i="16"/>
  <c r="J668" i="16" s="1"/>
  <c r="I620" i="16"/>
  <c r="J620" i="16" s="1"/>
  <c r="I624" i="16"/>
  <c r="J624" i="16" s="1"/>
  <c r="I628" i="16"/>
  <c r="J628" i="16" s="1"/>
  <c r="I632" i="16"/>
  <c r="J632" i="16" s="1"/>
  <c r="E648" i="16"/>
  <c r="J648" i="16" s="1"/>
  <c r="E656" i="16"/>
  <c r="I619" i="16"/>
  <c r="J619" i="16" s="1"/>
  <c r="A653" i="16"/>
  <c r="A655" i="16" s="1"/>
  <c r="A658" i="16" s="1"/>
  <c r="A660" i="16" s="1"/>
  <c r="A662" i="16" s="1"/>
  <c r="A663" i="16" s="1"/>
  <c r="A654" i="16"/>
  <c r="J655" i="16"/>
  <c r="J650" i="16"/>
  <c r="J654" i="16"/>
  <c r="J653" i="16"/>
  <c r="J649" i="16"/>
  <c r="J660" i="16"/>
  <c r="I621" i="16"/>
  <c r="J621" i="16" s="1"/>
  <c r="I625" i="16"/>
  <c r="J625" i="16" s="1"/>
  <c r="I629" i="16"/>
  <c r="J629" i="16" s="1"/>
  <c r="I622" i="16"/>
  <c r="I626" i="16"/>
  <c r="J626" i="16" s="1"/>
  <c r="I630" i="16"/>
  <c r="J630" i="16" s="1"/>
  <c r="I623" i="16"/>
  <c r="J623" i="16" s="1"/>
  <c r="I627" i="16"/>
  <c r="J627" i="16" s="1"/>
  <c r="I631" i="16"/>
  <c r="J631" i="16" s="1"/>
  <c r="H662" i="16"/>
  <c r="J662" i="16" s="1"/>
  <c r="K663" i="16" l="1"/>
  <c r="K657" i="16"/>
  <c r="I664" i="16"/>
  <c r="A656" i="16"/>
  <c r="A657" i="16"/>
  <c r="D638" i="16"/>
  <c r="J622" i="16"/>
  <c r="I635" i="16"/>
  <c r="J656" i="16"/>
  <c r="J664" i="16" s="1"/>
  <c r="G637" i="16"/>
  <c r="K662" i="16"/>
  <c r="K652" i="16"/>
  <c r="K650" i="16"/>
  <c r="K648" i="16"/>
  <c r="K655" i="16"/>
  <c r="K660" i="16"/>
  <c r="K649" i="16"/>
  <c r="K654" i="16"/>
  <c r="K653" i="16"/>
  <c r="K647" i="16"/>
  <c r="K646" i="16"/>
  <c r="K651" i="16"/>
  <c r="K656" i="16" l="1"/>
  <c r="I636" i="16"/>
  <c r="K664" i="16"/>
  <c r="J635" i="16"/>
  <c r="E638" i="16"/>
  <c r="C710" i="16" l="1"/>
  <c r="C709" i="16"/>
  <c r="C707" i="16"/>
  <c r="C705" i="16"/>
  <c r="C704" i="16"/>
  <c r="C703" i="16"/>
  <c r="C702" i="16"/>
  <c r="C701" i="16"/>
  <c r="C700" i="16"/>
  <c r="C699" i="16"/>
  <c r="C698" i="16"/>
  <c r="C697" i="16"/>
  <c r="C696" i="16"/>
  <c r="C695" i="16"/>
  <c r="A695" i="16"/>
  <c r="A696" i="16" s="1"/>
  <c r="A697" i="16" s="1"/>
  <c r="A698" i="16" s="1"/>
  <c r="A699" i="16" s="1"/>
  <c r="A700" i="16" s="1"/>
  <c r="C694" i="16"/>
  <c r="O683" i="16"/>
  <c r="N683" i="16"/>
  <c r="M683" i="16"/>
  <c r="L683" i="16"/>
  <c r="H683" i="16"/>
  <c r="C683" i="16"/>
  <c r="A686" i="16" s="1"/>
  <c r="G682" i="16"/>
  <c r="F682" i="16"/>
  <c r="H705" i="16" s="1"/>
  <c r="E682" i="16"/>
  <c r="I705" i="16" s="1"/>
  <c r="D682" i="16"/>
  <c r="A682" i="16"/>
  <c r="G681" i="16"/>
  <c r="F681" i="16"/>
  <c r="H704" i="16" s="1"/>
  <c r="E681" i="16"/>
  <c r="I704" i="16" s="1"/>
  <c r="D681" i="16"/>
  <c r="A681" i="16"/>
  <c r="G680" i="16"/>
  <c r="F680" i="16"/>
  <c r="H703" i="16" s="1"/>
  <c r="E680" i="16"/>
  <c r="I703" i="16" s="1"/>
  <c r="D680" i="16"/>
  <c r="E703" i="16" s="1"/>
  <c r="A680" i="16"/>
  <c r="G679" i="16"/>
  <c r="F679" i="16"/>
  <c r="H702" i="16" s="1"/>
  <c r="E679" i="16"/>
  <c r="I702" i="16" s="1"/>
  <c r="D679" i="16"/>
  <c r="E702" i="16" s="1"/>
  <c r="A679" i="16"/>
  <c r="G678" i="16"/>
  <c r="F678" i="16"/>
  <c r="H701" i="16" s="1"/>
  <c r="E678" i="16"/>
  <c r="I701" i="16" s="1"/>
  <c r="D678" i="16"/>
  <c r="A678" i="16"/>
  <c r="G677" i="16"/>
  <c r="F677" i="16"/>
  <c r="H700" i="16" s="1"/>
  <c r="E677" i="16"/>
  <c r="I700" i="16" s="1"/>
  <c r="D677" i="16"/>
  <c r="A677" i="16"/>
  <c r="G676" i="16"/>
  <c r="F676" i="16"/>
  <c r="H699" i="16" s="1"/>
  <c r="E676" i="16"/>
  <c r="I699" i="16" s="1"/>
  <c r="D676" i="16"/>
  <c r="E699" i="16" s="1"/>
  <c r="A676" i="16"/>
  <c r="G675" i="16"/>
  <c r="F675" i="16"/>
  <c r="H698" i="16" s="1"/>
  <c r="E675" i="16"/>
  <c r="I698" i="16" s="1"/>
  <c r="D675" i="16"/>
  <c r="E698" i="16" s="1"/>
  <c r="A675" i="16"/>
  <c r="G674" i="16"/>
  <c r="F674" i="16"/>
  <c r="H697" i="16" s="1"/>
  <c r="E674" i="16"/>
  <c r="I697" i="16" s="1"/>
  <c r="D674" i="16"/>
  <c r="A674" i="16"/>
  <c r="G673" i="16"/>
  <c r="F673" i="16"/>
  <c r="H696" i="16" s="1"/>
  <c r="E673" i="16"/>
  <c r="I696" i="16" s="1"/>
  <c r="D673" i="16"/>
  <c r="A673" i="16"/>
  <c r="G672" i="16"/>
  <c r="F672" i="16"/>
  <c r="H695" i="16" s="1"/>
  <c r="E672" i="16"/>
  <c r="I695" i="16" s="1"/>
  <c r="D672" i="16"/>
  <c r="E695" i="16" s="1"/>
  <c r="A672" i="16"/>
  <c r="G671" i="16"/>
  <c r="F671" i="16"/>
  <c r="H694" i="16" s="1"/>
  <c r="E671" i="16"/>
  <c r="I694" i="16" s="1"/>
  <c r="D671" i="16"/>
  <c r="A671" i="16"/>
  <c r="H707" i="16"/>
  <c r="I707" i="16"/>
  <c r="E707" i="16"/>
  <c r="D710" i="16"/>
  <c r="H710" i="16"/>
  <c r="I710" i="16"/>
  <c r="D709" i="16"/>
  <c r="I709" i="16"/>
  <c r="E705" i="16" l="1"/>
  <c r="J705" i="16" s="1"/>
  <c r="I682" i="16"/>
  <c r="C711" i="16"/>
  <c r="I671" i="16"/>
  <c r="J671" i="16" s="1"/>
  <c r="J695" i="16"/>
  <c r="I674" i="16"/>
  <c r="J674" i="16" s="1"/>
  <c r="J699" i="16"/>
  <c r="I678" i="16"/>
  <c r="J678" i="16" s="1"/>
  <c r="J703" i="16"/>
  <c r="J682" i="16"/>
  <c r="E697" i="16"/>
  <c r="J697" i="16" s="1"/>
  <c r="F683" i="16"/>
  <c r="I673" i="16"/>
  <c r="J673" i="16" s="1"/>
  <c r="I677" i="16"/>
  <c r="J677" i="16" s="1"/>
  <c r="I681" i="16"/>
  <c r="J681" i="16" s="1"/>
  <c r="E704" i="16"/>
  <c r="J704" i="16" s="1"/>
  <c r="E701" i="16"/>
  <c r="J701" i="16" s="1"/>
  <c r="J710" i="16"/>
  <c r="A701" i="16"/>
  <c r="A703" i="16" s="1"/>
  <c r="A705" i="16" s="1"/>
  <c r="A707" i="16" s="1"/>
  <c r="A709" i="16" s="1"/>
  <c r="A710" i="16" s="1"/>
  <c r="A702" i="16"/>
  <c r="A704" i="16" s="1"/>
  <c r="J702" i="16"/>
  <c r="J707" i="16"/>
  <c r="I711" i="16"/>
  <c r="J698" i="16"/>
  <c r="I679" i="16"/>
  <c r="J679" i="16" s="1"/>
  <c r="E683" i="16"/>
  <c r="C686" i="16" s="1"/>
  <c r="E696" i="16"/>
  <c r="J696" i="16" s="1"/>
  <c r="E700" i="16"/>
  <c r="J700" i="16" s="1"/>
  <c r="I675" i="16"/>
  <c r="J675" i="16" s="1"/>
  <c r="D683" i="16"/>
  <c r="I680" i="16"/>
  <c r="J680" i="16" s="1"/>
  <c r="G683" i="16"/>
  <c r="B686" i="16" s="1"/>
  <c r="E694" i="16"/>
  <c r="J694" i="16" s="1"/>
  <c r="H709" i="16"/>
  <c r="J709" i="16" s="1"/>
  <c r="I672" i="16"/>
  <c r="J672" i="16" s="1"/>
  <c r="I676" i="16"/>
  <c r="J676" i="16" s="1"/>
  <c r="C758" i="16"/>
  <c r="C757" i="16"/>
  <c r="C755" i="16"/>
  <c r="C748" i="16"/>
  <c r="C749" i="16"/>
  <c r="C750" i="16"/>
  <c r="C751" i="16"/>
  <c r="C747" i="16"/>
  <c r="C752" i="16"/>
  <c r="C753" i="16"/>
  <c r="C743" i="16"/>
  <c r="C744" i="16"/>
  <c r="C742" i="16"/>
  <c r="G717" i="16"/>
  <c r="D758" i="16" s="1"/>
  <c r="G718" i="16"/>
  <c r="G719" i="16"/>
  <c r="G720" i="16"/>
  <c r="F717" i="16"/>
  <c r="H758" i="16" s="1"/>
  <c r="F718" i="16"/>
  <c r="H755" i="16" s="1"/>
  <c r="F719" i="16"/>
  <c r="H742" i="16" s="1"/>
  <c r="F720" i="16"/>
  <c r="F721" i="16"/>
  <c r="F722" i="16"/>
  <c r="F723" i="16"/>
  <c r="F724" i="16"/>
  <c r="F725" i="16"/>
  <c r="F726" i="16"/>
  <c r="F727" i="16"/>
  <c r="F728" i="16"/>
  <c r="F729" i="16"/>
  <c r="H752" i="16" s="1"/>
  <c r="F730" i="16"/>
  <c r="F716" i="16"/>
  <c r="H757" i="16" s="1"/>
  <c r="E717" i="16"/>
  <c r="I758" i="16" s="1"/>
  <c r="E718" i="16"/>
  <c r="I755" i="16" s="1"/>
  <c r="E719" i="16"/>
  <c r="I742" i="16" s="1"/>
  <c r="E720" i="16"/>
  <c r="E721" i="16"/>
  <c r="E722" i="16"/>
  <c r="E723" i="16"/>
  <c r="E724" i="16"/>
  <c r="E725" i="16"/>
  <c r="E726" i="16"/>
  <c r="E727" i="16"/>
  <c r="E728" i="16"/>
  <c r="E729" i="16"/>
  <c r="I752" i="16" s="1"/>
  <c r="E730" i="16"/>
  <c r="E716" i="16"/>
  <c r="I757" i="16" s="1"/>
  <c r="D722" i="16"/>
  <c r="D723" i="16"/>
  <c r="D724" i="16"/>
  <c r="E747" i="16" s="1"/>
  <c r="D725" i="16"/>
  <c r="E748" i="16" s="1"/>
  <c r="D726" i="16"/>
  <c r="E749" i="16" s="1"/>
  <c r="D727" i="16"/>
  <c r="E750" i="16" s="1"/>
  <c r="D728" i="16"/>
  <c r="E751" i="16" s="1"/>
  <c r="D729" i="16"/>
  <c r="E752" i="16" s="1"/>
  <c r="D730" i="16"/>
  <c r="E753" i="16" s="1"/>
  <c r="D717" i="16"/>
  <c r="D718" i="16"/>
  <c r="E755" i="16" s="1"/>
  <c r="D719" i="16"/>
  <c r="E742" i="16" s="1"/>
  <c r="D720" i="16"/>
  <c r="E743" i="16" s="1"/>
  <c r="D721" i="16"/>
  <c r="E744" i="16" s="1"/>
  <c r="D716" i="16"/>
  <c r="A717" i="16"/>
  <c r="A718" i="16"/>
  <c r="A719" i="16"/>
  <c r="A720" i="16"/>
  <c r="A721" i="16"/>
  <c r="A722" i="16"/>
  <c r="A723" i="16"/>
  <c r="A724" i="16"/>
  <c r="A725" i="16"/>
  <c r="A726" i="16"/>
  <c r="A727" i="16"/>
  <c r="A728" i="16"/>
  <c r="A729" i="16"/>
  <c r="A730" i="16"/>
  <c r="A716" i="16"/>
  <c r="G729" i="16"/>
  <c r="K701" i="16" l="1"/>
  <c r="K705" i="16"/>
  <c r="K704" i="16"/>
  <c r="D686" i="16"/>
  <c r="K703" i="16"/>
  <c r="K709" i="16"/>
  <c r="G685" i="16"/>
  <c r="K700" i="16"/>
  <c r="K697" i="16"/>
  <c r="K696" i="16"/>
  <c r="K698" i="16"/>
  <c r="K710" i="16"/>
  <c r="K707" i="16"/>
  <c r="K694" i="16"/>
  <c r="J711" i="16"/>
  <c r="K702" i="16"/>
  <c r="K699" i="16"/>
  <c r="K695" i="16"/>
  <c r="I683" i="16"/>
  <c r="J752" i="16"/>
  <c r="I729" i="16"/>
  <c r="J729" i="16" s="1"/>
  <c r="J683" i="16" l="1"/>
  <c r="I684" i="16"/>
  <c r="E686" i="16"/>
  <c r="K711" i="16"/>
  <c r="K752" i="16"/>
  <c r="C746" i="16" l="1"/>
  <c r="C745" i="16"/>
  <c r="A743" i="16"/>
  <c r="A744" i="16" s="1"/>
  <c r="A745" i="16" s="1"/>
  <c r="A746" i="16" s="1"/>
  <c r="A747" i="16" s="1"/>
  <c r="A748" i="16" s="1"/>
  <c r="O731" i="16"/>
  <c r="N731" i="16"/>
  <c r="M731" i="16"/>
  <c r="L731" i="16"/>
  <c r="H731" i="16"/>
  <c r="C731" i="16"/>
  <c r="A734" i="16" s="1"/>
  <c r="G730" i="16"/>
  <c r="H753" i="16"/>
  <c r="I753" i="16"/>
  <c r="G728" i="16"/>
  <c r="H751" i="16"/>
  <c r="I751" i="16"/>
  <c r="G727" i="16"/>
  <c r="H750" i="16"/>
  <c r="I750" i="16"/>
  <c r="G726" i="16"/>
  <c r="H749" i="16"/>
  <c r="I749" i="16"/>
  <c r="G725" i="16"/>
  <c r="H748" i="16"/>
  <c r="I748" i="16"/>
  <c r="G724" i="16"/>
  <c r="H747" i="16"/>
  <c r="I747" i="16"/>
  <c r="G723" i="16"/>
  <c r="H746" i="16"/>
  <c r="I746" i="16"/>
  <c r="E746" i="16"/>
  <c r="G722" i="16"/>
  <c r="H745" i="16"/>
  <c r="I745" i="16"/>
  <c r="E745" i="16"/>
  <c r="G721" i="16"/>
  <c r="H744" i="16"/>
  <c r="I744" i="16"/>
  <c r="H743" i="16"/>
  <c r="I743" i="16"/>
  <c r="G716" i="16"/>
  <c r="D757" i="16" s="1"/>
  <c r="A765" i="16"/>
  <c r="D765" i="16"/>
  <c r="E765" i="16"/>
  <c r="F765" i="16"/>
  <c r="H790" i="16" s="1"/>
  <c r="G765" i="16"/>
  <c r="A766" i="16"/>
  <c r="D766" i="16"/>
  <c r="E766" i="16"/>
  <c r="I804" i="16" s="1"/>
  <c r="F766" i="16"/>
  <c r="G766" i="16"/>
  <c r="D804" i="16" s="1"/>
  <c r="A767" i="16"/>
  <c r="D767" i="16"/>
  <c r="E767" i="16"/>
  <c r="F767" i="16"/>
  <c r="H805" i="16" s="1"/>
  <c r="G767" i="16"/>
  <c r="D805" i="16" s="1"/>
  <c r="A768" i="16"/>
  <c r="D768" i="16"/>
  <c r="E802" i="16" s="1"/>
  <c r="E768" i="16"/>
  <c r="I802" i="16" s="1"/>
  <c r="F768" i="16"/>
  <c r="H802" i="16" s="1"/>
  <c r="G768" i="16"/>
  <c r="A769" i="16"/>
  <c r="D769" i="16"/>
  <c r="E769" i="16"/>
  <c r="F769" i="16"/>
  <c r="H791" i="16" s="1"/>
  <c r="G769" i="16"/>
  <c r="A770" i="16"/>
  <c r="D770" i="16"/>
  <c r="E792" i="16" s="1"/>
  <c r="E770" i="16"/>
  <c r="F770" i="16"/>
  <c r="H792" i="16" s="1"/>
  <c r="G770" i="16"/>
  <c r="A771" i="16"/>
  <c r="D771" i="16"/>
  <c r="E793" i="16" s="1"/>
  <c r="E771" i="16"/>
  <c r="F771" i="16"/>
  <c r="H793" i="16" s="1"/>
  <c r="G771" i="16"/>
  <c r="A772" i="16"/>
  <c r="D772" i="16"/>
  <c r="E794" i="16" s="1"/>
  <c r="E772" i="16"/>
  <c r="I794" i="16" s="1"/>
  <c r="F772" i="16"/>
  <c r="H794" i="16" s="1"/>
  <c r="G772" i="16"/>
  <c r="A773" i="16"/>
  <c r="D773" i="16"/>
  <c r="E795" i="16" s="1"/>
  <c r="E773" i="16"/>
  <c r="I795" i="16" s="1"/>
  <c r="F773" i="16"/>
  <c r="H795" i="16" s="1"/>
  <c r="G773" i="16"/>
  <c r="A774" i="16"/>
  <c r="D774" i="16"/>
  <c r="E774" i="16"/>
  <c r="I796" i="16" s="1"/>
  <c r="F774" i="16"/>
  <c r="H796" i="16" s="1"/>
  <c r="G774" i="16"/>
  <c r="A775" i="16"/>
  <c r="D775" i="16"/>
  <c r="E797" i="16" s="1"/>
  <c r="E775" i="16"/>
  <c r="F775" i="16"/>
  <c r="H797" i="16" s="1"/>
  <c r="G775" i="16"/>
  <c r="A776" i="16"/>
  <c r="D776" i="16"/>
  <c r="E798" i="16" s="1"/>
  <c r="E776" i="16"/>
  <c r="I798" i="16" s="1"/>
  <c r="F776" i="16"/>
  <c r="H798" i="16" s="1"/>
  <c r="G776" i="16"/>
  <c r="A777" i="16"/>
  <c r="D777" i="16"/>
  <c r="E799" i="16" s="1"/>
  <c r="E777" i="16"/>
  <c r="I799" i="16" s="1"/>
  <c r="F777" i="16"/>
  <c r="H799" i="16" s="1"/>
  <c r="G777" i="16"/>
  <c r="A778" i="16"/>
  <c r="D778" i="16"/>
  <c r="E800" i="16" s="1"/>
  <c r="E778" i="16"/>
  <c r="F778" i="16"/>
  <c r="H800" i="16" s="1"/>
  <c r="G778" i="16"/>
  <c r="C779" i="16"/>
  <c r="A782" i="16" s="1"/>
  <c r="H779" i="16"/>
  <c r="L779" i="16"/>
  <c r="M779" i="16"/>
  <c r="N779" i="16"/>
  <c r="O779" i="16"/>
  <c r="C790" i="16"/>
  <c r="E790" i="16"/>
  <c r="I790" i="16"/>
  <c r="A791" i="16"/>
  <c r="A792" i="16" s="1"/>
  <c r="A793" i="16" s="1"/>
  <c r="A794" i="16" s="1"/>
  <c r="A795" i="16" s="1"/>
  <c r="A796" i="16" s="1"/>
  <c r="C791" i="16"/>
  <c r="E791" i="16"/>
  <c r="I791" i="16"/>
  <c r="C792" i="16"/>
  <c r="C793" i="16"/>
  <c r="C794" i="16"/>
  <c r="C795" i="16"/>
  <c r="C796" i="16"/>
  <c r="C797" i="16"/>
  <c r="C798" i="16"/>
  <c r="C799" i="16"/>
  <c r="C800" i="16"/>
  <c r="C802" i="16"/>
  <c r="C804" i="16"/>
  <c r="C805" i="16"/>
  <c r="I778" i="16" l="1"/>
  <c r="J778" i="16" s="1"/>
  <c r="I770" i="16"/>
  <c r="J770" i="16" s="1"/>
  <c r="J791" i="16"/>
  <c r="I766" i="16"/>
  <c r="J766" i="16" s="1"/>
  <c r="I800" i="16"/>
  <c r="J799" i="16"/>
  <c r="I774" i="16"/>
  <c r="J774" i="16" s="1"/>
  <c r="I773" i="16"/>
  <c r="J773" i="16" s="1"/>
  <c r="G731" i="16"/>
  <c r="B734" i="16" s="1"/>
  <c r="I719" i="16"/>
  <c r="J719" i="16" s="1"/>
  <c r="I717" i="16"/>
  <c r="J717" i="16" s="1"/>
  <c r="I718" i="16"/>
  <c r="J718" i="16" s="1"/>
  <c r="C759" i="16"/>
  <c r="I759" i="16"/>
  <c r="J743" i="16"/>
  <c r="J747" i="16"/>
  <c r="J751" i="16"/>
  <c r="J758" i="16"/>
  <c r="A750" i="16"/>
  <c r="A752" i="16" s="1"/>
  <c r="A749" i="16"/>
  <c r="A751" i="16" s="1"/>
  <c r="A753" i="16" s="1"/>
  <c r="A755" i="16" s="1"/>
  <c r="A757" i="16" s="1"/>
  <c r="A758" i="16" s="1"/>
  <c r="J746" i="16"/>
  <c r="J750" i="16"/>
  <c r="J757" i="16"/>
  <c r="J745" i="16"/>
  <c r="J749" i="16"/>
  <c r="J744" i="16"/>
  <c r="J748" i="16"/>
  <c r="J753" i="16"/>
  <c r="I716" i="16"/>
  <c r="I720" i="16"/>
  <c r="J720" i="16" s="1"/>
  <c r="I724" i="16"/>
  <c r="J724" i="16" s="1"/>
  <c r="I728" i="16"/>
  <c r="J728" i="16" s="1"/>
  <c r="F731" i="16"/>
  <c r="J742" i="16"/>
  <c r="K742" i="16" s="1"/>
  <c r="I721" i="16"/>
  <c r="J721" i="16" s="1"/>
  <c r="I725" i="16"/>
  <c r="J725" i="16" s="1"/>
  <c r="I730" i="16"/>
  <c r="J730" i="16" s="1"/>
  <c r="E731" i="16"/>
  <c r="C734" i="16" s="1"/>
  <c r="I722" i="16"/>
  <c r="J722" i="16" s="1"/>
  <c r="I726" i="16"/>
  <c r="J726" i="16" s="1"/>
  <c r="D731" i="16"/>
  <c r="J755" i="16"/>
  <c r="I723" i="16"/>
  <c r="J723" i="16" s="1"/>
  <c r="I727" i="16"/>
  <c r="J727" i="16" s="1"/>
  <c r="J800" i="16"/>
  <c r="K800" i="16" s="1"/>
  <c r="J798" i="16"/>
  <c r="J795" i="16"/>
  <c r="I767" i="16"/>
  <c r="J767" i="16" s="1"/>
  <c r="H804" i="16"/>
  <c r="J804" i="16" s="1"/>
  <c r="J802" i="16"/>
  <c r="E796" i="16"/>
  <c r="J796" i="16" s="1"/>
  <c r="I792" i="16"/>
  <c r="C806" i="16"/>
  <c r="E779" i="16"/>
  <c r="C782" i="16" s="1"/>
  <c r="I777" i="16"/>
  <c r="J777" i="16" s="1"/>
  <c r="I775" i="16"/>
  <c r="J775" i="16" s="1"/>
  <c r="I771" i="16"/>
  <c r="J771" i="16" s="1"/>
  <c r="D779" i="16"/>
  <c r="I765" i="16"/>
  <c r="J765" i="16" s="1"/>
  <c r="J792" i="16"/>
  <c r="J794" i="16"/>
  <c r="G779" i="16"/>
  <c r="B782" i="16" s="1"/>
  <c r="I769" i="16"/>
  <c r="J769" i="16" s="1"/>
  <c r="I768" i="16"/>
  <c r="J768" i="16" s="1"/>
  <c r="A798" i="16"/>
  <c r="A797" i="16"/>
  <c r="A799" i="16" s="1"/>
  <c r="A800" i="16" s="1"/>
  <c r="A802" i="16" s="1"/>
  <c r="A804" i="16" s="1"/>
  <c r="A805" i="16" s="1"/>
  <c r="I797" i="16"/>
  <c r="J797" i="16" s="1"/>
  <c r="I793" i="16"/>
  <c r="J793" i="16" s="1"/>
  <c r="J790" i="16"/>
  <c r="F779" i="16"/>
  <c r="I776" i="16"/>
  <c r="J776" i="16" s="1"/>
  <c r="I772" i="16"/>
  <c r="J772" i="16" s="1"/>
  <c r="I805" i="16"/>
  <c r="J805" i="16" s="1"/>
  <c r="K796" i="16" l="1"/>
  <c r="D782" i="16"/>
  <c r="K799" i="16"/>
  <c r="K792" i="16"/>
  <c r="K795" i="16"/>
  <c r="K797" i="16"/>
  <c r="G781" i="16"/>
  <c r="K755" i="16"/>
  <c r="K758" i="16"/>
  <c r="K805" i="16"/>
  <c r="K804" i="16"/>
  <c r="K793" i="16"/>
  <c r="K757" i="16"/>
  <c r="D734" i="16"/>
  <c r="G733" i="16"/>
  <c r="K748" i="16"/>
  <c r="K753" i="16"/>
  <c r="K749" i="16"/>
  <c r="K746" i="16"/>
  <c r="K751" i="16"/>
  <c r="J716" i="16"/>
  <c r="I731" i="16"/>
  <c r="K750" i="16"/>
  <c r="J759" i="16"/>
  <c r="K744" i="16"/>
  <c r="K743" i="16"/>
  <c r="K745" i="16"/>
  <c r="K747" i="16"/>
  <c r="K802" i="16"/>
  <c r="K791" i="16"/>
  <c r="I806" i="16"/>
  <c r="K790" i="16"/>
  <c r="J806" i="16"/>
  <c r="K798" i="16"/>
  <c r="I779" i="16"/>
  <c r="K794" i="16"/>
  <c r="K759" i="16" l="1"/>
  <c r="I732" i="16"/>
  <c r="E734" i="16"/>
  <c r="J731" i="16"/>
  <c r="K806" i="16"/>
  <c r="I780" i="16"/>
  <c r="E782" i="16"/>
  <c r="J779" i="16"/>
  <c r="C851" i="16"/>
  <c r="C850" i="16"/>
  <c r="C848" i="16"/>
  <c r="C846" i="16"/>
  <c r="C845" i="16"/>
  <c r="C844" i="16"/>
  <c r="C843" i="16"/>
  <c r="C842" i="16"/>
  <c r="C841" i="16"/>
  <c r="C840" i="16"/>
  <c r="C839" i="16"/>
  <c r="C838" i="16"/>
  <c r="C837" i="16"/>
  <c r="C836" i="16"/>
  <c r="A837" i="16"/>
  <c r="A838" i="16" s="1"/>
  <c r="A839" i="16" s="1"/>
  <c r="A840" i="16" s="1"/>
  <c r="A841" i="16" s="1"/>
  <c r="A842" i="16" s="1"/>
  <c r="O825" i="16"/>
  <c r="N825" i="16"/>
  <c r="M825" i="16"/>
  <c r="L825" i="16"/>
  <c r="H825" i="16"/>
  <c r="C825" i="16"/>
  <c r="A828" i="16" s="1"/>
  <c r="G824" i="16"/>
  <c r="F824" i="16"/>
  <c r="H846" i="16" s="1"/>
  <c r="E824" i="16"/>
  <c r="I846" i="16" s="1"/>
  <c r="D824" i="16"/>
  <c r="E846" i="16" s="1"/>
  <c r="A824" i="16"/>
  <c r="G823" i="16"/>
  <c r="F823" i="16"/>
  <c r="H845" i="16" s="1"/>
  <c r="E823" i="16"/>
  <c r="I845" i="16" s="1"/>
  <c r="D823" i="16"/>
  <c r="A823" i="16"/>
  <c r="G822" i="16"/>
  <c r="F822" i="16"/>
  <c r="H844" i="16" s="1"/>
  <c r="E822" i="16"/>
  <c r="I844" i="16" s="1"/>
  <c r="D822" i="16"/>
  <c r="E844" i="16" s="1"/>
  <c r="A822" i="16"/>
  <c r="G821" i="16"/>
  <c r="F821" i="16"/>
  <c r="H843" i="16" s="1"/>
  <c r="E821" i="16"/>
  <c r="I843" i="16" s="1"/>
  <c r="D821" i="16"/>
  <c r="E843" i="16" s="1"/>
  <c r="A821" i="16"/>
  <c r="G820" i="16"/>
  <c r="F820" i="16"/>
  <c r="H842" i="16" s="1"/>
  <c r="E820" i="16"/>
  <c r="I842" i="16" s="1"/>
  <c r="D820" i="16"/>
  <c r="E842" i="16" s="1"/>
  <c r="A820" i="16"/>
  <c r="G819" i="16"/>
  <c r="F819" i="16"/>
  <c r="H841" i="16" s="1"/>
  <c r="E819" i="16"/>
  <c r="I841" i="16" s="1"/>
  <c r="D819" i="16"/>
  <c r="A819" i="16"/>
  <c r="G818" i="16"/>
  <c r="F818" i="16"/>
  <c r="H840" i="16" s="1"/>
  <c r="E818" i="16"/>
  <c r="I840" i="16" s="1"/>
  <c r="D818" i="16"/>
  <c r="E840" i="16" s="1"/>
  <c r="A818" i="16"/>
  <c r="G817" i="16"/>
  <c r="F817" i="16"/>
  <c r="H839" i="16" s="1"/>
  <c r="E817" i="16"/>
  <c r="I839" i="16" s="1"/>
  <c r="D817" i="16"/>
  <c r="E839" i="16" s="1"/>
  <c r="A817" i="16"/>
  <c r="G816" i="16"/>
  <c r="F816" i="16"/>
  <c r="H838" i="16" s="1"/>
  <c r="E816" i="16"/>
  <c r="I838" i="16" s="1"/>
  <c r="D816" i="16"/>
  <c r="E838" i="16" s="1"/>
  <c r="A816" i="16"/>
  <c r="G815" i="16"/>
  <c r="F815" i="16"/>
  <c r="H837" i="16" s="1"/>
  <c r="E815" i="16"/>
  <c r="I837" i="16" s="1"/>
  <c r="D815" i="16"/>
  <c r="A815" i="16"/>
  <c r="G814" i="16"/>
  <c r="F814" i="16"/>
  <c r="H848" i="16" s="1"/>
  <c r="E814" i="16"/>
  <c r="I848" i="16" s="1"/>
  <c r="D814" i="16"/>
  <c r="E848" i="16" s="1"/>
  <c r="A814" i="16"/>
  <c r="G813" i="16"/>
  <c r="D851" i="16" s="1"/>
  <c r="F813" i="16"/>
  <c r="H851" i="16" s="1"/>
  <c r="E813" i="16"/>
  <c r="I851" i="16" s="1"/>
  <c r="D813" i="16"/>
  <c r="A813" i="16"/>
  <c r="G812" i="16"/>
  <c r="D850" i="16" s="1"/>
  <c r="F812" i="16"/>
  <c r="H850" i="16" s="1"/>
  <c r="E812" i="16"/>
  <c r="I850" i="16" s="1"/>
  <c r="D812" i="16"/>
  <c r="A812" i="16"/>
  <c r="G811" i="16"/>
  <c r="F811" i="16"/>
  <c r="H836" i="16" s="1"/>
  <c r="E811" i="16"/>
  <c r="I836" i="16" s="1"/>
  <c r="D811" i="16"/>
  <c r="E836" i="16" s="1"/>
  <c r="A811" i="16"/>
  <c r="E867" i="16"/>
  <c r="G825" i="16" l="1"/>
  <c r="B828" i="16" s="1"/>
  <c r="I813" i="16"/>
  <c r="J813" i="16" s="1"/>
  <c r="I812" i="16"/>
  <c r="J812" i="16" s="1"/>
  <c r="C852" i="16"/>
  <c r="J851" i="16"/>
  <c r="I815" i="16"/>
  <c r="J815" i="16" s="1"/>
  <c r="J839" i="16"/>
  <c r="I819" i="16"/>
  <c r="J819" i="16" s="1"/>
  <c r="J843" i="16"/>
  <c r="I823" i="16"/>
  <c r="J823" i="16" s="1"/>
  <c r="F825" i="16"/>
  <c r="J836" i="16"/>
  <c r="I852" i="16"/>
  <c r="J848" i="16"/>
  <c r="J840" i="16"/>
  <c r="J844" i="16"/>
  <c r="A844" i="16"/>
  <c r="A843" i="16"/>
  <c r="A845" i="16" s="1"/>
  <c r="A846" i="16" s="1"/>
  <c r="A848" i="16" s="1"/>
  <c r="A850" i="16" s="1"/>
  <c r="A851" i="16" s="1"/>
  <c r="J850" i="16"/>
  <c r="K850" i="16" s="1"/>
  <c r="J838" i="16"/>
  <c r="J842" i="16"/>
  <c r="J846" i="16"/>
  <c r="I816" i="16"/>
  <c r="J816" i="16" s="1"/>
  <c r="I820" i="16"/>
  <c r="J820" i="16" s="1"/>
  <c r="I824" i="16"/>
  <c r="J824" i="16" s="1"/>
  <c r="E825" i="16"/>
  <c r="C828" i="16" s="1"/>
  <c r="E837" i="16"/>
  <c r="J837" i="16" s="1"/>
  <c r="E841" i="16"/>
  <c r="J841" i="16" s="1"/>
  <c r="E845" i="16"/>
  <c r="J845" i="16" s="1"/>
  <c r="I817" i="16"/>
  <c r="J817" i="16" s="1"/>
  <c r="I821" i="16"/>
  <c r="J821" i="16" s="1"/>
  <c r="D825" i="16"/>
  <c r="I814" i="16"/>
  <c r="J814" i="16" s="1"/>
  <c r="I818" i="16"/>
  <c r="J818" i="16" s="1"/>
  <c r="I822" i="16"/>
  <c r="J822" i="16" s="1"/>
  <c r="I811" i="16"/>
  <c r="J811" i="16" s="1"/>
  <c r="N872" i="16"/>
  <c r="M872" i="16"/>
  <c r="O872" i="16"/>
  <c r="L872" i="16"/>
  <c r="D869" i="16"/>
  <c r="K841" i="16" l="1"/>
  <c r="D828" i="16"/>
  <c r="K837" i="16"/>
  <c r="K851" i="16"/>
  <c r="K846" i="16"/>
  <c r="G827" i="16"/>
  <c r="K845" i="16"/>
  <c r="I825" i="16"/>
  <c r="K843" i="16"/>
  <c r="K836" i="16"/>
  <c r="K848" i="16"/>
  <c r="K840" i="16"/>
  <c r="J852" i="16"/>
  <c r="K838" i="16"/>
  <c r="K842" i="16"/>
  <c r="K839" i="16"/>
  <c r="K844" i="16"/>
  <c r="J825" i="16" l="1"/>
  <c r="I826" i="16"/>
  <c r="E828" i="16"/>
  <c r="K852" i="16"/>
  <c r="C899" i="16" l="1"/>
  <c r="C898" i="16"/>
  <c r="C896" i="16"/>
  <c r="C894" i="16"/>
  <c r="C893" i="16"/>
  <c r="C892" i="16"/>
  <c r="C891" i="16"/>
  <c r="C890" i="16"/>
  <c r="C889" i="16"/>
  <c r="C888" i="16"/>
  <c r="C887" i="16"/>
  <c r="C886" i="16"/>
  <c r="C885" i="16"/>
  <c r="C884" i="16"/>
  <c r="A884" i="16"/>
  <c r="A885" i="16" s="1"/>
  <c r="A886" i="16" s="1"/>
  <c r="A887" i="16" s="1"/>
  <c r="A888" i="16" s="1"/>
  <c r="A889" i="16" s="1"/>
  <c r="A890" i="16" s="1"/>
  <c r="C883" i="16"/>
  <c r="H872" i="16"/>
  <c r="C872" i="16"/>
  <c r="A875" i="16" s="1"/>
  <c r="G871" i="16"/>
  <c r="F871" i="16"/>
  <c r="H894" i="16" s="1"/>
  <c r="E871" i="16"/>
  <c r="I894" i="16" s="1"/>
  <c r="D871" i="16"/>
  <c r="E894" i="16" s="1"/>
  <c r="A871" i="16"/>
  <c r="G870" i="16"/>
  <c r="F870" i="16"/>
  <c r="H893" i="16" s="1"/>
  <c r="E870" i="16"/>
  <c r="I893" i="16" s="1"/>
  <c r="D870" i="16"/>
  <c r="A870" i="16"/>
  <c r="G869" i="16"/>
  <c r="F869" i="16"/>
  <c r="H892" i="16" s="1"/>
  <c r="E869" i="16"/>
  <c r="A869" i="16"/>
  <c r="G868" i="16"/>
  <c r="F868" i="16"/>
  <c r="H891" i="16" s="1"/>
  <c r="E868" i="16"/>
  <c r="I891" i="16" s="1"/>
  <c r="D868" i="16"/>
  <c r="E891" i="16" s="1"/>
  <c r="A868" i="16"/>
  <c r="G867" i="16"/>
  <c r="F867" i="16"/>
  <c r="H890" i="16" s="1"/>
  <c r="I890" i="16"/>
  <c r="D867" i="16"/>
  <c r="E890" i="16" s="1"/>
  <c r="A867" i="16"/>
  <c r="G866" i="16"/>
  <c r="F866" i="16"/>
  <c r="H889" i="16" s="1"/>
  <c r="E866" i="16"/>
  <c r="I889" i="16" s="1"/>
  <c r="D866" i="16"/>
  <c r="A866" i="16"/>
  <c r="G865" i="16"/>
  <c r="F865" i="16"/>
  <c r="H888" i="16" s="1"/>
  <c r="E865" i="16"/>
  <c r="I888" i="16" s="1"/>
  <c r="D865" i="16"/>
  <c r="E888" i="16" s="1"/>
  <c r="A865" i="16"/>
  <c r="G864" i="16"/>
  <c r="F864" i="16"/>
  <c r="H887" i="16" s="1"/>
  <c r="E864" i="16"/>
  <c r="I887" i="16" s="1"/>
  <c r="D864" i="16"/>
  <c r="E887" i="16" s="1"/>
  <c r="A864" i="16"/>
  <c r="G863" i="16"/>
  <c r="F863" i="16"/>
  <c r="H886" i="16" s="1"/>
  <c r="E863" i="16"/>
  <c r="I886" i="16" s="1"/>
  <c r="D863" i="16"/>
  <c r="E886" i="16" s="1"/>
  <c r="A863" i="16"/>
  <c r="G862" i="16"/>
  <c r="F862" i="16"/>
  <c r="H885" i="16" s="1"/>
  <c r="E862" i="16"/>
  <c r="I885" i="16" s="1"/>
  <c r="D862" i="16"/>
  <c r="A862" i="16"/>
  <c r="G861" i="16"/>
  <c r="F861" i="16"/>
  <c r="H896" i="16" s="1"/>
  <c r="E861" i="16"/>
  <c r="I896" i="16" s="1"/>
  <c r="D861" i="16"/>
  <c r="E896" i="16" s="1"/>
  <c r="A861" i="16"/>
  <c r="G860" i="16"/>
  <c r="D899" i="16" s="1"/>
  <c r="F860" i="16"/>
  <c r="H899" i="16" s="1"/>
  <c r="E860" i="16"/>
  <c r="I899" i="16" s="1"/>
  <c r="D860" i="16"/>
  <c r="A860" i="16"/>
  <c r="G859" i="16"/>
  <c r="D898" i="16" s="1"/>
  <c r="F859" i="16"/>
  <c r="H898" i="16" s="1"/>
  <c r="E859" i="16"/>
  <c r="I898" i="16" s="1"/>
  <c r="D859" i="16"/>
  <c r="A859" i="16"/>
  <c r="G858" i="16"/>
  <c r="F858" i="16"/>
  <c r="H884" i="16" s="1"/>
  <c r="E858" i="16"/>
  <c r="I884" i="16" s="1"/>
  <c r="D858" i="16"/>
  <c r="E884" i="16" s="1"/>
  <c r="A858" i="16"/>
  <c r="G857" i="16"/>
  <c r="F857" i="16"/>
  <c r="E857" i="16"/>
  <c r="I883" i="16" s="1"/>
  <c r="D857" i="16"/>
  <c r="E883" i="16" s="1"/>
  <c r="A857" i="16"/>
  <c r="I892" i="16" l="1"/>
  <c r="I900" i="16" s="1"/>
  <c r="I869" i="16"/>
  <c r="J869" i="16" s="1"/>
  <c r="I862" i="16"/>
  <c r="J862" i="16" s="1"/>
  <c r="J888" i="16"/>
  <c r="G872" i="16"/>
  <c r="B875" i="16" s="1"/>
  <c r="C900" i="16"/>
  <c r="I870" i="16"/>
  <c r="J870" i="16" s="1"/>
  <c r="J896" i="16"/>
  <c r="I866" i="16"/>
  <c r="J866" i="16" s="1"/>
  <c r="I860" i="16"/>
  <c r="J860" i="16" s="1"/>
  <c r="F872" i="16"/>
  <c r="I859" i="16"/>
  <c r="J859" i="16" s="1"/>
  <c r="E892" i="16"/>
  <c r="H883" i="16"/>
  <c r="J899" i="16"/>
  <c r="J887" i="16"/>
  <c r="J891" i="16"/>
  <c r="J883" i="16"/>
  <c r="J898" i="16"/>
  <c r="J886" i="16"/>
  <c r="J890" i="16"/>
  <c r="J894" i="16"/>
  <c r="J884" i="16"/>
  <c r="A892" i="16"/>
  <c r="A891" i="16"/>
  <c r="A893" i="16" s="1"/>
  <c r="A894" i="16" s="1"/>
  <c r="A896" i="16" s="1"/>
  <c r="A898" i="16" s="1"/>
  <c r="A899" i="16" s="1"/>
  <c r="I864" i="16"/>
  <c r="J864" i="16" s="1"/>
  <c r="D872" i="16"/>
  <c r="I863" i="16"/>
  <c r="J863" i="16" s="1"/>
  <c r="I867" i="16"/>
  <c r="J867" i="16" s="1"/>
  <c r="I871" i="16"/>
  <c r="J871" i="16" s="1"/>
  <c r="E872" i="16"/>
  <c r="C875" i="16" s="1"/>
  <c r="E885" i="16"/>
  <c r="J885" i="16" s="1"/>
  <c r="E889" i="16"/>
  <c r="J889" i="16" s="1"/>
  <c r="E893" i="16"/>
  <c r="J893" i="16" s="1"/>
  <c r="I868" i="16"/>
  <c r="J868" i="16" s="1"/>
  <c r="I857" i="16"/>
  <c r="I861" i="16"/>
  <c r="J861" i="16" s="1"/>
  <c r="I865" i="16"/>
  <c r="J865" i="16" s="1"/>
  <c r="I858" i="16"/>
  <c r="J858" i="16" s="1"/>
  <c r="C947" i="16"/>
  <c r="C946" i="16"/>
  <c r="C944" i="16"/>
  <c r="C938" i="16"/>
  <c r="C939" i="16"/>
  <c r="C940" i="16"/>
  <c r="C941" i="16"/>
  <c r="C942" i="16"/>
  <c r="C937" i="16"/>
  <c r="C936" i="16"/>
  <c r="C935" i="16"/>
  <c r="C934" i="16"/>
  <c r="C933" i="16"/>
  <c r="C932" i="16"/>
  <c r="C931" i="16"/>
  <c r="C920" i="16"/>
  <c r="K898" i="16" l="1"/>
  <c r="D875" i="16"/>
  <c r="J892" i="16"/>
  <c r="K892" i="16" s="1"/>
  <c r="K885" i="16"/>
  <c r="K893" i="16"/>
  <c r="K899" i="16"/>
  <c r="K889" i="16"/>
  <c r="G874" i="16"/>
  <c r="K883" i="16"/>
  <c r="K890" i="16"/>
  <c r="K891" i="16"/>
  <c r="K896" i="16"/>
  <c r="K894" i="16"/>
  <c r="K888" i="16"/>
  <c r="K884" i="16"/>
  <c r="I872" i="16"/>
  <c r="J857" i="16"/>
  <c r="K886" i="16"/>
  <c r="K887" i="16"/>
  <c r="C948" i="16"/>
  <c r="A918" i="16"/>
  <c r="A919" i="16"/>
  <c r="J900" i="16" l="1"/>
  <c r="K900" i="16" s="1"/>
  <c r="J872" i="16"/>
  <c r="I873" i="16"/>
  <c r="E875" i="16"/>
  <c r="A932" i="16" l="1"/>
  <c r="A933" i="16" s="1"/>
  <c r="A934" i="16" s="1"/>
  <c r="A935" i="16" s="1"/>
  <c r="A936" i="16" s="1"/>
  <c r="A937" i="16" s="1"/>
  <c r="A938" i="16" s="1"/>
  <c r="C956" i="16"/>
  <c r="E992" i="16"/>
  <c r="H920" i="16"/>
  <c r="D905" i="16"/>
  <c r="E931" i="16" s="1"/>
  <c r="D906" i="16"/>
  <c r="E932" i="16" s="1"/>
  <c r="D907" i="16"/>
  <c r="D908" i="16"/>
  <c r="D909" i="16"/>
  <c r="D910" i="16"/>
  <c r="E933" i="16" s="1"/>
  <c r="D911" i="16"/>
  <c r="E934" i="16" s="1"/>
  <c r="D912" i="16"/>
  <c r="E935" i="16" s="1"/>
  <c r="D913" i="16"/>
  <c r="E936" i="16" s="1"/>
  <c r="D914" i="16"/>
  <c r="E937" i="16" s="1"/>
  <c r="D915" i="16"/>
  <c r="E938" i="16" s="1"/>
  <c r="D916" i="16"/>
  <c r="E939" i="16" s="1"/>
  <c r="D917" i="16"/>
  <c r="E940" i="16" s="1"/>
  <c r="D918" i="16"/>
  <c r="E941" i="16" s="1"/>
  <c r="E944" i="16" l="1"/>
  <c r="A940" i="16"/>
  <c r="A939" i="16"/>
  <c r="A941" i="16" s="1"/>
  <c r="A942" i="16" s="1"/>
  <c r="A944" i="16" s="1"/>
  <c r="A946" i="16" s="1"/>
  <c r="A947" i="16" s="1"/>
  <c r="E956" i="16"/>
  <c r="G918" i="16" l="1"/>
  <c r="G917" i="16"/>
  <c r="F917" i="16"/>
  <c r="H940" i="16" s="1"/>
  <c r="E905" i="16" l="1"/>
  <c r="I931" i="16" s="1"/>
  <c r="F905" i="16"/>
  <c r="H931" i="16" s="1"/>
  <c r="G905" i="16"/>
  <c r="G906" i="16"/>
  <c r="D971" i="16" s="1"/>
  <c r="G907" i="16"/>
  <c r="A916" i="16"/>
  <c r="A917" i="16"/>
  <c r="A905" i="16"/>
  <c r="E917" i="16"/>
  <c r="I940" i="16" s="1"/>
  <c r="J940" i="16" s="1"/>
  <c r="E965" i="16"/>
  <c r="H965" i="16"/>
  <c r="C965" i="16"/>
  <c r="J931" i="16" l="1"/>
  <c r="D972" i="16"/>
  <c r="D946" i="16"/>
  <c r="I965" i="16"/>
  <c r="J965" i="16" s="1"/>
  <c r="I917" i="16"/>
  <c r="J917" i="16" s="1"/>
  <c r="I956" i="16"/>
  <c r="I905" i="16"/>
  <c r="H956" i="16"/>
  <c r="J956" i="16" l="1"/>
  <c r="K956" i="16" s="1"/>
  <c r="K931" i="16"/>
  <c r="K940" i="16"/>
  <c r="K965" i="16"/>
  <c r="J905" i="16"/>
  <c r="C972" i="16" l="1"/>
  <c r="C971" i="16"/>
  <c r="C969" i="16"/>
  <c r="C967" i="16"/>
  <c r="C966" i="16"/>
  <c r="C964" i="16"/>
  <c r="C963" i="16"/>
  <c r="C962" i="16"/>
  <c r="C961" i="16"/>
  <c r="C960" i="16"/>
  <c r="C959" i="16"/>
  <c r="C958" i="16"/>
  <c r="A958" i="16"/>
  <c r="A959" i="16" s="1"/>
  <c r="A960" i="16" s="1"/>
  <c r="A961" i="16" s="1"/>
  <c r="A962" i="16" s="1"/>
  <c r="A963" i="16" s="1"/>
  <c r="C957" i="16"/>
  <c r="A923" i="16"/>
  <c r="G919" i="16"/>
  <c r="F919" i="16"/>
  <c r="E919" i="16"/>
  <c r="D919" i="16"/>
  <c r="E942" i="16" s="1"/>
  <c r="F918" i="16"/>
  <c r="E918" i="16"/>
  <c r="E966" i="16"/>
  <c r="G916" i="16"/>
  <c r="F916" i="16"/>
  <c r="E916" i="16"/>
  <c r="G915" i="16"/>
  <c r="F915" i="16"/>
  <c r="E915" i="16"/>
  <c r="A915" i="16"/>
  <c r="G914" i="16"/>
  <c r="F914" i="16"/>
  <c r="E914" i="16"/>
  <c r="E962" i="16"/>
  <c r="A914" i="16"/>
  <c r="G913" i="16"/>
  <c r="F913" i="16"/>
  <c r="E913" i="16"/>
  <c r="E961" i="16"/>
  <c r="A913" i="16"/>
  <c r="G912" i="16"/>
  <c r="F912" i="16"/>
  <c r="E912" i="16"/>
  <c r="E960" i="16"/>
  <c r="A912" i="16"/>
  <c r="G911" i="16"/>
  <c r="F911" i="16"/>
  <c r="E911" i="16"/>
  <c r="A911" i="16"/>
  <c r="G910" i="16"/>
  <c r="F910" i="16"/>
  <c r="E910" i="16"/>
  <c r="E958" i="16"/>
  <c r="A910" i="16"/>
  <c r="G909" i="16"/>
  <c r="F909" i="16"/>
  <c r="E909" i="16"/>
  <c r="E957" i="16"/>
  <c r="A909" i="16"/>
  <c r="G908" i="16"/>
  <c r="D947" i="16" s="1"/>
  <c r="F908" i="16"/>
  <c r="E908" i="16"/>
  <c r="I947" i="16" s="1"/>
  <c r="A908" i="16"/>
  <c r="F907" i="16"/>
  <c r="E907" i="16"/>
  <c r="A907" i="16"/>
  <c r="F906" i="16"/>
  <c r="H932" i="16" s="1"/>
  <c r="E906" i="16"/>
  <c r="I932" i="16" s="1"/>
  <c r="A906" i="16"/>
  <c r="H972" i="16" l="1"/>
  <c r="H946" i="16"/>
  <c r="H957" i="16"/>
  <c r="H944" i="16"/>
  <c r="I958" i="16"/>
  <c r="I933" i="16"/>
  <c r="I959" i="16"/>
  <c r="I934" i="16"/>
  <c r="J932" i="16"/>
  <c r="I972" i="16"/>
  <c r="I946" i="16"/>
  <c r="H969" i="16"/>
  <c r="H947" i="16"/>
  <c r="J947" i="16" s="1"/>
  <c r="I957" i="16"/>
  <c r="I944" i="16"/>
  <c r="I909" i="16"/>
  <c r="J909" i="16" s="1"/>
  <c r="H958" i="16"/>
  <c r="J958" i="16" s="1"/>
  <c r="H933" i="16"/>
  <c r="J933" i="16" s="1"/>
  <c r="H959" i="16"/>
  <c r="H934" i="16"/>
  <c r="J934" i="16" s="1"/>
  <c r="I960" i="16"/>
  <c r="I935" i="16"/>
  <c r="H961" i="16"/>
  <c r="H936" i="16"/>
  <c r="I962" i="16"/>
  <c r="I937" i="16"/>
  <c r="I963" i="16"/>
  <c r="I938" i="16"/>
  <c r="H964" i="16"/>
  <c r="H939" i="16"/>
  <c r="H966" i="16"/>
  <c r="H941" i="16"/>
  <c r="I967" i="16"/>
  <c r="I942" i="16"/>
  <c r="H960" i="16"/>
  <c r="H935" i="16"/>
  <c r="I961" i="16"/>
  <c r="I936" i="16"/>
  <c r="H962" i="16"/>
  <c r="H937" i="16"/>
  <c r="H963" i="16"/>
  <c r="H938" i="16"/>
  <c r="I964" i="16"/>
  <c r="I939" i="16"/>
  <c r="I966" i="16"/>
  <c r="I941" i="16"/>
  <c r="H967" i="16"/>
  <c r="H942" i="16"/>
  <c r="A964" i="16"/>
  <c r="A966" i="16" s="1"/>
  <c r="A967" i="16" s="1"/>
  <c r="A969" i="16" s="1"/>
  <c r="A971" i="16" s="1"/>
  <c r="A972" i="16" s="1"/>
  <c r="A965" i="16"/>
  <c r="I969" i="16"/>
  <c r="I908" i="16"/>
  <c r="J908" i="16" s="1"/>
  <c r="E967" i="16"/>
  <c r="D920" i="16"/>
  <c r="F920" i="16"/>
  <c r="I971" i="16"/>
  <c r="E920" i="16"/>
  <c r="C923" i="16" s="1"/>
  <c r="G920" i="16"/>
  <c r="B923" i="16" s="1"/>
  <c r="E969" i="16"/>
  <c r="C973" i="16"/>
  <c r="I906" i="16"/>
  <c r="I907" i="16"/>
  <c r="J907" i="16" s="1"/>
  <c r="I911" i="16"/>
  <c r="J911" i="16" s="1"/>
  <c r="I915" i="16"/>
  <c r="J915" i="16" s="1"/>
  <c r="I916" i="16"/>
  <c r="J916" i="16" s="1"/>
  <c r="I918" i="16"/>
  <c r="J918" i="16" s="1"/>
  <c r="I913" i="16"/>
  <c r="J913" i="16" s="1"/>
  <c r="I912" i="16"/>
  <c r="J912" i="16" s="1"/>
  <c r="I919" i="16"/>
  <c r="J919" i="16" s="1"/>
  <c r="E959" i="16"/>
  <c r="E963" i="16"/>
  <c r="E964" i="16"/>
  <c r="H971" i="16"/>
  <c r="I914" i="16"/>
  <c r="J914" i="16" s="1"/>
  <c r="I910" i="16"/>
  <c r="J910" i="16" s="1"/>
  <c r="C992" i="16"/>
  <c r="J959" i="16" l="1"/>
  <c r="K959" i="16" s="1"/>
  <c r="J966" i="16"/>
  <c r="K966" i="16" s="1"/>
  <c r="J962" i="16"/>
  <c r="K962" i="16" s="1"/>
  <c r="J960" i="16"/>
  <c r="K960" i="16" s="1"/>
  <c r="J942" i="16"/>
  <c r="J937" i="16"/>
  <c r="K937" i="16" s="1"/>
  <c r="J935" i="16"/>
  <c r="K935" i="16" s="1"/>
  <c r="J967" i="16"/>
  <c r="K967" i="16" s="1"/>
  <c r="J972" i="16"/>
  <c r="K972" i="16" s="1"/>
  <c r="J963" i="16"/>
  <c r="K963" i="16" s="1"/>
  <c r="J971" i="16"/>
  <c r="K971" i="16" s="1"/>
  <c r="J961" i="16"/>
  <c r="K961" i="16" s="1"/>
  <c r="J957" i="16"/>
  <c r="K957" i="16" s="1"/>
  <c r="J938" i="16"/>
  <c r="J964" i="16"/>
  <c r="K964" i="16" s="1"/>
  <c r="I948" i="16"/>
  <c r="D923" i="16"/>
  <c r="I973" i="16"/>
  <c r="K947" i="16"/>
  <c r="K932" i="16"/>
  <c r="K942" i="16"/>
  <c r="K938" i="16"/>
  <c r="J941" i="16"/>
  <c r="K941" i="16" s="1"/>
  <c r="J939" i="16"/>
  <c r="K939" i="16" s="1"/>
  <c r="J936" i="16"/>
  <c r="K936" i="16" s="1"/>
  <c r="K934" i="16"/>
  <c r="K933" i="16"/>
  <c r="J944" i="16"/>
  <c r="K944" i="16" s="1"/>
  <c r="J946" i="16"/>
  <c r="K946" i="16" s="1"/>
  <c r="G922" i="16"/>
  <c r="J969" i="16"/>
  <c r="K969" i="16" s="1"/>
  <c r="J906" i="16"/>
  <c r="I920" i="16"/>
  <c r="K958" i="16"/>
  <c r="E983" i="16"/>
  <c r="E982" i="16"/>
  <c r="E981" i="16"/>
  <c r="J973" i="16" l="1"/>
  <c r="K973" i="16" s="1"/>
  <c r="I921" i="16"/>
  <c r="J948" i="16"/>
  <c r="K948" i="16" s="1"/>
  <c r="E923" i="16"/>
  <c r="J920" i="16"/>
  <c r="A982" i="16" l="1"/>
  <c r="A983" i="16" s="1"/>
  <c r="A984" i="16" s="1"/>
  <c r="A985" i="16" s="1"/>
  <c r="A986" i="16" s="1"/>
  <c r="A987" i="16" s="1"/>
  <c r="A988" i="16" s="1"/>
  <c r="A989" i="16" s="1"/>
  <c r="C995" i="16"/>
  <c r="C994" i="16"/>
  <c r="C990" i="16"/>
  <c r="C989" i="16"/>
  <c r="C988" i="16"/>
  <c r="C987" i="16"/>
  <c r="C986" i="16"/>
  <c r="C985" i="16"/>
  <c r="C984" i="16"/>
  <c r="C983" i="16"/>
  <c r="C982" i="16"/>
  <c r="C981" i="16"/>
  <c r="H990" i="16"/>
  <c r="I990" i="16"/>
  <c r="E990" i="16"/>
  <c r="H989" i="16"/>
  <c r="I989" i="16"/>
  <c r="H988" i="16"/>
  <c r="I988" i="16"/>
  <c r="E988" i="16"/>
  <c r="H987" i="16"/>
  <c r="I987" i="16"/>
  <c r="E987" i="16"/>
  <c r="H986" i="16"/>
  <c r="I986" i="16"/>
  <c r="H985" i="16"/>
  <c r="I985" i="16"/>
  <c r="E985" i="16"/>
  <c r="H984" i="16"/>
  <c r="I984" i="16"/>
  <c r="E984" i="16"/>
  <c r="H983" i="16"/>
  <c r="I983" i="16"/>
  <c r="H982" i="16"/>
  <c r="I982" i="16"/>
  <c r="H981" i="16"/>
  <c r="I981" i="16"/>
  <c r="H992" i="16"/>
  <c r="I992" i="16"/>
  <c r="H995" i="16"/>
  <c r="I995" i="16"/>
  <c r="I994" i="16"/>
  <c r="A990" i="16" l="1"/>
  <c r="A992" i="16" s="1"/>
  <c r="A994" i="16" s="1"/>
  <c r="A995" i="16" s="1"/>
  <c r="J995" i="16"/>
  <c r="J987" i="16"/>
  <c r="J990" i="16"/>
  <c r="C996" i="16"/>
  <c r="J983" i="16"/>
  <c r="J981" i="16"/>
  <c r="J996" i="16" s="1"/>
  <c r="K996" i="16" s="1"/>
  <c r="J992" i="16"/>
  <c r="I996" i="16"/>
  <c r="J984" i="16"/>
  <c r="J988" i="16"/>
  <c r="J985" i="16"/>
  <c r="J982" i="16"/>
  <c r="E989" i="16"/>
  <c r="J989" i="16" s="1"/>
  <c r="E986" i="16"/>
  <c r="J986" i="16" s="1"/>
  <c r="H994" i="16"/>
  <c r="J994" i="16" s="1"/>
  <c r="K986" i="16" l="1"/>
  <c r="K989" i="16"/>
  <c r="K994" i="16"/>
  <c r="K990" i="16"/>
  <c r="K982" i="16"/>
  <c r="K992" i="16"/>
  <c r="K988" i="16"/>
  <c r="K983" i="16"/>
  <c r="K995" i="16"/>
  <c r="K985" i="16"/>
  <c r="K987" i="16"/>
  <c r="K981" i="16"/>
  <c r="K984" i="16"/>
  <c r="C1018" i="16" l="1"/>
  <c r="C1004" i="16"/>
  <c r="C1013" i="16"/>
  <c r="I1009" i="16" l="1"/>
  <c r="I1010" i="16"/>
  <c r="I1011" i="16"/>
  <c r="I1012" i="16"/>
  <c r="I1013" i="16"/>
  <c r="I1014" i="16"/>
  <c r="I1008" i="16"/>
  <c r="I1007" i="16"/>
  <c r="I1018" i="16"/>
  <c r="H1013" i="16"/>
  <c r="E1013" i="16"/>
  <c r="J1013" i="16" l="1"/>
  <c r="K1013" i="16" l="1"/>
  <c r="C1019" i="16" l="1"/>
  <c r="C1016" i="16"/>
  <c r="C1014" i="16"/>
  <c r="C1012" i="16"/>
  <c r="C1011" i="16"/>
  <c r="C1010" i="16"/>
  <c r="C1009" i="16"/>
  <c r="C1008" i="16"/>
  <c r="C1007" i="16"/>
  <c r="C1006" i="16"/>
  <c r="C1005" i="16"/>
  <c r="H1018" i="16"/>
  <c r="J1018" i="16" s="1"/>
  <c r="C1039" i="16"/>
  <c r="K1018" i="16" l="1"/>
  <c r="C1020" i="16"/>
  <c r="C1042" i="16"/>
  <c r="J1042" i="16" s="1"/>
  <c r="K1042" i="16" s="1"/>
  <c r="C1041" i="16"/>
  <c r="J1041" i="16" s="1"/>
  <c r="K1041" i="16" s="1"/>
  <c r="J1039" i="16"/>
  <c r="C1029" i="16"/>
  <c r="J1029" i="16" s="1"/>
  <c r="C1030" i="16"/>
  <c r="J1030" i="16" s="1"/>
  <c r="C1031" i="16"/>
  <c r="J1031" i="16" s="1"/>
  <c r="C1032" i="16"/>
  <c r="J1032" i="16" s="1"/>
  <c r="C1033" i="16"/>
  <c r="J1033" i="16" s="1"/>
  <c r="C1034" i="16"/>
  <c r="J1034" i="16" s="1"/>
  <c r="C1035" i="16"/>
  <c r="J1035" i="16" s="1"/>
  <c r="C1036" i="16"/>
  <c r="C1037" i="16"/>
  <c r="J1037" i="16" s="1"/>
  <c r="C1028" i="16"/>
  <c r="J1028" i="16" s="1"/>
  <c r="I1043" i="16"/>
  <c r="J1036" i="16"/>
  <c r="C1043" i="16" l="1"/>
  <c r="J1043" i="16"/>
  <c r="G1044" i="16" s="1"/>
  <c r="K1034" i="16" l="1"/>
  <c r="K1030" i="16"/>
  <c r="K1039" i="16"/>
  <c r="K1037" i="16" l="1"/>
  <c r="K1029" i="16"/>
  <c r="K1028" i="16"/>
  <c r="K1035" i="16"/>
  <c r="K1031" i="16"/>
  <c r="K1032" i="16"/>
  <c r="K1033" i="16"/>
  <c r="K1036" i="16"/>
  <c r="K1043" i="16" l="1"/>
  <c r="F1055" i="16" l="1"/>
  <c r="H1054" i="16"/>
  <c r="F1053" i="16"/>
  <c r="C1063" i="16" l="1"/>
  <c r="J1063" i="16" s="1"/>
  <c r="C1062" i="16"/>
  <c r="J1062" i="16" s="1"/>
  <c r="C1061" i="16"/>
  <c r="J1061" i="16" s="1"/>
  <c r="C1060" i="16"/>
  <c r="J1060" i="16" s="1"/>
  <c r="C1059" i="16"/>
  <c r="J1059" i="16" s="1"/>
  <c r="C1058" i="16"/>
  <c r="J1058" i="16" s="1"/>
  <c r="C1057" i="16"/>
  <c r="J1057" i="16" s="1"/>
  <c r="C1056" i="16"/>
  <c r="J1056" i="16" s="1"/>
  <c r="C1055" i="16"/>
  <c r="J1055" i="16" s="1"/>
  <c r="C1054" i="16"/>
  <c r="J1054" i="16" s="1"/>
  <c r="C1053" i="16"/>
  <c r="J1053" i="16" s="1"/>
  <c r="C1052" i="16"/>
  <c r="J1052" i="16" s="1"/>
  <c r="C1065" i="16"/>
  <c r="J1065" i="16" s="1"/>
  <c r="C1068" i="16"/>
  <c r="J1068" i="16" s="1"/>
  <c r="I1069" i="16"/>
  <c r="C1095" i="16"/>
  <c r="C1067" i="16" l="1"/>
  <c r="J1067" i="16" s="1"/>
  <c r="J1069" i="16" s="1"/>
  <c r="C1069" i="16" l="1"/>
  <c r="I1095" i="16" l="1"/>
  <c r="J1094" i="16" l="1"/>
  <c r="J1093" i="16"/>
  <c r="J1091" i="16"/>
  <c r="J1089" i="16"/>
  <c r="J1088" i="16"/>
  <c r="J1087" i="16"/>
  <c r="J1086" i="16"/>
  <c r="J1085" i="16"/>
  <c r="J1084" i="16"/>
  <c r="J1083" i="16"/>
  <c r="J1082" i="16"/>
  <c r="J1081" i="16"/>
  <c r="J1080" i="16"/>
  <c r="J1079" i="16"/>
  <c r="J1078" i="16"/>
  <c r="J1077" i="16"/>
  <c r="J1095" i="16" l="1"/>
  <c r="J1114" i="16" l="1"/>
  <c r="J1113" i="16"/>
  <c r="J1112" i="16"/>
  <c r="J1111" i="16"/>
  <c r="J1110" i="16"/>
  <c r="J1109" i="16"/>
  <c r="J1108" i="16"/>
  <c r="J1106" i="16"/>
  <c r="J1103" i="16"/>
  <c r="J1117" i="16"/>
  <c r="J1120" i="16"/>
  <c r="J1119" i="16"/>
  <c r="I1121" i="16"/>
  <c r="J1107" i="16"/>
  <c r="C1121" i="16" l="1"/>
  <c r="J1105" i="16"/>
  <c r="J1104" i="16"/>
  <c r="J1115" i="16"/>
  <c r="J1121" i="16" l="1"/>
  <c r="F1141" i="16" l="1"/>
  <c r="H1141" i="16"/>
  <c r="F1132" i="16"/>
  <c r="H1131" i="16"/>
  <c r="F1130" i="16"/>
  <c r="I1147" i="16"/>
  <c r="J1141" i="16" l="1"/>
  <c r="J1140" i="16"/>
  <c r="J1139" i="16"/>
  <c r="J1138" i="16"/>
  <c r="J1137" i="16"/>
  <c r="J1136" i="16"/>
  <c r="J1135" i="16"/>
  <c r="J1134" i="16"/>
  <c r="J1133" i="16"/>
  <c r="J1132" i="16"/>
  <c r="J1131" i="16"/>
  <c r="J1130" i="16"/>
  <c r="J1143" i="16"/>
  <c r="J1146" i="16"/>
  <c r="J1145" i="16"/>
  <c r="J1129" i="16" l="1"/>
  <c r="J1147" i="16" s="1"/>
  <c r="C1147" i="16"/>
  <c r="I1176" i="16" l="1"/>
  <c r="J1170" i="16"/>
  <c r="J1156" i="16" l="1"/>
  <c r="J1169" i="16" l="1"/>
  <c r="J1168" i="16"/>
  <c r="J1167" i="16"/>
  <c r="J1166" i="16"/>
  <c r="J1165" i="16"/>
  <c r="J1164" i="16"/>
  <c r="J1163" i="16"/>
  <c r="J1162" i="16"/>
  <c r="J1161" i="16"/>
  <c r="J1160" i="16"/>
  <c r="J1159" i="16"/>
  <c r="J1158" i="16"/>
  <c r="C1172" i="16"/>
  <c r="J1172" i="16" s="1"/>
  <c r="C1175" i="16"/>
  <c r="J1175" i="16" s="1"/>
  <c r="C1174" i="16"/>
  <c r="J1174" i="16" s="1"/>
  <c r="C1203" i="16"/>
  <c r="J1157" i="16" l="1"/>
  <c r="J1176" i="16" s="1"/>
  <c r="C1176" i="16"/>
  <c r="J1216" i="16" l="1"/>
  <c r="J1197" i="16" l="1"/>
  <c r="J1196" i="16"/>
  <c r="J1195" i="16"/>
  <c r="J1194" i="16"/>
  <c r="J1193" i="16"/>
  <c r="J1192" i="16"/>
  <c r="J1191" i="16"/>
  <c r="J1190" i="16"/>
  <c r="J1189" i="16"/>
  <c r="J1188" i="16"/>
  <c r="J1187" i="16"/>
  <c r="J1186" i="16"/>
  <c r="J1185" i="16"/>
  <c r="J1199" i="16"/>
  <c r="J1202" i="16"/>
  <c r="J1201" i="16"/>
  <c r="I1203" i="16"/>
  <c r="J1184" i="16" l="1"/>
  <c r="J1203" i="16" s="1"/>
  <c r="I1231" i="16" l="1"/>
  <c r="J1224" i="16" l="1"/>
  <c r="J1221" i="16" l="1"/>
  <c r="J1217" i="16"/>
  <c r="J1213" i="16"/>
  <c r="J1227" i="16"/>
  <c r="J1229" i="16"/>
  <c r="J1230" i="16"/>
  <c r="J1223" i="16"/>
  <c r="J1222" i="16"/>
  <c r="J1220" i="16"/>
  <c r="J1219" i="16"/>
  <c r="J1218" i="16"/>
  <c r="J1215" i="16"/>
  <c r="J1214" i="16"/>
  <c r="J1212" i="16"/>
  <c r="J1225" i="16" l="1"/>
  <c r="J1231" i="16" s="1"/>
  <c r="K1231" i="16" s="1"/>
  <c r="C1148" i="16" l="1"/>
  <c r="C1122" i="16"/>
  <c r="J1248" i="16"/>
  <c r="J1249" i="16" l="1"/>
  <c r="J1247" i="16"/>
  <c r="J1246" i="16"/>
  <c r="J1245" i="16"/>
  <c r="J1244" i="16"/>
  <c r="J1243" i="16"/>
  <c r="J1242" i="16"/>
  <c r="J1241" i="16"/>
  <c r="J1240" i="16"/>
  <c r="J1239" i="16"/>
  <c r="J1253" i="16"/>
  <c r="J1256" i="16"/>
  <c r="J1255" i="16"/>
  <c r="J1251" i="16" l="1"/>
  <c r="J1250" i="16"/>
  <c r="J1257" i="16" l="1"/>
  <c r="J1275" i="16" l="1"/>
  <c r="F1265" i="16" l="1"/>
  <c r="J1299" i="16"/>
  <c r="J1302" i="16"/>
  <c r="J1283" i="16"/>
  <c r="J1282" i="16"/>
  <c r="J1281" i="16"/>
  <c r="C1274" i="16" l="1"/>
  <c r="J1274" i="16" s="1"/>
  <c r="C1273" i="16"/>
  <c r="J1273" i="16" s="1"/>
  <c r="C1272" i="16"/>
  <c r="J1272" i="16" s="1"/>
  <c r="C1271" i="16"/>
  <c r="J1271" i="16" s="1"/>
  <c r="C1270" i="16"/>
  <c r="J1270" i="16" s="1"/>
  <c r="J1269" i="16"/>
  <c r="C1268" i="16"/>
  <c r="J1268" i="16" s="1"/>
  <c r="C1267" i="16"/>
  <c r="J1267" i="16" s="1"/>
  <c r="C1266" i="16"/>
  <c r="J1266" i="16" s="1"/>
  <c r="C1265" i="16"/>
  <c r="J1265" i="16" s="1"/>
  <c r="C1277" i="16"/>
  <c r="J1277" i="16" s="1"/>
  <c r="C1280" i="16"/>
  <c r="J1280" i="16" s="1"/>
  <c r="C1279" i="16" l="1"/>
  <c r="J1279" i="16" s="1"/>
  <c r="J1284" i="16" s="1"/>
  <c r="J1310" i="16" l="1"/>
  <c r="J1309" i="16"/>
  <c r="J1308" i="16"/>
  <c r="J1361" i="16"/>
  <c r="J1334" i="16"/>
  <c r="J1333" i="16"/>
  <c r="J1331" i="16"/>
  <c r="E1329" i="16"/>
  <c r="J1329" i="16" s="1"/>
  <c r="E1328" i="16"/>
  <c r="J1328" i="16" s="1"/>
  <c r="E1326" i="16"/>
  <c r="J1326" i="16" s="1"/>
  <c r="H1325" i="16"/>
  <c r="E1325" i="16"/>
  <c r="F1324" i="16"/>
  <c r="E1324" i="16"/>
  <c r="E1323" i="16"/>
  <c r="J1323" i="16" s="1"/>
  <c r="I1322" i="16"/>
  <c r="H1322" i="16"/>
  <c r="E1322" i="16"/>
  <c r="I1321" i="16"/>
  <c r="E1321" i="16"/>
  <c r="H1320" i="16"/>
  <c r="E1320" i="16"/>
  <c r="I1319" i="16"/>
  <c r="J1311" i="16"/>
  <c r="J1295" i="16"/>
  <c r="J1307" i="16"/>
  <c r="B1295" i="16" l="1"/>
  <c r="B1299" i="16"/>
  <c r="B1300" i="16"/>
  <c r="B1293" i="16"/>
  <c r="B1296" i="16"/>
  <c r="B1297" i="16"/>
  <c r="B1294" i="16"/>
  <c r="B1298" i="16"/>
  <c r="J1294" i="16"/>
  <c r="I1336" i="16"/>
  <c r="J1321" i="16"/>
  <c r="J1304" i="16"/>
  <c r="J1320" i="16"/>
  <c r="J1292" i="16"/>
  <c r="J1298" i="16"/>
  <c r="J1293" i="16"/>
  <c r="J1306" i="16"/>
  <c r="J1301" i="16"/>
  <c r="J1324" i="16"/>
  <c r="J1322" i="16"/>
  <c r="J1325" i="16"/>
  <c r="J1319" i="16"/>
  <c r="J1297" i="16" l="1"/>
  <c r="J1296" i="16"/>
  <c r="J1300" i="16"/>
  <c r="C1327" i="16"/>
  <c r="J1312" i="16" l="1"/>
  <c r="C1336" i="16"/>
  <c r="J1327" i="16"/>
  <c r="J1336" i="16" s="1"/>
  <c r="K1065" i="16" l="1"/>
  <c r="K1052" i="16"/>
  <c r="K1068" i="16"/>
  <c r="K1058" i="16"/>
  <c r="K1063" i="16"/>
  <c r="K1062" i="16"/>
  <c r="K1134" i="16" l="1"/>
  <c r="K1056" i="16"/>
  <c r="K1085" i="16"/>
  <c r="K1059" i="16"/>
  <c r="K1054" i="16"/>
  <c r="K1086" i="16"/>
  <c r="K1060" i="16"/>
  <c r="K1055" i="16"/>
  <c r="K1053" i="16"/>
  <c r="K1083" i="16"/>
  <c r="K1057" i="16"/>
  <c r="K1087" i="16"/>
  <c r="K1082" i="16"/>
  <c r="K1135" i="16"/>
  <c r="K1131" i="16"/>
  <c r="K1146" i="16"/>
  <c r="K1094" i="16"/>
  <c r="K1081" i="16"/>
  <c r="K1133" i="16"/>
  <c r="K1088" i="16"/>
  <c r="K1140" i="16"/>
  <c r="K1089" i="16"/>
  <c r="K1141" i="16"/>
  <c r="K1136" i="16"/>
  <c r="K1084" i="16"/>
  <c r="K1143" i="16"/>
  <c r="K1091" i="16"/>
  <c r="K1067" i="16"/>
  <c r="K1130" i="16"/>
  <c r="K1138" i="16"/>
  <c r="K1129" i="16"/>
  <c r="K1137" i="16"/>
  <c r="K1080" i="16"/>
  <c r="K1078" i="16"/>
  <c r="K1079" i="16"/>
  <c r="K1132" i="16"/>
  <c r="K1077" i="16"/>
  <c r="K1139" i="16" l="1"/>
  <c r="K1061" i="16"/>
  <c r="K1145" i="16"/>
  <c r="K1093" i="16"/>
  <c r="K1069" i="16" l="1"/>
  <c r="K1147" i="16"/>
  <c r="K1284" i="16"/>
  <c r="K1095" i="16"/>
  <c r="H1004" i="16" l="1"/>
  <c r="H1005" i="16"/>
  <c r="H1016" i="16"/>
  <c r="H1006" i="16"/>
  <c r="I1016" i="16"/>
  <c r="H1019" i="16"/>
  <c r="H1010" i="16"/>
  <c r="H1009" i="16"/>
  <c r="H1007" i="16"/>
  <c r="H1011" i="16"/>
  <c r="J1011" i="16" s="1"/>
  <c r="I1004" i="16"/>
  <c r="H1008" i="16"/>
  <c r="I1019" i="16"/>
  <c r="H1012" i="16"/>
  <c r="H1014" i="16"/>
  <c r="I1006" i="16"/>
  <c r="E1010" i="16"/>
  <c r="E1009" i="16"/>
  <c r="E1008" i="16"/>
  <c r="I1005" i="16"/>
  <c r="E1012" i="16"/>
  <c r="K1011" i="16" l="1"/>
  <c r="J1019" i="16"/>
  <c r="K1019" i="16" s="1"/>
  <c r="J1006" i="16"/>
  <c r="K1006" i="16" s="1"/>
  <c r="E1007" i="16"/>
  <c r="J1007" i="16" s="1"/>
  <c r="K1007" i="16" s="1"/>
  <c r="E1005" i="16"/>
  <c r="J1005" i="16" s="1"/>
  <c r="E1014" i="16"/>
  <c r="J1014" i="16" s="1"/>
  <c r="K1014" i="16" s="1"/>
  <c r="I1020" i="16"/>
  <c r="J1009" i="16"/>
  <c r="J1012" i="16"/>
  <c r="J1008" i="16"/>
  <c r="E1004" i="16"/>
  <c r="J1004" i="16" s="1"/>
  <c r="J1010" i="16"/>
  <c r="J1016" i="16"/>
  <c r="K1009" i="16" l="1"/>
  <c r="K1016" i="16"/>
  <c r="K1005" i="16"/>
  <c r="K1004" i="16"/>
  <c r="J1020" i="16"/>
  <c r="K1008" i="16"/>
  <c r="K1010" i="16"/>
  <c r="K1012" i="16"/>
  <c r="G1021" i="16" l="1"/>
  <c r="K1020" i="16"/>
  <c r="G24" i="153"/>
  <c r="G25" i="153" s="1"/>
  <c r="G26" i="153" s="1"/>
  <c r="G27" i="153" s="1"/>
  <c r="G28" i="153" s="1"/>
  <c r="G29" i="153" s="1"/>
  <c r="G30" i="153" s="1"/>
  <c r="G31" i="153" s="1"/>
  <c r="G32" i="153" s="1"/>
  <c r="G33" i="153" s="1"/>
  <c r="G34" i="153" s="1"/>
  <c r="G35" i="153" s="1"/>
  <c r="G36" i="153" s="1"/>
  <c r="G37" i="153" s="1"/>
  <c r="G38" i="153" s="1"/>
  <c r="G39" i="153" s="1"/>
  <c r="G40" i="153" s="1"/>
  <c r="G41" i="153" s="1"/>
  <c r="G42" i="153" s="1"/>
  <c r="G43" i="153" s="1"/>
  <c r="G44" i="153" s="1"/>
  <c r="G45" i="153" s="1"/>
  <c r="G46" i="153" s="1"/>
  <c r="G47" i="153" s="1"/>
  <c r="G48" i="153" s="1"/>
  <c r="G49" i="153" s="1"/>
  <c r="G50" i="153" s="1"/>
  <c r="G51" i="153" s="1"/>
  <c r="G52" i="153" s="1"/>
  <c r="G53" i="153" s="1"/>
  <c r="G54" i="153" s="1"/>
  <c r="G55" i="153" s="1"/>
  <c r="G56" i="153" s="1"/>
  <c r="G57" i="153" s="1"/>
  <c r="G58" i="153" s="1"/>
  <c r="G59" i="153" s="1"/>
  <c r="G60" i="153" s="1"/>
  <c r="G61" i="153" s="1"/>
  <c r="G62" i="153" s="1"/>
  <c r="G63" i="153" s="1"/>
  <c r="G64" i="153" s="1"/>
  <c r="G65" i="153" s="1"/>
  <c r="G66" i="153" s="1"/>
  <c r="G67" i="153" s="1"/>
  <c r="G68" i="153" s="1"/>
  <c r="G69" i="153" s="1"/>
  <c r="G70" i="153" s="1"/>
  <c r="G71" i="153" s="1"/>
  <c r="G72" i="153" s="1"/>
  <c r="G73" i="153" s="1"/>
  <c r="G74" i="153" s="1"/>
  <c r="G75" i="153" s="1"/>
  <c r="G76" i="153" s="1"/>
  <c r="G77" i="153" s="1"/>
  <c r="G78" i="153" s="1"/>
  <c r="G79" i="153" s="1"/>
  <c r="G80" i="153" s="1"/>
  <c r="G81" i="153" s="1"/>
  <c r="G82" i="153" s="1"/>
  <c r="G83" i="153" s="1"/>
  <c r="G84" i="153" s="1"/>
  <c r="G85" i="153" s="1"/>
  <c r="G86" i="153" s="1"/>
  <c r="G87" i="153" s="1"/>
  <c r="G88" i="153" s="1"/>
  <c r="G89" i="153" s="1"/>
  <c r="G90" i="153" s="1"/>
  <c r="G91" i="153" s="1"/>
  <c r="G92" i="153" s="1"/>
  <c r="G93" i="153" s="1"/>
  <c r="G94" i="153" s="1"/>
  <c r="G95" i="153" s="1"/>
  <c r="G96" i="153" s="1"/>
  <c r="G97" i="153" s="1"/>
  <c r="G98" i="153" s="1"/>
  <c r="G99" i="153" s="1"/>
  <c r="G100" i="153" s="1"/>
  <c r="G101" i="153" s="1"/>
  <c r="G102" i="153" s="1"/>
  <c r="G103" i="153" s="1"/>
  <c r="G104" i="153" s="1"/>
  <c r="G105" i="153" s="1"/>
  <c r="G106" i="153" s="1"/>
  <c r="G107" i="153" s="1"/>
  <c r="G108" i="153" s="1"/>
  <c r="G109" i="153" s="1"/>
  <c r="G110" i="153" s="1"/>
  <c r="G111" i="153" s="1"/>
  <c r="G112" i="153" s="1"/>
  <c r="G113" i="153" s="1"/>
  <c r="G114" i="153" s="1"/>
  <c r="G115" i="153" s="1"/>
  <c r="G116" i="153" s="1"/>
  <c r="G117" i="153" s="1"/>
  <c r="G118" i="153" s="1"/>
  <c r="G119" i="153" s="1"/>
  <c r="G120" i="153" s="1"/>
  <c r="G121" i="153" s="1"/>
  <c r="G122" i="153" s="1"/>
  <c r="G123" i="153" l="1"/>
  <c r="G125" i="153"/>
  <c r="G124" i="153" l="1"/>
  <c r="G129" i="153" s="1"/>
  <c r="G130" i="153" s="1"/>
  <c r="G131" i="153" s="1"/>
  <c r="G132" i="153" s="1"/>
  <c r="G133" i="153" s="1"/>
  <c r="G134" i="153" s="1"/>
  <c r="G135" i="153" s="1"/>
  <c r="G136" i="153" s="1"/>
  <c r="G137" i="153" s="1"/>
  <c r="G138" i="153" s="1"/>
  <c r="G139" i="153" s="1"/>
  <c r="G140" i="153" s="1"/>
  <c r="G141" i="153" s="1"/>
  <c r="G142" i="153" s="1"/>
  <c r="G143" i="153" s="1"/>
  <c r="G144" i="153" s="1"/>
  <c r="G145" i="153" s="1"/>
  <c r="G146" i="153" s="1"/>
  <c r="G147" i="153" s="1"/>
  <c r="G148" i="153" s="1"/>
  <c r="G149" i="153" s="1"/>
  <c r="G150" i="153" s="1"/>
  <c r="G151" i="153" s="1"/>
  <c r="G152" i="153" s="1"/>
  <c r="G153" i="153" s="1"/>
  <c r="G154" i="153" s="1"/>
  <c r="G155" i="153" s="1"/>
  <c r="G156" i="153" s="1"/>
  <c r="G157" i="153" s="1"/>
  <c r="G158" i="153" s="1"/>
  <c r="G159" i="153" s="1"/>
  <c r="G160" i="153" s="1"/>
  <c r="G161" i="153" s="1"/>
  <c r="G162" i="153" s="1"/>
  <c r="G163" i="153" s="1"/>
  <c r="G164" i="153" s="1"/>
  <c r="G165" i="153" s="1"/>
  <c r="G166" i="153" s="1"/>
  <c r="G167" i="153" s="1"/>
  <c r="G168" i="153" s="1"/>
  <c r="G169" i="153" s="1"/>
  <c r="G170" i="153" s="1"/>
  <c r="G171" i="153" s="1"/>
  <c r="G172" i="153" s="1"/>
  <c r="G173" i="153" s="1"/>
  <c r="G174" i="153" s="1"/>
  <c r="G175" i="153" s="1"/>
  <c r="G176" i="153" s="1"/>
  <c r="G177" i="153" s="1"/>
  <c r="G178" i="153" s="1"/>
  <c r="G179" i="153" s="1"/>
  <c r="G180" i="153" s="1"/>
  <c r="G181" i="153" s="1"/>
  <c r="G182" i="153" s="1"/>
  <c r="G183" i="153" s="1"/>
  <c r="G184" i="153" s="1"/>
  <c r="G185" i="153" s="1"/>
  <c r="G186" i="153" s="1"/>
  <c r="G187" i="153" s="1"/>
  <c r="G188" i="153" s="1"/>
  <c r="G189" i="153" s="1"/>
  <c r="G190" i="153" s="1"/>
  <c r="G191" i="153" s="1"/>
  <c r="G192" i="153" s="1"/>
  <c r="G193" i="153" s="1"/>
  <c r="G194" i="153" s="1"/>
  <c r="G195" i="153" s="1"/>
  <c r="G196" i="153" s="1"/>
  <c r="G197" i="153" s="1"/>
  <c r="G198" i="153" s="1"/>
  <c r="G199" i="153" s="1"/>
  <c r="G200" i="153" s="1"/>
  <c r="G201" i="153" s="1"/>
  <c r="G202" i="153" s="1"/>
  <c r="G203" i="153" s="1"/>
  <c r="G204" i="153" s="1"/>
  <c r="G205" i="153" s="1"/>
  <c r="G206" i="153" s="1"/>
  <c r="G207" i="153" s="1"/>
  <c r="G208" i="153" s="1"/>
  <c r="G209" i="153" s="1"/>
  <c r="G210" i="153" s="1"/>
  <c r="G211" i="153" s="1"/>
  <c r="G212" i="153" s="1"/>
  <c r="G213" i="153" s="1"/>
  <c r="G214" i="153" s="1"/>
  <c r="G215" i="153" s="1"/>
  <c r="G216" i="153" s="1"/>
  <c r="G217" i="153" s="1"/>
  <c r="G218" i="153" s="1"/>
  <c r="G219" i="153" s="1"/>
  <c r="G220" i="153" s="1"/>
  <c r="G221" i="153" s="1"/>
  <c r="G222" i="153" s="1"/>
  <c r="G223" i="153" s="1"/>
  <c r="G224" i="153" s="1"/>
  <c r="G225" i="153" s="1"/>
  <c r="G226" i="153" s="1"/>
  <c r="G227" i="153" s="1"/>
  <c r="G228" i="153" s="1"/>
  <c r="G229" i="153" s="1"/>
  <c r="G230" i="153" s="1"/>
  <c r="G231" i="153" s="1"/>
  <c r="G232" i="153" s="1"/>
  <c r="G233" i="153" s="1"/>
  <c r="G234" i="153" s="1"/>
  <c r="G235" i="153" s="1"/>
  <c r="G236" i="153" s="1"/>
  <c r="G237" i="153" s="1"/>
  <c r="G238" i="153" s="1"/>
  <c r="G239" i="153" s="1"/>
  <c r="G240" i="153" s="1"/>
  <c r="G241" i="153" s="1"/>
  <c r="G242" i="153" s="1"/>
  <c r="G243" i="153" s="1"/>
  <c r="G244" i="153" s="1"/>
  <c r="G245" i="153" s="1"/>
  <c r="G246" i="153" s="1"/>
  <c r="G247" i="153" s="1"/>
  <c r="G248" i="153" s="1"/>
  <c r="G249" i="153" s="1"/>
  <c r="G250" i="153" s="1"/>
  <c r="G251" i="153" s="1"/>
  <c r="G252" i="153" s="1"/>
  <c r="G253" i="153" s="1"/>
  <c r="G254" i="153" s="1"/>
  <c r="G255" i="153" s="1"/>
  <c r="G256" i="153" s="1"/>
  <c r="G257" i="153" s="1"/>
  <c r="G258" i="153" s="1"/>
  <c r="G259" i="153" s="1"/>
  <c r="G260" i="153" s="1"/>
  <c r="G261" i="153" s="1"/>
  <c r="G262" i="153" s="1"/>
  <c r="G263" i="153" s="1"/>
  <c r="G264" i="153" s="1"/>
  <c r="G265" i="153" s="1"/>
  <c r="G266" i="153" s="1"/>
  <c r="G267" i="153" s="1"/>
  <c r="G268" i="153" s="1"/>
  <c r="G269" i="153" s="1"/>
  <c r="G270" i="153" s="1"/>
  <c r="G271" i="153" s="1"/>
  <c r="G272" i="153" s="1"/>
  <c r="G273" i="153" s="1"/>
  <c r="G274" i="153" s="1"/>
  <c r="G275" i="153" s="1"/>
  <c r="G276" i="153" s="1"/>
  <c r="G277" i="153" s="1"/>
  <c r="G278" i="153" s="1"/>
  <c r="G279" i="153" s="1"/>
  <c r="G280" i="153" s="1"/>
  <c r="G281" i="153" s="1"/>
  <c r="G282" i="153" s="1"/>
  <c r="G283" i="153" s="1"/>
  <c r="G284" i="153" s="1"/>
  <c r="G285" i="153" s="1"/>
  <c r="G286" i="153" s="1"/>
  <c r="G287" i="153" s="1"/>
  <c r="G288" i="153" s="1"/>
  <c r="G289" i="153" s="1"/>
  <c r="G290" i="153" s="1"/>
  <c r="G291" i="153" s="1"/>
  <c r="G292" i="153" s="1"/>
  <c r="G293" i="153" s="1"/>
  <c r="G294" i="153" s="1"/>
  <c r="G295" i="153" s="1"/>
  <c r="G296" i="153" s="1"/>
  <c r="G297" i="153" s="1"/>
  <c r="G126" i="153"/>
  <c r="G299" i="153" l="1"/>
  <c r="G298" i="153"/>
  <c r="G300" i="153" s="1"/>
  <c r="G301" i="153" s="1"/>
  <c r="G302" i="153" s="1"/>
  <c r="G303" i="153" s="1"/>
  <c r="G304" i="153" s="1"/>
  <c r="G305" i="153" s="1"/>
  <c r="G306" i="153" s="1"/>
  <c r="G307" i="153" s="1"/>
  <c r="G308" i="153" s="1"/>
  <c r="G309" i="153" s="1"/>
  <c r="G310" i="153" s="1"/>
  <c r="G311" i="153" s="1"/>
  <c r="G312" i="153" s="1"/>
  <c r="G313" i="153" s="1"/>
  <c r="G314" i="153" s="1"/>
  <c r="G315" i="153" s="1"/>
  <c r="G316" i="153" s="1"/>
  <c r="G317" i="153" s="1"/>
  <c r="G318" i="153" s="1"/>
  <c r="G319" i="153" s="1"/>
  <c r="G320" i="153" s="1"/>
  <c r="G321" i="153" s="1"/>
  <c r="G322" i="153" s="1"/>
  <c r="G323" i="153" s="1"/>
  <c r="G324" i="153" s="1"/>
  <c r="G325" i="153" s="1"/>
  <c r="G326" i="153" s="1"/>
  <c r="G327" i="153" s="1"/>
  <c r="G328" i="153" s="1"/>
  <c r="G329" i="153" s="1"/>
  <c r="G330" i="153" s="1"/>
  <c r="G331" i="153" s="1"/>
  <c r="G332" i="153" s="1"/>
</calcChain>
</file>

<file path=xl/sharedStrings.xml><?xml version="1.0" encoding="utf-8"?>
<sst xmlns="http://schemas.openxmlformats.org/spreadsheetml/2006/main" count="4600" uniqueCount="739">
  <si>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</si>
  <si>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</si>
  <si>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</si>
  <si>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</si>
  <si>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</si>
  <si>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</si>
  <si>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</si>
  <si>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</si>
  <si>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</si>
  <si>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</si>
  <si>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</si>
  <si>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</si>
  <si>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</si>
  <si>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</si>
  <si>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</si>
  <si>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</si>
  <si>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</si>
  <si>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</si>
  <si>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</si>
  <si>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</si>
  <si>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</si>
  <si>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</si>
  <si>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</si>
  <si>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</si>
  <si>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</si>
  <si>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</si>
  <si>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</si>
  <si>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</si>
  <si>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</si>
  <si>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</si>
  <si>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</si>
  <si>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</si>
  <si>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</si>
  <si>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</si>
  <si>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</si>
  <si>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</si>
  <si>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</si>
  <si>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</si>
  <si>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</si>
  <si>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</si>
  <si>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</si>
  <si>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</si>
  <si>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</si>
  <si>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</si>
  <si>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</si>
  <si>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</si>
  <si>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</si>
  <si>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</si>
  <si>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</si>
  <si>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</si>
  <si>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</si>
  <si>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</si>
  <si>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</si>
  <si>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</si>
  <si>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</si>
  <si>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</si>
  <si>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</si>
  <si>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</si>
  <si>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</si>
  <si>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</si>
  <si>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</si>
  <si>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</si>
  <si>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</si>
  <si>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</si>
  <si>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</si>
  <si>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</si>
  <si>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</si>
  <si>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</si>
  <si>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</si>
  <si>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</si>
  <si>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</si>
  <si>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</si>
  <si>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</si>
  <si>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</si>
  <si>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</si>
  <si>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</si>
  <si>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</si>
  <si>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</si>
  <si>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</si>
  <si>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</si>
  <si>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</si>
  <si>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</si>
  <si>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</si>
  <si>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</si>
  <si>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</si>
  <si>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</si>
  <si>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</si>
  <si>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</si>
  <si>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</si>
  <si>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</si>
  <si>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</si>
  <si>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</si>
  <si>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</si>
  <si>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</si>
  <si>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</si>
  <si>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</si>
  <si>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</si>
  <si>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</si>
  <si>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</si>
  <si>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</si>
  <si>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</si>
  <si>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</si>
  <si>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</si>
  <si>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</si>
  <si>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</si>
  <si>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</si>
  <si>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</si>
  <si>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</si>
  <si>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</si>
  <si>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</si>
  <si>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</si>
  <si>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</si>
  <si>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</si>
  <si>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</si>
  <si>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</si>
  <si>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</si>
  <si>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</si>
  <si>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</si>
  <si>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</si>
  <si>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</si>
  <si>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</si>
  <si>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</si>
  <si>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</si>
  <si>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</si>
  <si>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</si>
  <si>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</si>
  <si>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</si>
  <si>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</si>
  <si>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BALANCE CAISSES ET BANQUE AU 30  Mai  2021</t>
  </si>
  <si>
    <t>Balance au          01 Mai  2021</t>
  </si>
  <si>
    <t>Balance au 30 Mai 2021</t>
  </si>
  <si>
    <t>MAI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</si>
  <si>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</si>
  <si>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</si>
  <si>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</si>
  <si>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</si>
  <si>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</si>
  <si>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</si>
  <si>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</si>
  <si>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</si>
  <si>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</si>
  <si>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</si>
  <si>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</si>
  <si>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</si>
  <si>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</si>
  <si>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</si>
  <si>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</si>
  <si>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</si>
  <si>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</si>
  <si>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</si>
  <si>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</si>
  <si>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</si>
  <si>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</si>
  <si>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</si>
  <si>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</si>
  <si>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</si>
  <si>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</si>
  <si>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</si>
  <si>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</si>
  <si>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</si>
  <si>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</si>
  <si>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</si>
  <si>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</si>
  <si>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</si>
  <si>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</si>
  <si>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</si>
  <si>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</si>
  <si>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</si>
  <si>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</si>
  <si>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</si>
  <si>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</si>
  <si>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</si>
  <si>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</si>
  <si>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</si>
  <si>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</si>
  <si>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</si>
  <si>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</si>
  <si>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</si>
  <si>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</si>
  <si>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</si>
  <si>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</si>
  <si>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</si>
  <si>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</si>
  <si>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</si>
  <si>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</si>
  <si>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</si>
  <si>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</si>
  <si>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</si>
  <si>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</si>
  <si>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</si>
  <si>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</si>
  <si>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</si>
  <si>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</si>
  <si>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</si>
  <si>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</si>
  <si>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</si>
  <si>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</si>
  <si>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</si>
  <si>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</si>
  <si>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</si>
  <si>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</si>
  <si>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</si>
  <si>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</si>
  <si>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</si>
  <si>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</si>
  <si>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</si>
  <si>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</si>
  <si>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</si>
  <si>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</si>
  <si>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</si>
  <si>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</si>
  <si>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</si>
  <si>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</si>
  <si>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Transfer fees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</si>
  <si>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</si>
  <si>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</si>
  <si>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</si>
  <si>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</si>
  <si>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</si>
  <si>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</si>
  <si>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</si>
  <si>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</si>
  <si>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</si>
  <si>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</si>
  <si>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</si>
  <si>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</si>
  <si>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</si>
  <si>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</si>
  <si>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</si>
  <si>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</si>
  <si>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Bonus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</si>
  <si>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</si>
  <si>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</si>
  <si>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</si>
  <si>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</si>
  <si>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</si>
  <si>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</si>
  <si>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</si>
  <si>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</si>
  <si>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Office Materials</t>
  </si>
  <si>
    <t>31/09/2022</t>
  </si>
  <si>
    <t>BALANCE 30 SEPTEMBRE 2022</t>
  </si>
  <si>
    <t>TOTAL DEPENSE EN SEPTEMBRE</t>
  </si>
  <si>
    <t>TOTAL RECU EN SEPTEMBRE</t>
  </si>
  <si>
    <t>BALANCE 01 SEPTEMBRE 2022</t>
  </si>
  <si>
    <t>BALANCE CAISSES ET BANQUE AU 30 SEPTEMBRE 2022</t>
  </si>
  <si>
    <t>BALANCE AU  01 SEPTEMBRE 2022</t>
  </si>
  <si>
    <t>Balance au 30 SEPTEMBRE 2022</t>
  </si>
  <si>
    <t>BALANCE 01 OCTOBRE 2022</t>
  </si>
  <si>
    <t>TOTAL RECU EN OCTOBRE</t>
  </si>
  <si>
    <t>TOTAL DEPENSE EN OCTOBRE</t>
  </si>
  <si>
    <t>BALANCE 31 OCTOBRE 2022</t>
  </si>
  <si>
    <t>BALANCE AU  01 OCTOBRE 2022</t>
  </si>
  <si>
    <t>Balance au 31 OCTOBRE 2022</t>
  </si>
  <si>
    <t>BALANCE CAISSES ET BANQUE AU 31 OCTOBRE 2022</t>
  </si>
  <si>
    <t>P10</t>
  </si>
  <si>
    <t>Donald</t>
  </si>
  <si>
    <t>BALANCE 01 NOVEMBRE 2022</t>
  </si>
  <si>
    <t>TOTAL RECU EN NOVEMBRE</t>
  </si>
  <si>
    <t>BALANCE 30 NOVEMBRE 2022</t>
  </si>
  <si>
    <t>Balance au 30 NOVEMBRE 2022</t>
  </si>
  <si>
    <t>BALANCE AU  01 NOVEMBRE 2022</t>
  </si>
  <si>
    <t>BALANCE CAISSES ET BANQUE AU 30 NOVEMBRE 2022</t>
  </si>
  <si>
    <t>BALANCE 01 DECEMBRE 2022</t>
  </si>
  <si>
    <t>BALANCE 31 DECEMBRE 2022</t>
  </si>
  <si>
    <t>BALANCE CAISSES ET BANQUE AU 31 DECEMBRE 2022</t>
  </si>
  <si>
    <t>BALANCE AU  01 DECEMBRE 2022</t>
  </si>
  <si>
    <t>Balance au 31 DECEMBRE 2022</t>
  </si>
  <si>
    <t>Internet</t>
  </si>
  <si>
    <t>T73</t>
  </si>
  <si>
    <t>D58</t>
  </si>
  <si>
    <t>Man Love</t>
  </si>
  <si>
    <t>BALANCE 01 JANVIER 2023</t>
  </si>
  <si>
    <t>BALANCE 31 JANVIER 2023</t>
  </si>
  <si>
    <t>BALANCE CAISSES ET BANQUE AU 31 JANVIER 2023</t>
  </si>
  <si>
    <t>BALANCE AU  01 JANVIER 2023</t>
  </si>
  <si>
    <t>Balance au 31 JANVIER 2023</t>
  </si>
  <si>
    <t>BALANCE 01 FEVRIER 2023</t>
  </si>
  <si>
    <t>BALANCE 28 FEVRIER 2023</t>
  </si>
  <si>
    <t>Balance au 28 FEVRIER 2023</t>
  </si>
  <si>
    <t>BALANCE AU  01 FEVRIER 2023</t>
  </si>
  <si>
    <t>Lawyer fees</t>
  </si>
  <si>
    <t>Solde au 28/02/2023</t>
  </si>
  <si>
    <t>BALANCE 01 MARS 2023</t>
  </si>
  <si>
    <t>TOTAL DEPENSE EN MARS</t>
  </si>
  <si>
    <t>BALANCE 31 MARS 2023</t>
  </si>
  <si>
    <t>BALANCE CAISSES ET BANQUE AU 31 MARS 2023</t>
  </si>
  <si>
    <t>BALANCE AU  01 MARS 2023</t>
  </si>
  <si>
    <t>Balance au 31 MARS 2023</t>
  </si>
  <si>
    <t>BALANCE CAISSES ET BANQUE AU 28 FEVRIER 2023</t>
  </si>
  <si>
    <t>Wildcat</t>
  </si>
  <si>
    <t>BALANCE 01 AVRIL 2023</t>
  </si>
  <si>
    <t>BALANCE 30 AVRIL2023</t>
  </si>
  <si>
    <t>BALANCE CAISSES ET BANQUE AU 30 AVRIL 2023</t>
  </si>
  <si>
    <t>BALANCE AU  01 AVRIL 2023</t>
  </si>
  <si>
    <t>Balance au 30 AVRIL 2023</t>
  </si>
  <si>
    <t>RALFF/wildcat</t>
  </si>
  <si>
    <t>BALANCE 01 MAI 2023</t>
  </si>
  <si>
    <t>BALANCE 31 MAI 2023</t>
  </si>
  <si>
    <t>BALANCE CAISSES ET BANQUE AU 31 MAI 2023</t>
  </si>
  <si>
    <t>BALANCE AU  01  MAI 2023</t>
  </si>
  <si>
    <t>Balance au 31 Mai 2023</t>
  </si>
  <si>
    <t>Office</t>
  </si>
  <si>
    <t>Donald-Roméo</t>
  </si>
  <si>
    <t>Oracle</t>
  </si>
  <si>
    <t>Frais de transfert charden farell à P29 et T73</t>
  </si>
  <si>
    <t xml:space="preserve">Paiement attestation d'hebergement pour Mr Luc </t>
  </si>
  <si>
    <t>Oui</t>
  </si>
  <si>
    <t>Relevé</t>
  </si>
  <si>
    <t>Décharge</t>
  </si>
  <si>
    <t>Transfert à Crépin/Grace MOLENDE</t>
  </si>
  <si>
    <t>Transfert à P29/Grace MOLENDE</t>
  </si>
  <si>
    <t>Operation</t>
  </si>
  <si>
    <t>Travel Subsistence</t>
  </si>
  <si>
    <t>Reçu caisse/Merveille</t>
  </si>
  <si>
    <t>Recu caisse/D58</t>
  </si>
  <si>
    <t xml:space="preserve">Reçu caisse/T73 </t>
  </si>
  <si>
    <t>Recu caisse/Hurielle</t>
  </si>
  <si>
    <t>Jail Visits</t>
  </si>
  <si>
    <t>Reçu caisse/Donald</t>
  </si>
  <si>
    <t>Achat billet Dolisie-Brazzalle/Donald</t>
  </si>
  <si>
    <t>Reçu de caisse/Crépin</t>
  </si>
  <si>
    <t>BALANCE 01 JUIN 2023</t>
  </si>
  <si>
    <t>BALANCE 30 JUIN 2023</t>
  </si>
  <si>
    <t>BALANCE CAISSES ET BANQUE AU 30 JUIN 2023</t>
  </si>
  <si>
    <t>BALANCE AU  01  JUIN 2023</t>
  </si>
  <si>
    <t>Balance au 30 Juin 2023</t>
  </si>
  <si>
    <t>RAPPORT FINANCIER JUIN 2023</t>
  </si>
  <si>
    <t>Solde au 01/06/2023</t>
  </si>
  <si>
    <t>Huirielle</t>
  </si>
  <si>
    <t>Frais de mission maitre Marie Hélène MALONGA à Dolisie du 02 au 03 Juin 2023</t>
  </si>
  <si>
    <t>Frais de transfert charden farell à Crépin Donald et Hurielle</t>
  </si>
  <si>
    <t>Tiffany/retour Caisse</t>
  </si>
  <si>
    <t>Bonus média portant sur l'interpellation de 4 présumés trafiquant de produits de faune,le 27/05/2023 à Dolisie</t>
  </si>
  <si>
    <t>P29/retour caisse</t>
  </si>
  <si>
    <t>Huirielle/retour caisse</t>
  </si>
  <si>
    <t>BCI-3654551-34</t>
  </si>
  <si>
    <t>BCI-3654552-34</t>
  </si>
  <si>
    <t>Reglement honoraire D58 du mois de Mai 2023</t>
  </si>
  <si>
    <t>T73/retour caisse</t>
  </si>
  <si>
    <t>Achat credit  teléphonique MTN/PALF/Prémière partie Juin 2023/Management</t>
  </si>
  <si>
    <t>Achat credit  teléphonique MTN/PALF/Prémière partie Juin 2023/Legal</t>
  </si>
  <si>
    <t>Achat credit  teléphonique MTN/PALF/Prémière partie Juin 2023/Legal Volontaire</t>
  </si>
  <si>
    <t>Achat credit  teléphonique MTN/PALF/Prémière partie Juin 2023/Investigation</t>
  </si>
  <si>
    <t>Achat credit  teléphonique MTN/PALF/Prémière partie Juin 2023/Media</t>
  </si>
  <si>
    <t>Achat credit  teléphonique Airtel/PALF/Prémière partie Juin 2023/Management</t>
  </si>
  <si>
    <t>Achat credit  teléphonique Airtel/PALF/Prémière partie Juin 2023/Legal</t>
  </si>
  <si>
    <t>Achat credit  teléphonique Airtel/PALF/Prémière partie Juin 2023/Investigation</t>
  </si>
  <si>
    <t>Achat credit  teléphonique Airtel/PALF/Prémière partie Juin 2023/Media</t>
  </si>
  <si>
    <t xml:space="preserve">Team building depart Tiffany </t>
  </si>
  <si>
    <t>Team building</t>
  </si>
  <si>
    <t>Bonus du mois de Mai 2023/Hurielle</t>
  </si>
  <si>
    <t>Bonus du mois de Mai 2023/Donald</t>
  </si>
  <si>
    <t>Bonus du mois de Mai 2023/Evariste</t>
  </si>
  <si>
    <t>Bonus du mois de Mai 2023/crepin</t>
  </si>
  <si>
    <t>Bonus du mois de Mai 2023/Merveille</t>
  </si>
  <si>
    <t>Bonus du mois de Mai 2023/Grace</t>
  </si>
  <si>
    <t>Paiment salaire Tiffany Mois de Juin 2023/du 01 au 09 Juin 2023</t>
  </si>
  <si>
    <t>Frais de transfert charden farell à D58</t>
  </si>
  <si>
    <t>Frais de transfert charden farell à T73 et P29</t>
  </si>
  <si>
    <t>Frais de mission Maitre Marie Hélène à Dolisie du 14 au 16/06/2023/suivi audience</t>
  </si>
  <si>
    <t>Achat credit  teléphonique MTN/PALF/Deuxième partie Juin 2023/Management</t>
  </si>
  <si>
    <t>Achat credit  teléphonique MTN/PALF/Deuxième partie Juin 2023/Legal</t>
  </si>
  <si>
    <t>Achat credit  teléphonique MTN/PALF/Deuxième partie Juin 2023/Investingation</t>
  </si>
  <si>
    <t>Achat credit  teléphonique MTN/PALF/Deuxième partie Juin 2023/Media</t>
  </si>
  <si>
    <t>Achat credit  teléphonique airtel/PALF/Deuxième partie Juin 2023/Management</t>
  </si>
  <si>
    <t>Achat credit  teléphonique airtel/PALF/Deuxième partie Juin 2023/Legal</t>
  </si>
  <si>
    <t>Achat credit  teléphonique airtel/PALF/Deuxième partie Juin 2023/Legal Volontaire</t>
  </si>
  <si>
    <t>Achat credit  teléphonique airtel/PALF/Deuxième partie Juin 2023/Investigation</t>
  </si>
  <si>
    <t>Frais de reparation groupe electrogène et montage batterie</t>
  </si>
  <si>
    <t>Configuration imprimante et repeteur</t>
  </si>
  <si>
    <t>Team building arrivée Mr DOVI (Nouveau Coordinateur)</t>
  </si>
  <si>
    <t>BCI-36545454-34</t>
  </si>
  <si>
    <t>Dovi</t>
  </si>
  <si>
    <t>Achat Crédit  téléphone pour DOVI</t>
  </si>
  <si>
    <t>Reglemeent Facture Internet (Canal Box_Periode du 30/06 au 1/08/ 2023)</t>
  </si>
  <si>
    <t>Entretretien général Jardin, Bureau PALF Mois de Juin 2023</t>
  </si>
  <si>
    <t>Règlement prestation technicienne de surface (mois de Juin  2023)</t>
  </si>
  <si>
    <t>Frais de transfert charden farell à Crépin Donald et Evariste</t>
  </si>
  <si>
    <t>Reglement honoraire D58 du mois de Juin 2023</t>
  </si>
  <si>
    <t>Oracle/retour caisse</t>
  </si>
  <si>
    <t>Merveille/retour caisse</t>
  </si>
  <si>
    <t>Retrait especes/appro caisse/bord n°3654551</t>
  </si>
  <si>
    <t>Retrait especes/appro caisse/bord n°3654552</t>
  </si>
  <si>
    <t>Grant</t>
  </si>
  <si>
    <t>Virement</t>
  </si>
  <si>
    <t>Bank Fees</t>
  </si>
  <si>
    <t>Approvisionnement/Equilibre des comptes</t>
  </si>
  <si>
    <t>Equipements</t>
  </si>
  <si>
    <t>Acompte Honoraire contrat N°58 Dolisie cas KIBAMBA et Consorts/maitre Marie Hélène NANITELAMIO</t>
  </si>
  <si>
    <t>Retrait espèces chèque N°3667357</t>
  </si>
  <si>
    <t>Paiement salaire mois de Juin 2023/ Crépin IBOUILI IBOUILI/ CH N°3667350</t>
  </si>
  <si>
    <t>Paiement salaire mois de Juin 2023/ Hurielle MFOULOU/ CH N°3667351</t>
  </si>
  <si>
    <t>Paiement salaire mois de Juin 2023/PINDI BINGA Donald-Romé/ CH N°3667352</t>
  </si>
  <si>
    <t>Paiement salaire mois de Juin 2023/ Evariste LELOUSSI/ CH N°3667356</t>
  </si>
  <si>
    <t>Paiement salaire mois de Juin 2023/ Merveille MAHANGA/ CH N°3667354</t>
  </si>
  <si>
    <t>Paiement salaire mois de Juin 2023/ Grace Molende/ CH N°3667353</t>
  </si>
  <si>
    <t>Reglement Honoraire du mois de Juin 2023/P29/ch:3667358</t>
  </si>
  <si>
    <t>Reglement Honoraire du mois de Mai 2023/T73/ch:3667359</t>
  </si>
  <si>
    <t>Reçu de Roméo/Crépin</t>
  </si>
  <si>
    <t>Reçu de  caisse/Crépin</t>
  </si>
  <si>
    <t>CREPIN - CONGO Frais d'hotel du 31/05/ au 03/06/2023 à Dolisie (03 nuitées)</t>
  </si>
  <si>
    <t xml:space="preserve">Bille: Dolisie-Brazzaville /Crépin </t>
  </si>
  <si>
    <t xml:space="preserve">Billet: Brazzaville-Pointe-Noire /Crépin </t>
  </si>
  <si>
    <t>CREPIN - CONGO Food-Allowance du 25/06/ au 02/07/2023 (07 nuitées)</t>
  </si>
  <si>
    <t>Reçu de Merveille/Crépin</t>
  </si>
  <si>
    <t>Bonus pour 18 gendarmes ayant participé à l'opération du 28/06/2023 à Pointe-Noire</t>
  </si>
  <si>
    <t>Bonus d'un agent EF ayant participé à l'opération du 28/06/2023 à Pointe-Noire</t>
  </si>
  <si>
    <t>CREPIN - CONGO 05 Frais d'hotel du 25 au 30/06/2023 à Pointe-Noire (07 nuitées)</t>
  </si>
  <si>
    <t>Cumul frais de transport local mois de Juin 2023/Crépin IBOUILI</t>
  </si>
  <si>
    <t>Achat billet Brazzaville - Loudima/D58</t>
  </si>
  <si>
    <t>Achat billet Loudima - Sibiti /D58</t>
  </si>
  <si>
    <t>D58 - CONGO Food allowance du 06 au 13/06/2023 (07 nuitées)</t>
  </si>
  <si>
    <t>Travel subsistence</t>
  </si>
  <si>
    <t>Achat billet SIBITI  pour LOUDIMA /D58</t>
  </si>
  <si>
    <t>Achat Billet Loudima - Pointe Noire/D58</t>
  </si>
  <si>
    <t xml:space="preserve">D58 - CONGO Frais d'hotel du 06 au 08/06/2023 (02 nuitées) à Sibiti </t>
  </si>
  <si>
    <t>Achat billet pour Pointe noire -Brazzaville/D58</t>
  </si>
  <si>
    <t>Achat billet pour Brazzaville - Loudima /D58</t>
  </si>
  <si>
    <t>D58 - CONGO Frais d'hotel du 22 au 25/06/2023 à Sibiti (03nuitées)</t>
  </si>
  <si>
    <t>Achat billet Loudima - Sibiti (Gare Routiere)/D58</t>
  </si>
  <si>
    <t>Cumul frais de Trust Building du mois de Juin 2023 / D58</t>
  </si>
  <si>
    <t>D58 - CONGO Food allowance du 22 au 25/06/2023 (03 nuitées)</t>
  </si>
  <si>
    <t>Achat billet pour Sibiti - Loudima /D58</t>
  </si>
  <si>
    <t>Achat billet pour Loudima - BRAZZAVILLE /D58</t>
  </si>
  <si>
    <t>Cumul frais de transport local du mois de Juin 2023 / D58</t>
  </si>
  <si>
    <t>Reçu caisse/Dovi</t>
  </si>
  <si>
    <t>DOVI</t>
  </si>
  <si>
    <t>DOVI- CONGO  Food allowance de la mission du 25 au 29 juin 2023 (04 nuitées)</t>
  </si>
  <si>
    <t>Reçu Grace/Dovi</t>
  </si>
  <si>
    <t>Cumul Frais de Transport Local du mois Juin 2023/Dovi</t>
  </si>
  <si>
    <t xml:space="preserve">DOVI-CONGO Frais d'hotel du 25 au 29 juin 2023 soit 04 nuitées / à Pointe Noire </t>
  </si>
  <si>
    <t>Cumul Frais de Jail visit mois de Juin 2023/Hurielle</t>
  </si>
  <si>
    <t>HURIELLE - CONGO Frais d'hôtel du  31/05 au 03/06/2023 à Dolisie</t>
  </si>
  <si>
    <t>Achat billet de retour Dolisie-Brazzaville/Hurielle</t>
  </si>
  <si>
    <t>Retour caisse/Hurielle</t>
  </si>
  <si>
    <t>Cumul Frais de transport local mois de Juin 2023/Hurielle</t>
  </si>
  <si>
    <t>Achat billet Brazzaville - Pointe Noire/Merveille</t>
  </si>
  <si>
    <t>MERVEILLE-CONGO Food allowance mission du 25 au 29 Juin 2023 ( 04 Nuitées) à Pointe-Noire et Nkayi</t>
  </si>
  <si>
    <t>Reçu de Grace/Merveille</t>
  </si>
  <si>
    <t>Location voiture Pointe - Noire NKAYI/extraction  P29</t>
  </si>
  <si>
    <t>Reçu de P29/Merveille</t>
  </si>
  <si>
    <t>MERVEILLE-CONGO Frais d'hotel  du 25 au 28 Juin 2023 ( 03 Nuitées) à Pointe-Noire</t>
  </si>
  <si>
    <t>Achat billet Nkayi - Brazzaville / Merveille</t>
  </si>
  <si>
    <t>MERVEILLE-CONGO Frais d'hotel  du 28 au 29 Juin 2023 ( 01 Nuitée) à Nkayi</t>
  </si>
  <si>
    <t>Cumul frais de transport local mois de Juin 2023/Merveille MAHANGA</t>
  </si>
  <si>
    <t>Retour caisse/Merveille</t>
  </si>
  <si>
    <t>T73 - CONGO Food Allowance du 01 au 05/06/2023 (04 nuitées)</t>
  </si>
  <si>
    <t>achat billet Brazzaville - pointe-Noire/T73</t>
  </si>
  <si>
    <t>achat billet pointe noire - brazzaville/T73</t>
  </si>
  <si>
    <t>T73 - CONGO Frais d'Hotel du 01 au 05/06/2023 (04 nuitées) à dolisie</t>
  </si>
  <si>
    <t xml:space="preserve">Retour caisse/T73 </t>
  </si>
  <si>
    <t>Achat /billet brazzaville - boundji/T73</t>
  </si>
  <si>
    <t>T73 - CONGO Food Allowance du 09 au 17/06/2023 (08 nuitées)</t>
  </si>
  <si>
    <t>T73 - CONGO Frais d'Hotel du 09 au 11/06/2023 (02 nuitées) à Boundji</t>
  </si>
  <si>
    <t>achat billet: boundji - makoua/T73</t>
  </si>
  <si>
    <t>transport</t>
  </si>
  <si>
    <t>T73 - CONGO Frais d'Hotel du 11 au 14/06/2023 (03 nuitées) à makoua</t>
  </si>
  <si>
    <t>achat billet/ Makoua - Owando/T73</t>
  </si>
  <si>
    <t>achat billet/ Owando - Brazzaville/T73</t>
  </si>
  <si>
    <t>T73 - CONGO Frais d'Hotel du 14 au 17/06/2023 (03 nuitées) à Owando</t>
  </si>
  <si>
    <t>achat billet: brazzaville - pointe noire /T73</t>
  </si>
  <si>
    <t>T73 - CONGO Food Allowance du 20 au 29/06/2023 (09 nuitées)</t>
  </si>
  <si>
    <t xml:space="preserve">Reçu de P29/T73 </t>
  </si>
  <si>
    <t>Reçu de caisse/T73</t>
  </si>
  <si>
    <t>Cumul frais de Trust Building mois de Juin 2023/T73</t>
  </si>
  <si>
    <t>Trust building</t>
  </si>
  <si>
    <t>T73 - CONGO Frais d'Hotel du 20 au 29/06/2023 (09 nuitées) à Pointe noire</t>
  </si>
  <si>
    <t>Cumul frais de transport local du mois de Juin 2023/T73</t>
  </si>
  <si>
    <t>Retour caisse / Tiffany</t>
  </si>
  <si>
    <t>Cumul frais de transport local mois de Juin 2023/Tiffany</t>
  </si>
  <si>
    <t>Reçu caisse / Tiffany Solde de sa compta</t>
  </si>
  <si>
    <t>Remis à Crépin/ Budget procédure Gendarmerie/Donald</t>
  </si>
  <si>
    <t>Achat billet Brazzalle-Pointe-Noire/Donald</t>
  </si>
  <si>
    <t>Achat, 05 paires de gants,10 caches nez, 03 serviettes</t>
  </si>
  <si>
    <t>Reçu caisse/ Completer frais d'hotel/Donald</t>
  </si>
  <si>
    <t>Cumul Frais de Jail visit du mois Juin 2023/Donald</t>
  </si>
  <si>
    <t>Cumul Frais de transport local du mois Juin 2023/Donald</t>
  </si>
  <si>
    <t>Photocopie de 8 pages (dossier certificat d'hebergement)</t>
  </si>
  <si>
    <t>Reçu de la caisse / Evariste</t>
  </si>
  <si>
    <t>Achat billet Brazzaville - Pointe Noire / Evariste</t>
  </si>
  <si>
    <t>EVARISTE - CONGO Food Allowance du 25 juin au 2 juillet 2023, mission de Pointe Noire</t>
  </si>
  <si>
    <t>Reçu de Grace / Evariste</t>
  </si>
  <si>
    <t>Achat du carburant pour la BJ opération du 28 juin 2023 à Pointe Noire</t>
  </si>
  <si>
    <t>Cumul frais de Transport local mois de Juin 2023/EVARISTE LELOUSSI</t>
  </si>
  <si>
    <t>Reçu Caisse/Avance sur Salaire/Grace MOLENDE</t>
  </si>
  <si>
    <t>Reçu caisse /Grace MOLENDE</t>
  </si>
  <si>
    <t>Achat Billet Brazzaville - Pointe Noire /Grace MOLENDE</t>
  </si>
  <si>
    <t>GRACE MOLENDE - CONGO Food Allowance du 25 au 29/06/2023 à Pointe Noire (04 nuitées)</t>
  </si>
  <si>
    <t>Transfert à Jules/Grace MOLENDE</t>
  </si>
  <si>
    <t>Transfert à Merveille/Grace MOLENDE</t>
  </si>
  <si>
    <t>Transfert à Evariste/Grace MOLENDE</t>
  </si>
  <si>
    <t>Transfert à Donald/Grace MOLENDE</t>
  </si>
  <si>
    <t>Rafraischissement avec 04 gendarmes en civil avant l'OP</t>
  </si>
  <si>
    <t>Achat Billet Pointe Noire - Brazzaville /Grace MOLENDE</t>
  </si>
  <si>
    <t>GRACE MOLENDE - CONGO Frais d'hotel du 25 au 29/06/2023 à Pointe Noire (04 nuitées)</t>
  </si>
  <si>
    <t>Reçu de P29 /Grace MOLENDE</t>
  </si>
  <si>
    <t>Cumul frais de transport local du mois de Juin 2023/ GRACE MOLENDE</t>
  </si>
  <si>
    <t>Retour caisse/P29</t>
  </si>
  <si>
    <t>Reçu de caisse/P29</t>
  </si>
  <si>
    <t>Achat billet Brazzaville-owando/P29</t>
  </si>
  <si>
    <t>P29 - CONGO Food allowance mission du 09 au 17-06-2023 (08 nuitées)</t>
  </si>
  <si>
    <t>Achat billet owando-oyo/P29</t>
  </si>
  <si>
    <t>Achat billet oyo-djambala/P29</t>
  </si>
  <si>
    <t>Achat billet djambala-Brazzaville/P29</t>
  </si>
  <si>
    <t>Achat billet Brazzaville - Pointe Noire /P29</t>
  </si>
  <si>
    <t>P29 - CONGO Frais d'Hotel du 20  au 26/06/2023  à pointe noire (06 nuitées)</t>
  </si>
  <si>
    <t>Paiement frais demarcheur lieu op</t>
  </si>
  <si>
    <t>Remis à merveille/P29</t>
  </si>
  <si>
    <t>Achat billet Brazzaville - Nkayi//P29</t>
  </si>
  <si>
    <t>Cumul frais de Transport local mois de Juin 2023/P29</t>
  </si>
  <si>
    <t>P29 - CONGO Frais d'Hotel du 28  au  29/06/2023  à Nkayi  (01 nuitée)</t>
  </si>
  <si>
    <t>Reçu caisse/Oracle</t>
  </si>
  <si>
    <t xml:space="preserve">Versement </t>
  </si>
  <si>
    <t>Achat billet Brazzaville - Pointe-Noire/Oracle</t>
  </si>
  <si>
    <t xml:space="preserve"> Transport </t>
  </si>
  <si>
    <t>ORACLE - CONGO Food allowance du 06 au 09/06/2023 (04 nuitées)</t>
  </si>
  <si>
    <t xml:space="preserve">ORACLE - CONGO Frais d’hôtel du 6  au 9 juin 2023 à Pointe Noire (03 nuitées) </t>
  </si>
  <si>
    <t>Achat billet de bus: Pointe-Noire - Dolisie/Oracle</t>
  </si>
  <si>
    <t xml:space="preserve">ORACLE - CONGO Frais d’hôtel du 9 au 10 juin 2023 à Dolisie (01 nuitée) </t>
  </si>
  <si>
    <t>Achat billet de bus: Dolisie - Brazzaville/Oracle</t>
  </si>
  <si>
    <t>Achat billet Brazzaville - Loudima/Oracle</t>
  </si>
  <si>
    <t>Achat billet Loudima - Gare routière de Sibiti/Oracle</t>
  </si>
  <si>
    <t>ORACLE - CONGO Food allowance du 25 au 29/06/2023 (04 nuitées)</t>
  </si>
  <si>
    <t>Frais d’ordonnance de BAYIDIKAMIO Darniche</t>
  </si>
  <si>
    <t>Jail visits</t>
  </si>
  <si>
    <t xml:space="preserve">ORACLE - CONGO Frais d’hôtel du 25 au 29 juin 2023 à Sibiti (04 nuitées) </t>
  </si>
  <si>
    <t>Achat billet  Gare routière de Sibiti - Loudima/Oracle</t>
  </si>
  <si>
    <t>Achat billet de bus: Loudima - Brazzaville/Oracle</t>
  </si>
  <si>
    <t>Cumul frais de ration journalière mois de Juin 2023/Oracle</t>
  </si>
  <si>
    <t>Cumul frais de transport local mois de Juin 2023/Oracle</t>
  </si>
  <si>
    <t>Retour Caisse/Oracle</t>
  </si>
  <si>
    <t xml:space="preserve">Merveille/Réservation Hébergement Hélène BLANCHARD </t>
  </si>
  <si>
    <t>Frais bancaire/Compte 34</t>
  </si>
  <si>
    <t>Frais bancaire/Compte56</t>
  </si>
  <si>
    <t>Fonds reçu de Wildcat EAGLE</t>
  </si>
  <si>
    <t>CONGO</t>
  </si>
  <si>
    <t>5.6</t>
  </si>
  <si>
    <t>Achat Imprimante LaserJet HPMA83FW/Bureau PALF</t>
  </si>
  <si>
    <t>3.2</t>
  </si>
  <si>
    <t>4.5</t>
  </si>
  <si>
    <t>5.2.2</t>
  </si>
  <si>
    <t>4.3</t>
  </si>
  <si>
    <t>Achat 10 Agendas pour l'équipe/Bureau PALF</t>
  </si>
  <si>
    <t>Achat produits d'entretien bureau/Javel,sucre,papier toilette,café,lait,Brosse et sac poubelle /Bureau PALF</t>
  </si>
  <si>
    <t>Achat papier bristol et pile/Bureau PALF</t>
  </si>
  <si>
    <t>Achat batterie pour groupe electrogène du Bureau PALF</t>
  </si>
  <si>
    <t>1.1.1.9</t>
  </si>
  <si>
    <t>1.1.1.1</t>
  </si>
  <si>
    <t>1.1.1.7</t>
  </si>
  <si>
    <t>1.1.1.4</t>
  </si>
  <si>
    <t>1.1.2.1</t>
  </si>
  <si>
    <t>4.4</t>
  </si>
  <si>
    <t>4.6</t>
  </si>
  <si>
    <t>2.2</t>
  </si>
  <si>
    <t>DONALD ROMEO - CONGO Food Allowance Mission du 13 au 16/06/2023 (03 nuitées)</t>
  </si>
  <si>
    <t>DONALD ROMEO - CONGO Frais d'hôtel 05 Nuitées du 25 au 30/06/2023 à Pointe Noire</t>
  </si>
  <si>
    <t>DONALD ROMEO - CONGO Food Allowance Mission du 25/06 au 07/07/2023 (12 nuitées)</t>
  </si>
  <si>
    <t>1.3.2</t>
  </si>
  <si>
    <t>Achat raffraichissement pendant l'OP/Gendarmes</t>
  </si>
  <si>
    <t>Raffraichissement ( 3 bières locales 1000 l'unité, 01 Savana 2000) avant OP./Gendarmes</t>
  </si>
  <si>
    <t>Cumul Frais Médicaux détenu BALENDA à Dolisie//Donald</t>
  </si>
  <si>
    <t>DONALD ROMEO - CONGO Frais d'hôtel/ 03 Nuitées du 31 mai au 03/06/2023 à Dolisie</t>
  </si>
  <si>
    <t>Étiquettes de colonnes</t>
  </si>
  <si>
    <t>Étiquettes de lignes</t>
  </si>
  <si>
    <t>Total général</t>
  </si>
  <si>
    <t>P29 - CONGO Frais d'Hotel du 26  au 28/06/2023  à pointe noire,appt lieu op (02 nuitées)</t>
  </si>
  <si>
    <t>P29 - CONGO Frais d'Hotel du 28 au 29/06/2023  à pointe noire, apptt lieu op  (01 nuitée)</t>
  </si>
  <si>
    <t>Frais achat rame de papier , impression et autres fourniture pour la procédure de la gendarmerie</t>
  </si>
  <si>
    <t>P29 - CONGO Frais d'Hotel du 13  au 15/06/2023  à oyo (02 nuitées)</t>
  </si>
  <si>
    <t>RALFF-CO4608</t>
  </si>
  <si>
    <t>RALFF-CO4609</t>
  </si>
  <si>
    <t>RALFF-CO4610</t>
  </si>
  <si>
    <t>RALFF-CO4611</t>
  </si>
  <si>
    <t>RALFF-CO4612</t>
  </si>
  <si>
    <t>RALFF-CO4613</t>
  </si>
  <si>
    <t>RALFF-CO4614</t>
  </si>
  <si>
    <t>RALFF-CO4615</t>
  </si>
  <si>
    <t>RALFF-CO4616</t>
  </si>
  <si>
    <t>RALFF-CO4617</t>
  </si>
  <si>
    <t>RALFF-CO4618</t>
  </si>
  <si>
    <t>RALFF-CO4619</t>
  </si>
  <si>
    <t>RALFF-CO4620</t>
  </si>
  <si>
    <t>RALFF-CO4621</t>
  </si>
  <si>
    <t>RALFF-CO4622</t>
  </si>
  <si>
    <t>RALFF-CO4623</t>
  </si>
  <si>
    <t>RALFF-CO4624</t>
  </si>
  <si>
    <t>RALFF-CO4625</t>
  </si>
  <si>
    <t>RALFF-CO4626</t>
  </si>
  <si>
    <t>RALFF-CO4627</t>
  </si>
  <si>
    <t>RALFF-CO4628</t>
  </si>
  <si>
    <t>RALFF-CO4629</t>
  </si>
  <si>
    <t>RALFF-CO4630</t>
  </si>
  <si>
    <t>RALFF-CO4631</t>
  </si>
  <si>
    <t>RALFF-CO4632</t>
  </si>
  <si>
    <t>RALFF-CO4633</t>
  </si>
  <si>
    <t>RALFF-CO4634</t>
  </si>
  <si>
    <t>RALFF-CO4635</t>
  </si>
  <si>
    <t>RALFF-CO4636</t>
  </si>
  <si>
    <t>RALFF-CO4637</t>
  </si>
  <si>
    <t>RALFF-CO4638</t>
  </si>
  <si>
    <t>RALFF-CO4639</t>
  </si>
  <si>
    <t>RALFF-CO4640</t>
  </si>
  <si>
    <t>RALFF-CO4641</t>
  </si>
  <si>
    <t>RALFF-CO4642</t>
  </si>
  <si>
    <t>RALFF-CO4643</t>
  </si>
  <si>
    <t>RALFF-CO4644</t>
  </si>
  <si>
    <t>RALFF-CO4645</t>
  </si>
  <si>
    <t>RALFF-CO4646</t>
  </si>
  <si>
    <t>RALFF-CO4647</t>
  </si>
  <si>
    <t>RALFF-CO4648</t>
  </si>
  <si>
    <t>RALFF-CO4649</t>
  </si>
  <si>
    <t>RALFF-CO4650</t>
  </si>
  <si>
    <t>RALFF-CO4651</t>
  </si>
  <si>
    <t>RALFF-CO4652</t>
  </si>
  <si>
    <t>RALFF-CO4653</t>
  </si>
  <si>
    <t>RALFF-CO4654</t>
  </si>
  <si>
    <t>RALFF-CO4655</t>
  </si>
  <si>
    <t>RALFF-CO4656</t>
  </si>
  <si>
    <t>RALFF-CO4657</t>
  </si>
  <si>
    <t>RALFF-CO4658</t>
  </si>
  <si>
    <t>RALFF-CO4659</t>
  </si>
  <si>
    <t>RALFF-CO4660</t>
  </si>
  <si>
    <t>RALFF-CO4661</t>
  </si>
  <si>
    <t>RALFF-CO4662</t>
  </si>
  <si>
    <t>RALFF-CO4663</t>
  </si>
  <si>
    <t>RALFF-CO4664</t>
  </si>
  <si>
    <t>RALFF-CO4665</t>
  </si>
  <si>
    <t>RALFF-CO4666</t>
  </si>
  <si>
    <t>RALFF-CO4667</t>
  </si>
  <si>
    <t>RALFF-CO4668</t>
  </si>
  <si>
    <t>RALFF-CO4669</t>
  </si>
  <si>
    <t>RALFF-CO4670</t>
  </si>
  <si>
    <t>RALFF-CO4671</t>
  </si>
  <si>
    <t>RALFF-CO4672</t>
  </si>
  <si>
    <t>RALFF-CO4673</t>
  </si>
  <si>
    <t>RALFF-CO4674</t>
  </si>
  <si>
    <t>RALFF-CO4675</t>
  </si>
  <si>
    <t>RALFF-CO4676</t>
  </si>
  <si>
    <t>RALFF-CO4677</t>
  </si>
  <si>
    <t>RALFF-CO4678</t>
  </si>
  <si>
    <t>RALFF-CO4679</t>
  </si>
  <si>
    <t>RALFF-CO4680</t>
  </si>
  <si>
    <t>RALFF-CO4681</t>
  </si>
  <si>
    <t>RALFF-CO4682</t>
  </si>
  <si>
    <t>RALFF-CO4683</t>
  </si>
  <si>
    <t>RALFF-CO4684</t>
  </si>
  <si>
    <t>RALFF-CO4685</t>
  </si>
  <si>
    <t>RALFF-CO4686</t>
  </si>
  <si>
    <t>RALFF-CO4687</t>
  </si>
  <si>
    <t>RALFF-CO4688</t>
  </si>
  <si>
    <t>RALFF-CO4689</t>
  </si>
  <si>
    <t>RALFF-CO4690</t>
  </si>
  <si>
    <t>RALFF-CO4691</t>
  </si>
  <si>
    <t>RALFF-CO4692</t>
  </si>
  <si>
    <t>RALFF-CO4693</t>
  </si>
  <si>
    <t>Total Somme de Received</t>
  </si>
  <si>
    <t>Somme de Received</t>
  </si>
  <si>
    <t>Total Somme de Spent</t>
  </si>
  <si>
    <t>Somme de Spent</t>
  </si>
  <si>
    <t>BCI-36545457-56</t>
  </si>
  <si>
    <t>P29 - CONGO Frais d'Hotel du 09  au 13/06/2023  à owando (04 nuitées)</t>
  </si>
  <si>
    <t>RALFF-CO4694</t>
  </si>
  <si>
    <t>RALFF-CO4695</t>
  </si>
  <si>
    <t>RALFF-CO4696</t>
  </si>
  <si>
    <t>RALFF-CO4697</t>
  </si>
  <si>
    <t>RALFF-CO4698</t>
  </si>
  <si>
    <t>RALFF-CO4699</t>
  </si>
  <si>
    <t>Taxes sur le règlement facture d'eau periode Mai- Juin 2023</t>
  </si>
  <si>
    <t>Bonus média portant sur l'interpellation de 4 présumés trafiquants de produits de faune,le 27/05/2023 à Dolisie</t>
  </si>
  <si>
    <t>Achat billet Dolisie-Brazzaville/Donald</t>
  </si>
  <si>
    <t>Retrait espèces/appro caisse</t>
  </si>
  <si>
    <t>Achat billet Brazzaville-Dolisie/Donald</t>
  </si>
  <si>
    <t>Achat de 04 bouteilles  d'eau minerale MAXI/Bureau PALF</t>
  </si>
  <si>
    <t>P29 - CONGO Food allowance mission du 20-06 au 29-06-2023 soit 09 nuitées</t>
  </si>
  <si>
    <t>DONALD ROMEO - CONGO Frais d'hôtel/ du 13 au 16/06/2023 (03 Nuitées) à Dolisie</t>
  </si>
  <si>
    <t xml:space="preserve">P29 - CONGO Frais d'Hotel du 17  au 19/06/2023 (02 nuitées)  à djambala </t>
  </si>
  <si>
    <t>Achat fournitures de Bureau/Encreur,rame papier,marqueur et colle /Bureau PALF</t>
  </si>
  <si>
    <t>Retrait espèces/appro caisse/bord n°3654554</t>
  </si>
  <si>
    <t>Hurielle/retour caisse</t>
  </si>
  <si>
    <t>Achat billet de voyage de Brazzaville - Pointe Noire/Dovi</t>
  </si>
  <si>
    <t>Cumul frais de Trust Building mois de Juin 2023/P29</t>
  </si>
  <si>
    <t>Cumul frais de Jail visit mois de Juin 2023/Oracle</t>
  </si>
  <si>
    <t>achat billet: Pointe Noire -Brazzaville/T73</t>
  </si>
  <si>
    <t>Remis à Grace/P29</t>
  </si>
  <si>
    <t>Règlement Salaire du mois de Juin 2023/Dovi Homéfa (Jours Travaillés)</t>
  </si>
  <si>
    <t>Rafraichissement et restauration Gendarmes pendant l'attente OP</t>
  </si>
  <si>
    <t>Achat billet de voyage de Pointe Noire - Brazzaville/Dovi</t>
  </si>
  <si>
    <t>Rafraichissement Gendarmes lors de l'opération du 28 juin 2023 à Pointe Noire</t>
  </si>
  <si>
    <t>EVARISTE - CONGO Frais d'hotel du 25 juin au 30 juin 2023 (05 nuitées) à Pointe Noire</t>
  </si>
  <si>
    <t>Règlement facture d'eau période Mai- Juin 2023</t>
  </si>
  <si>
    <t>Paiement Attestation d'Hebergement pour Mr DOVI</t>
  </si>
  <si>
    <t>Achat credit  téléphonique MTN/PALF/du 19 au 30 Juin 2023/Dovi/Management</t>
  </si>
  <si>
    <t>RALFF-CO4700</t>
  </si>
  <si>
    <t>RALFF-CO4701</t>
  </si>
  <si>
    <t>RALFF-CO4702</t>
  </si>
  <si>
    <t>RALFF-CO4703</t>
  </si>
  <si>
    <t>RALFF-CO4704</t>
  </si>
  <si>
    <t>RALFF-CO4705</t>
  </si>
  <si>
    <t>RALFF-CO4706</t>
  </si>
  <si>
    <t>RALFF-CO4707</t>
  </si>
  <si>
    <t>RALFF-CO4708</t>
  </si>
  <si>
    <t>RALFF-CO4709</t>
  </si>
  <si>
    <t>RALFF-CO4710</t>
  </si>
  <si>
    <t>RALFF-CO4711</t>
  </si>
  <si>
    <t>RALFF-CO4712</t>
  </si>
  <si>
    <t>RALFF-CO4713</t>
  </si>
  <si>
    <t>RALFF-CO4714</t>
  </si>
  <si>
    <t>RALFF-CO4715</t>
  </si>
  <si>
    <t>RALFF-CO4716</t>
  </si>
  <si>
    <t>RALFF-CO4717</t>
  </si>
  <si>
    <t>RALFF-CO4718</t>
  </si>
  <si>
    <t>RALFF-CO4719</t>
  </si>
  <si>
    <t>RALFF-CO4720</t>
  </si>
  <si>
    <t>RALFF-CO4721</t>
  </si>
  <si>
    <t>RALFF-CO4722</t>
  </si>
  <si>
    <t>RALFF-CO4723</t>
  </si>
  <si>
    <t>RALFF-CO4724</t>
  </si>
  <si>
    <t>RALFF-CO4725</t>
  </si>
  <si>
    <t>RALFF-CO4726</t>
  </si>
  <si>
    <t>RALFF-CO4727</t>
  </si>
  <si>
    <t>RALFF-CO4728</t>
  </si>
  <si>
    <t>RALFF-CO4729</t>
  </si>
  <si>
    <t>RALFF-CO4730</t>
  </si>
  <si>
    <t>RALFF-CO4731</t>
  </si>
  <si>
    <t>RALFF-CO4732</t>
  </si>
  <si>
    <t>RALFF-CO4733</t>
  </si>
  <si>
    <t>RALFF-CO4734</t>
  </si>
  <si>
    <t>RALFF-CO4735</t>
  </si>
  <si>
    <t>RALFF-CO4736</t>
  </si>
  <si>
    <t>RALFF-CO4737</t>
  </si>
  <si>
    <t>RALFF-CO4738</t>
  </si>
  <si>
    <t>RALFF-CO4739</t>
  </si>
  <si>
    <t>RALFF-CO4740</t>
  </si>
  <si>
    <t>D58 - CONGO Frais d'hotel du 08 au 13/06/2023 (05 nuitées) à Pointe Noire</t>
  </si>
  <si>
    <t>Travel expenses</t>
  </si>
  <si>
    <t>Achat 01 ordinateur  portable Lenovo IdeaPad 3 / PALF/Dovi réf: ORP015BZV</t>
  </si>
  <si>
    <t>RALFF-CO4852</t>
  </si>
  <si>
    <t>Achat 02 ordinateurs  portables  Lenovo IdeaPad 3 / PALF/Hurielle réf: ORP016BZV   /Donald réf :ORP014BZV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</si>
</sst>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\ _F_C_F_A_-;\-* #,##0\ _F_C_F_A_-;_-* &quot;-&quot;\ _F_C_F_A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[$-409]d\-mmm\-yy;@"/>
    <numFmt numFmtId="168" formatCode="[$-40C]0"/>
    <numFmt numFmtId="169" formatCode="&quot; &quot;#,##0&quot;    &quot;;&quot;-&quot;#,##0&quot;    &quot;;&quot; -&quot;#&quot;    &quot;;&quot; &quot;@&quot; &quot;"/>
    <numFmt numFmtId="170" formatCode="[$]d\ mmm\ yyyy;@"/>
    <numFmt numFmtId="171" formatCode="_-* #,##0\ _€_-;\-* #,##0\ _€_-;_-* &quot;-&quot;??\ _€_-;_-@"/>
    <numFmt numFmtId="172" formatCode="[$-40C]dd\-mmm\-yy;@"/>
    <numFmt numFmtId="173" formatCode="[$-40C]General"/>
    <numFmt numFmtId="174" formatCode="d\-mmm\-yy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00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3" fillId="0" borderId="0" applyBorder="0" applyProtection="0"/>
    <xf numFmtId="9" fontId="1" fillId="0" borderId="0" applyFont="0" applyFill="0" applyBorder="0" applyAlignment="0" applyProtection="0"/>
    <xf numFmtId="0" fontId="1" fillId="0" borderId="0" applyBorder="0">
      <alignment vertical="center"/>
    </xf>
    <xf numFmtId="165" fontId="1" fillId="0" borderId="0" applyFont="0" applyFill="0" applyBorder="0" applyAlignment="0" applyProtection="0">
      <alignment vertical="center"/>
    </xf>
  </cellStyleXfs>
  <cellXfs count="40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Border="1"/>
    <xf numFmtId="166" fontId="0" fillId="0" borderId="0" xfId="0" applyNumberForma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6" fontId="14" fillId="0" borderId="0" xfId="1" applyNumberFormat="1" applyFont="1" applyBorder="1" applyProtection="1">
      <protection locked="0"/>
    </xf>
    <xf numFmtId="166" fontId="15" fillId="0" borderId="0" xfId="1" applyNumberFormat="1" applyFont="1" applyBorder="1" applyProtection="1">
      <protection locked="0"/>
    </xf>
    <xf numFmtId="166" fontId="12" fillId="0" borderId="0" xfId="0" applyNumberFormat="1" applyFont="1"/>
    <xf numFmtId="166" fontId="13" fillId="0" borderId="0" xfId="0" applyNumberFormat="1" applyFont="1" applyAlignment="1">
      <alignment vertical="center"/>
    </xf>
    <xf numFmtId="0" fontId="16" fillId="0" borderId="0" xfId="0" applyFont="1"/>
    <xf numFmtId="0" fontId="4" fillId="0" borderId="0" xfId="0" applyFont="1"/>
    <xf numFmtId="0" fontId="5" fillId="7" borderId="0" xfId="0" applyFont="1" applyFill="1" applyAlignment="1">
      <alignment horizontal="center"/>
    </xf>
    <xf numFmtId="0" fontId="5" fillId="0" borderId="0" xfId="0" applyFont="1"/>
    <xf numFmtId="166" fontId="4" fillId="0" borderId="0" xfId="1" applyNumberFormat="1" applyFont="1" applyFill="1" applyProtection="1"/>
    <xf numFmtId="166" fontId="5" fillId="0" borderId="3" xfId="1" applyNumberFormat="1" applyFont="1" applyFill="1" applyBorder="1" applyAlignment="1" applyProtection="1">
      <alignment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/>
    <xf numFmtId="166" fontId="4" fillId="10" borderId="5" xfId="1" applyNumberFormat="1" applyFont="1" applyFill="1" applyBorder="1" applyProtection="1"/>
    <xf numFmtId="166" fontId="4" fillId="10" borderId="5" xfId="0" applyNumberFormat="1" applyFont="1" applyFill="1" applyBorder="1"/>
    <xf numFmtId="166" fontId="4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4" fillId="0" borderId="6" xfId="1" applyNumberFormat="1" applyFont="1" applyFill="1" applyBorder="1" applyProtection="1"/>
    <xf numFmtId="166" fontId="4" fillId="0" borderId="1" xfId="0" applyNumberFormat="1" applyFont="1" applyBorder="1"/>
    <xf numFmtId="166" fontId="4" fillId="0" borderId="1" xfId="1" applyNumberFormat="1" applyFont="1" applyFill="1" applyBorder="1" applyProtection="1"/>
    <xf numFmtId="166" fontId="19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5" fillId="10" borderId="4" xfId="1" applyNumberFormat="1" applyFont="1" applyFill="1" applyBorder="1" applyAlignment="1" applyProtection="1">
      <alignment horizontal="left"/>
    </xf>
    <xf numFmtId="166" fontId="5" fillId="10" borderId="5" xfId="1" applyNumberFormat="1" applyFont="1" applyFill="1" applyBorder="1" applyAlignment="1" applyProtection="1">
      <alignment horizontal="left"/>
    </xf>
    <xf numFmtId="166" fontId="4" fillId="10" borderId="1" xfId="0" applyNumberFormat="1" applyFont="1" applyFill="1" applyBorder="1"/>
    <xf numFmtId="0" fontId="5" fillId="0" borderId="4" xfId="0" applyFont="1" applyBorder="1"/>
    <xf numFmtId="166" fontId="4" fillId="0" borderId="1" xfId="1" applyNumberFormat="1" applyFont="1" applyFill="1" applyBorder="1" applyAlignment="1" applyProtection="1"/>
    <xf numFmtId="166" fontId="4" fillId="0" borderId="6" xfId="1" applyNumberFormat="1" applyFont="1" applyBorder="1" applyProtection="1"/>
    <xf numFmtId="166" fontId="20" fillId="0" borderId="1" xfId="1" applyNumberFormat="1" applyFont="1" applyBorder="1" applyProtection="1"/>
    <xf numFmtId="166" fontId="20" fillId="0" borderId="0" xfId="1" applyNumberFormat="1" applyFont="1" applyProtection="1"/>
    <xf numFmtId="166" fontId="10" fillId="0" borderId="1" xfId="0" applyNumberFormat="1" applyFont="1" applyBorder="1"/>
    <xf numFmtId="0" fontId="18" fillId="10" borderId="4" xfId="0" applyFont="1" applyFill="1" applyBorder="1"/>
    <xf numFmtId="166" fontId="0" fillId="0" borderId="1" xfId="1" applyNumberFormat="1" applyFont="1" applyBorder="1" applyProtection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16" fillId="0" borderId="6" xfId="1" applyNumberFormat="1" applyFont="1" applyBorder="1" applyProtection="1"/>
    <xf numFmtId="166" fontId="19" fillId="0" borderId="6" xfId="1" applyNumberFormat="1" applyFont="1" applyBorder="1" applyProtection="1"/>
    <xf numFmtId="166" fontId="19" fillId="0" borderId="1" xfId="1" applyNumberFormat="1" applyFont="1" applyBorder="1" applyAlignment="1" applyProtection="1">
      <alignment vertical="center"/>
    </xf>
    <xf numFmtId="166" fontId="19" fillId="5" borderId="1" xfId="1" applyNumberFormat="1" applyFont="1" applyFill="1" applyBorder="1" applyProtection="1"/>
    <xf numFmtId="166" fontId="9" fillId="0" borderId="3" xfId="1" applyNumberFormat="1" applyFont="1" applyFill="1" applyBorder="1" applyProtection="1"/>
    <xf numFmtId="166" fontId="19" fillId="5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19" fillId="0" borderId="1" xfId="1" applyNumberFormat="1" applyFont="1" applyFill="1" applyBorder="1" applyAlignment="1" applyProtection="1">
      <alignment horizontal="center" vertical="center"/>
    </xf>
    <xf numFmtId="166" fontId="8" fillId="0" borderId="6" xfId="1" applyNumberFormat="1" applyFont="1" applyFill="1" applyBorder="1" applyProtection="1"/>
    <xf numFmtId="166" fontId="21" fillId="0" borderId="0" xfId="1" applyNumberFormat="1" applyFont="1" applyBorder="1" applyProtection="1">
      <protection locked="0"/>
    </xf>
    <xf numFmtId="0" fontId="6" fillId="0" borderId="1" xfId="0" applyFont="1" applyBorder="1"/>
    <xf numFmtId="0" fontId="22" fillId="0" borderId="1" xfId="0" applyFont="1" applyBorder="1" applyAlignment="1">
      <alignment vertical="center"/>
    </xf>
    <xf numFmtId="166" fontId="23" fillId="0" borderId="1" xfId="1" applyNumberFormat="1" applyFont="1" applyBorder="1" applyProtection="1">
      <protection locked="0"/>
    </xf>
    <xf numFmtId="166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13" borderId="0" xfId="0" applyFont="1" applyFill="1" applyAlignment="1">
      <alignment horizont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166" fontId="4" fillId="0" borderId="0" xfId="1" applyNumberFormat="1" applyFont="1" applyFill="1" applyBorder="1" applyProtection="1"/>
    <xf numFmtId="166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/>
    <xf numFmtId="166" fontId="4" fillId="17" borderId="5" xfId="1" applyNumberFormat="1" applyFont="1" applyFill="1" applyBorder="1" applyProtection="1"/>
    <xf numFmtId="166" fontId="4" fillId="17" borderId="5" xfId="0" applyNumberFormat="1" applyFont="1" applyFill="1" applyBorder="1"/>
    <xf numFmtId="166" fontId="4" fillId="0" borderId="3" xfId="1" applyNumberFormat="1" applyFont="1" applyFill="1" applyBorder="1" applyProtection="1"/>
    <xf numFmtId="166" fontId="24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horizontal="center" vertical="center"/>
    </xf>
    <xf numFmtId="166" fontId="23" fillId="0" borderId="1" xfId="1" applyNumberFormat="1" applyFont="1" applyFill="1" applyBorder="1" applyProtection="1"/>
    <xf numFmtId="166" fontId="28" fillId="0" borderId="1" xfId="1" applyNumberFormat="1" applyFont="1" applyFill="1" applyBorder="1" applyProtection="1"/>
    <xf numFmtId="166" fontId="23" fillId="0" borderId="0" xfId="1" applyNumberFormat="1" applyFont="1" applyFill="1" applyBorder="1" applyProtection="1"/>
    <xf numFmtId="166" fontId="5" fillId="17" borderId="4" xfId="1" applyNumberFormat="1" applyFont="1" applyFill="1" applyBorder="1" applyAlignment="1" applyProtection="1">
      <alignment horizontal="left"/>
    </xf>
    <xf numFmtId="166" fontId="5" fillId="17" borderId="5" xfId="1" applyNumberFormat="1" applyFont="1" applyFill="1" applyBorder="1" applyAlignment="1" applyProtection="1">
      <alignment horizontal="left"/>
    </xf>
    <xf numFmtId="166" fontId="4" fillId="17" borderId="1" xfId="0" applyNumberFormat="1" applyFont="1" applyFill="1" applyBorder="1"/>
    <xf numFmtId="166" fontId="29" fillId="0" borderId="1" xfId="1" applyNumberFormat="1" applyFont="1" applyFill="1" applyBorder="1" applyProtection="1"/>
    <xf numFmtId="3" fontId="24" fillId="0" borderId="1" xfId="0" applyNumberFormat="1" applyFont="1" applyBorder="1" applyAlignment="1">
      <alignment vertical="center"/>
    </xf>
    <xf numFmtId="166" fontId="29" fillId="0" borderId="0" xfId="1" applyNumberFormat="1" applyFont="1" applyFill="1" applyBorder="1" applyProtection="1"/>
    <xf numFmtId="0" fontId="18" fillId="17" borderId="4" xfId="0" applyFont="1" applyFill="1" applyBorder="1"/>
    <xf numFmtId="166" fontId="30" fillId="0" borderId="3" xfId="1" applyNumberFormat="1" applyFont="1" applyFill="1" applyBorder="1" applyProtection="1"/>
    <xf numFmtId="166" fontId="28" fillId="0" borderId="6" xfId="1" applyNumberFormat="1" applyFont="1" applyFill="1" applyBorder="1" applyProtection="1"/>
    <xf numFmtId="166" fontId="28" fillId="18" borderId="1" xfId="1" applyNumberFormat="1" applyFont="1" applyFill="1" applyBorder="1" applyProtection="1"/>
    <xf numFmtId="166" fontId="28" fillId="18" borderId="1" xfId="1" applyNumberFormat="1" applyFont="1" applyFill="1" applyBorder="1" applyAlignment="1" applyProtection="1">
      <alignment vertical="center"/>
    </xf>
    <xf numFmtId="166" fontId="31" fillId="0" borderId="6" xfId="1" applyNumberFormat="1" applyFont="1" applyFill="1" applyBorder="1" applyProtection="1"/>
    <xf numFmtId="166" fontId="31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vertical="center"/>
    </xf>
    <xf numFmtId="166" fontId="24" fillId="0" borderId="0" xfId="0" applyNumberFormat="1" applyFont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Border="1"/>
    <xf numFmtId="166" fontId="19" fillId="0" borderId="6" xfId="1" applyNumberFormat="1" applyFont="1" applyFill="1" applyBorder="1" applyProtection="1"/>
    <xf numFmtId="166" fontId="19" fillId="0" borderId="1" xfId="0" applyNumberFormat="1" applyFont="1" applyBorder="1"/>
    <xf numFmtId="166" fontId="7" fillId="0" borderId="0" xfId="0" applyNumberFormat="1" applyFont="1" applyAlignment="1">
      <alignment vertical="center"/>
    </xf>
    <xf numFmtId="166" fontId="8" fillId="0" borderId="6" xfId="1" applyNumberFormat="1" applyFont="1" applyBorder="1" applyProtection="1"/>
    <xf numFmtId="166" fontId="8" fillId="0" borderId="1" xfId="1" applyNumberFormat="1" applyFont="1" applyFill="1" applyBorder="1" applyProtection="1"/>
    <xf numFmtId="166" fontId="32" fillId="0" borderId="0" xfId="0" applyNumberFormat="1" applyFont="1" applyAlignment="1">
      <alignment vertical="center"/>
    </xf>
    <xf numFmtId="166" fontId="7" fillId="22" borderId="0" xfId="0" applyNumberFormat="1" applyFont="1" applyFill="1" applyAlignment="1">
      <alignment vertical="center"/>
    </xf>
    <xf numFmtId="166" fontId="4" fillId="3" borderId="3" xfId="1" applyNumberFormat="1" applyFont="1" applyFill="1" applyBorder="1" applyProtection="1"/>
    <xf numFmtId="0" fontId="12" fillId="3" borderId="1" xfId="0" applyFont="1" applyFill="1" applyBorder="1"/>
    <xf numFmtId="166" fontId="0" fillId="3" borderId="1" xfId="1" applyNumberFormat="1" applyFont="1" applyFill="1" applyBorder="1" applyProtection="1"/>
    <xf numFmtId="166" fontId="4" fillId="3" borderId="1" xfId="1" applyNumberFormat="1" applyFont="1" applyFill="1" applyBorder="1" applyProtection="1"/>
    <xf numFmtId="166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4" fillId="3" borderId="1" xfId="0" applyNumberFormat="1" applyFont="1" applyFill="1" applyBorder="1"/>
    <xf numFmtId="0" fontId="6" fillId="21" borderId="1" xfId="0" applyFont="1" applyFill="1" applyBorder="1"/>
    <xf numFmtId="0" fontId="22" fillId="21" borderId="1" xfId="0" applyFont="1" applyFill="1" applyBorder="1" applyAlignment="1">
      <alignment vertical="center"/>
    </xf>
    <xf numFmtId="166" fontId="23" fillId="21" borderId="1" xfId="1" applyNumberFormat="1" applyFont="1" applyFill="1" applyBorder="1" applyProtection="1">
      <protection locked="0"/>
    </xf>
    <xf numFmtId="166" fontId="24" fillId="21" borderId="1" xfId="1" applyNumberFormat="1" applyFont="1" applyFill="1" applyBorder="1" applyProtection="1">
      <protection locked="0"/>
    </xf>
    <xf numFmtId="166" fontId="4" fillId="5" borderId="1" xfId="1" applyNumberFormat="1" applyFont="1" applyFill="1" applyBorder="1" applyProtection="1"/>
    <xf numFmtId="166" fontId="19" fillId="21" borderId="1" xfId="1" applyNumberFormat="1" applyFont="1" applyFill="1" applyBorder="1" applyProtection="1"/>
    <xf numFmtId="166" fontId="4" fillId="21" borderId="1" xfId="0" applyNumberFormat="1" applyFont="1" applyFill="1" applyBorder="1"/>
    <xf numFmtId="166" fontId="4" fillId="0" borderId="1" xfId="1" applyNumberFormat="1" applyFont="1" applyBorder="1" applyProtection="1"/>
    <xf numFmtId="166" fontId="4" fillId="21" borderId="1" xfId="1" applyNumberFormat="1" applyFont="1" applyFill="1" applyBorder="1" applyProtection="1"/>
    <xf numFmtId="166" fontId="19" fillId="5" borderId="1" xfId="0" applyNumberFormat="1" applyFont="1" applyFill="1" applyBorder="1"/>
    <xf numFmtId="166" fontId="19" fillId="0" borderId="1" xfId="1" applyNumberFormat="1" applyFont="1" applyBorder="1" applyProtection="1"/>
    <xf numFmtId="166" fontId="19" fillId="0" borderId="0" xfId="1" applyNumberFormat="1" applyFont="1" applyProtection="1"/>
    <xf numFmtId="0" fontId="5" fillId="0" borderId="1" xfId="0" applyFont="1" applyBorder="1"/>
    <xf numFmtId="0" fontId="5" fillId="5" borderId="1" xfId="0" applyFont="1" applyFill="1" applyBorder="1"/>
    <xf numFmtId="0" fontId="5" fillId="21" borderId="1" xfId="0" applyFont="1" applyFill="1" applyBorder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6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6" fontId="35" fillId="0" borderId="0" xfId="1" applyNumberFormat="1" applyFont="1" applyBorder="1" applyProtection="1">
      <protection locked="0"/>
    </xf>
    <xf numFmtId="166" fontId="8" fillId="0" borderId="1" xfId="1" applyNumberFormat="1" applyFont="1" applyFill="1" applyBorder="1" applyAlignment="1" applyProtection="1">
      <alignment horizontal="center" vertical="center"/>
    </xf>
    <xf numFmtId="166" fontId="8" fillId="5" borderId="1" xfId="1" applyNumberFormat="1" applyFont="1" applyFill="1" applyBorder="1" applyProtection="1"/>
    <xf numFmtId="166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6" fontId="8" fillId="0" borderId="1" xfId="1" applyNumberFormat="1" applyFont="1" applyBorder="1" applyProtection="1"/>
    <xf numFmtId="166" fontId="34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4" xfId="0" applyFont="1" applyBorder="1"/>
    <xf numFmtId="0" fontId="40" fillId="0" borderId="0" xfId="0" applyFont="1"/>
    <xf numFmtId="0" fontId="40" fillId="0" borderId="1" xfId="0" applyFont="1" applyBorder="1"/>
    <xf numFmtId="166" fontId="19" fillId="0" borderId="3" xfId="1" applyNumberFormat="1" applyFont="1" applyBorder="1" applyProtection="1"/>
    <xf numFmtId="166" fontId="1" fillId="0" borderId="1" xfId="1" applyNumberFormat="1" applyFont="1" applyBorder="1" applyProtection="1"/>
    <xf numFmtId="166" fontId="19" fillId="22" borderId="1" xfId="0" applyNumberFormat="1" applyFont="1" applyFill="1" applyBorder="1"/>
    <xf numFmtId="0" fontId="1" fillId="0" borderId="1" xfId="0" applyFont="1" applyBorder="1" applyAlignment="1">
      <alignment vertical="center"/>
    </xf>
    <xf numFmtId="166" fontId="15" fillId="0" borderId="0" xfId="1" applyNumberFormat="1" applyFont="1" applyFill="1" applyBorder="1" applyProtection="1">
      <protection locked="0"/>
    </xf>
    <xf numFmtId="166" fontId="14" fillId="0" borderId="0" xfId="1" applyNumberFormat="1" applyFont="1" applyFill="1" applyBorder="1" applyProtection="1">
      <protection locked="0"/>
    </xf>
    <xf numFmtId="166" fontId="24" fillId="0" borderId="1" xfId="1" applyNumberFormat="1" applyFont="1" applyFill="1" applyBorder="1" applyProtection="1">
      <protection locked="0"/>
    </xf>
    <xf numFmtId="166" fontId="19" fillId="21" borderId="1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14" fontId="41" fillId="0" borderId="1" xfId="3" applyNumberFormat="1" applyFont="1" applyBorder="1"/>
    <xf numFmtId="0" fontId="36" fillId="19" borderId="1" xfId="0" applyFont="1" applyFill="1" applyBorder="1" applyAlignment="1">
      <alignment vertical="center"/>
    </xf>
    <xf numFmtId="0" fontId="0" fillId="25" borderId="0" xfId="0" applyFill="1" applyAlignment="1">
      <alignment vertical="center"/>
    </xf>
    <xf numFmtId="166" fontId="2" fillId="25" borderId="0" xfId="0" applyNumberFormat="1" applyFont="1" applyFill="1" applyAlignment="1">
      <alignment vertical="center"/>
    </xf>
    <xf numFmtId="166" fontId="34" fillId="25" borderId="0" xfId="0" applyNumberFormat="1" applyFont="1" applyFill="1" applyAlignment="1">
      <alignment vertical="center"/>
    </xf>
    <xf numFmtId="166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4" fillId="0" borderId="0" xfId="7" applyNumberFormat="1" applyFont="1"/>
    <xf numFmtId="0" fontId="2" fillId="0" borderId="0" xfId="0" applyFont="1"/>
    <xf numFmtId="0" fontId="0" fillId="0" borderId="1" xfId="0" applyBorder="1"/>
    <xf numFmtId="0" fontId="41" fillId="0" borderId="1" xfId="0" applyFont="1" applyBorder="1"/>
    <xf numFmtId="0" fontId="43" fillId="0" borderId="1" xfId="0" applyFont="1" applyBorder="1" applyAlignment="1">
      <alignment vertical="center"/>
    </xf>
    <xf numFmtId="166" fontId="44" fillId="0" borderId="1" xfId="1" applyNumberFormat="1" applyFont="1" applyBorder="1" applyProtection="1">
      <protection locked="0"/>
    </xf>
    <xf numFmtId="166" fontId="45" fillId="0" borderId="0" xfId="0" applyNumberFormat="1" applyFont="1" applyAlignment="1">
      <alignment vertical="center"/>
    </xf>
    <xf numFmtId="0" fontId="45" fillId="0" borderId="1" xfId="0" applyFont="1" applyBorder="1" applyAlignment="1">
      <alignment vertical="center"/>
    </xf>
    <xf numFmtId="3" fontId="45" fillId="0" borderId="1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25" fillId="0" borderId="1" xfId="0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3" fontId="25" fillId="0" borderId="1" xfId="1" applyNumberFormat="1" applyFont="1" applyFill="1" applyBorder="1" applyAlignment="1" applyProtection="1">
      <alignment vertical="center"/>
    </xf>
    <xf numFmtId="166" fontId="25" fillId="0" borderId="1" xfId="0" applyNumberFormat="1" applyFont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166" fontId="6" fillId="0" borderId="1" xfId="1" applyNumberFormat="1" applyFont="1" applyFill="1" applyBorder="1"/>
    <xf numFmtId="0" fontId="25" fillId="23" borderId="1" xfId="0" applyFont="1" applyFill="1" applyBorder="1" applyAlignment="1">
      <alignment vertical="center"/>
    </xf>
    <xf numFmtId="164" fontId="25" fillId="23" borderId="1" xfId="4" applyFont="1" applyFill="1" applyBorder="1" applyAlignment="1">
      <alignment horizontal="right" vertical="center"/>
    </xf>
    <xf numFmtId="164" fontId="25" fillId="0" borderId="1" xfId="4" applyFont="1" applyFill="1" applyBorder="1" applyAlignment="1" applyProtection="1">
      <alignment horizontal="right"/>
    </xf>
    <xf numFmtId="166" fontId="25" fillId="0" borderId="1" xfId="1" applyNumberFormat="1" applyFont="1" applyFill="1" applyBorder="1" applyAlignment="1" applyProtection="1">
      <alignment vertical="center"/>
    </xf>
    <xf numFmtId="0" fontId="46" fillId="0" borderId="1" xfId="0" applyFont="1" applyBorder="1" applyAlignment="1">
      <alignment vertical="center"/>
    </xf>
    <xf numFmtId="0" fontId="47" fillId="21" borderId="1" xfId="0" applyFont="1" applyFill="1" applyBorder="1" applyAlignment="1">
      <alignment vertical="center"/>
    </xf>
    <xf numFmtId="0" fontId="47" fillId="21" borderId="1" xfId="0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3" fontId="26" fillId="0" borderId="1" xfId="1" applyNumberFormat="1" applyFont="1" applyFill="1" applyBorder="1" applyAlignment="1" applyProtection="1">
      <alignment vertical="center"/>
    </xf>
    <xf numFmtId="3" fontId="48" fillId="24" borderId="1" xfId="1" applyNumberFormat="1" applyFont="1" applyFill="1" applyBorder="1" applyAlignment="1" applyProtection="1">
      <alignment vertical="center"/>
    </xf>
    <xf numFmtId="166" fontId="25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166" fontId="26" fillId="0" borderId="1" xfId="0" applyNumberFormat="1" applyFont="1" applyBorder="1" applyAlignment="1">
      <alignment horizontal="center" vertical="center"/>
    </xf>
    <xf numFmtId="166" fontId="46" fillId="0" borderId="1" xfId="0" applyNumberFormat="1" applyFont="1" applyBorder="1" applyAlignment="1">
      <alignment horizontal="center" vertical="center"/>
    </xf>
    <xf numFmtId="0" fontId="34" fillId="0" borderId="0" xfId="0" applyFont="1"/>
    <xf numFmtId="0" fontId="4" fillId="0" borderId="11" xfId="0" applyFont="1" applyBorder="1"/>
    <xf numFmtId="166" fontId="6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left"/>
    </xf>
    <xf numFmtId="166" fontId="25" fillId="0" borderId="1" xfId="1" applyNumberFormat="1" applyFont="1" applyFill="1" applyBorder="1"/>
    <xf numFmtId="166" fontId="49" fillId="0" borderId="0" xfId="1" applyNumberFormat="1" applyFont="1" applyBorder="1" applyProtection="1">
      <protection locked="0"/>
    </xf>
    <xf numFmtId="0" fontId="50" fillId="19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/>
    <xf numFmtId="172" fontId="6" fillId="0" borderId="1" xfId="0" applyNumberFormat="1" applyFont="1" applyFill="1" applyBorder="1"/>
    <xf numFmtId="0" fontId="25" fillId="0" borderId="1" xfId="0" applyFont="1" applyFill="1" applyBorder="1" applyAlignment="1">
      <alignment horizontal="left" vertical="center"/>
    </xf>
    <xf numFmtId="166" fontId="25" fillId="0" borderId="1" xfId="1" applyNumberFormat="1" applyFont="1" applyFill="1" applyBorder="1" applyAlignment="1">
      <alignment vertical="center"/>
    </xf>
    <xf numFmtId="166" fontId="25" fillId="0" borderId="1" xfId="1" applyNumberFormat="1" applyFont="1" applyFill="1" applyBorder="1" applyAlignment="1" applyProtection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25" fillId="0" borderId="1" xfId="0" applyFont="1" applyFill="1" applyBorder="1"/>
    <xf numFmtId="17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48" fillId="0" borderId="1" xfId="0" applyFont="1" applyFill="1" applyBorder="1"/>
    <xf numFmtId="3" fontId="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171" fontId="25" fillId="0" borderId="1" xfId="0" applyNumberFormat="1" applyFont="1" applyFill="1" applyBorder="1"/>
    <xf numFmtId="166" fontId="6" fillId="0" borderId="1" xfId="0" applyNumberFormat="1" applyFont="1" applyFill="1" applyBorder="1" applyAlignment="1">
      <alignment vertical="center"/>
    </xf>
    <xf numFmtId="166" fontId="25" fillId="0" borderId="1" xfId="0" applyNumberFormat="1" applyFont="1" applyFill="1" applyBorder="1"/>
    <xf numFmtId="172" fontId="6" fillId="0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166" fontId="6" fillId="0" borderId="1" xfId="0" applyNumberFormat="1" applyFont="1" applyFill="1" applyBorder="1"/>
    <xf numFmtId="169" fontId="6" fillId="0" borderId="1" xfId="6" applyNumberFormat="1" applyFont="1" applyFill="1" applyBorder="1" applyAlignment="1">
      <alignment vertical="top" wrapText="1"/>
    </xf>
    <xf numFmtId="169" fontId="6" fillId="0" borderId="1" xfId="6" applyNumberFormat="1" applyFont="1" applyFill="1" applyBorder="1" applyAlignment="1">
      <alignment horizontal="right" vertical="top" wrapText="1"/>
    </xf>
    <xf numFmtId="172" fontId="25" fillId="0" borderId="1" xfId="0" applyNumberFormat="1" applyFont="1" applyFill="1" applyBorder="1"/>
    <xf numFmtId="0" fontId="25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0" fillId="0" borderId="0" xfId="0" applyNumberFormat="1"/>
    <xf numFmtId="172" fontId="25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/>
    <xf numFmtId="0" fontId="26" fillId="0" borderId="1" xfId="0" applyFont="1" applyFill="1" applyBorder="1"/>
    <xf numFmtId="3" fontId="25" fillId="0" borderId="1" xfId="0" applyNumberFormat="1" applyFont="1" applyFill="1" applyBorder="1"/>
    <xf numFmtId="172" fontId="25" fillId="0" borderId="1" xfId="2" applyNumberFormat="1" applyFont="1" applyFill="1" applyBorder="1"/>
    <xf numFmtId="0" fontId="25" fillId="0" borderId="1" xfId="0" applyFont="1" applyFill="1" applyBorder="1" applyAlignment="1">
      <alignment horizontal="left"/>
    </xf>
    <xf numFmtId="166" fontId="25" fillId="0" borderId="1" xfId="1" applyNumberFormat="1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166" fontId="26" fillId="0" borderId="1" xfId="0" applyNumberFormat="1" applyFont="1" applyFill="1" applyBorder="1"/>
    <xf numFmtId="172" fontId="25" fillId="0" borderId="1" xfId="2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right" vertical="center"/>
    </xf>
    <xf numFmtId="17" fontId="26" fillId="0" borderId="1" xfId="0" applyNumberFormat="1" applyFont="1" applyFill="1" applyBorder="1" applyAlignment="1">
      <alignment horizontal="left"/>
    </xf>
    <xf numFmtId="3" fontId="26" fillId="0" borderId="1" xfId="0" applyNumberFormat="1" applyFont="1" applyFill="1" applyBorder="1"/>
    <xf numFmtId="166" fontId="25" fillId="0" borderId="1" xfId="1" applyNumberFormat="1" applyFont="1" applyFill="1" applyBorder="1" applyAlignment="1">
      <alignment horizontal="left"/>
    </xf>
    <xf numFmtId="174" fontId="25" fillId="0" borderId="1" xfId="2" applyNumberFormat="1" applyFont="1" applyFill="1" applyBorder="1"/>
    <xf numFmtId="173" fontId="25" fillId="0" borderId="1" xfId="2" applyNumberFormat="1" applyFont="1" applyFill="1" applyBorder="1"/>
    <xf numFmtId="169" fontId="25" fillId="0" borderId="1" xfId="6" applyNumberFormat="1" applyFont="1" applyFill="1" applyBorder="1" applyAlignment="1">
      <alignment horizontal="right" vertical="top" wrapText="1"/>
    </xf>
    <xf numFmtId="168" fontId="25" fillId="0" borderId="1" xfId="2" applyNumberFormat="1" applyFont="1" applyFill="1" applyBorder="1" applyAlignment="1">
      <alignment vertical="top"/>
    </xf>
    <xf numFmtId="0" fontId="26" fillId="0" borderId="1" xfId="0" applyFont="1" applyFill="1" applyBorder="1" applyAlignment="1">
      <alignment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0" fontId="25" fillId="12" borderId="1" xfId="0" applyNumberFormat="1" applyFont="1" applyFill="1" applyBorder="1"/>
    <xf numFmtId="0" fontId="25" fillId="12" borderId="1" xfId="0" applyFont="1" applyFill="1" applyBorder="1" applyAlignment="1">
      <alignment vertical="center"/>
    </xf>
    <xf numFmtId="0" fontId="25" fillId="12" borderId="1" xfId="0" applyFont="1" applyFill="1" applyBorder="1" applyAlignment="1">
      <alignment horizontal="center" vertical="center"/>
    </xf>
    <xf numFmtId="3" fontId="25" fillId="12" borderId="1" xfId="1" applyNumberFormat="1" applyFont="1" applyFill="1" applyBorder="1" applyAlignment="1" applyProtection="1">
      <alignment vertical="center"/>
    </xf>
    <xf numFmtId="164" fontId="25" fillId="12" borderId="1" xfId="4" applyFont="1" applyFill="1" applyBorder="1" applyAlignment="1" applyProtection="1">
      <alignment horizontal="right"/>
    </xf>
    <xf numFmtId="166" fontId="25" fillId="12" borderId="1" xfId="1" applyNumberFormat="1" applyFont="1" applyFill="1" applyBorder="1" applyAlignment="1" applyProtection="1">
      <alignment vertical="center"/>
    </xf>
    <xf numFmtId="0" fontId="25" fillId="12" borderId="1" xfId="0" applyFont="1" applyFill="1" applyBorder="1" applyAlignment="1">
      <alignment horizontal="left" vertical="center"/>
    </xf>
    <xf numFmtId="3" fontId="25" fillId="0" borderId="1" xfId="1" applyNumberFormat="1" applyFont="1" applyFill="1" applyBorder="1" applyAlignment="1" applyProtection="1"/>
    <xf numFmtId="166" fontId="25" fillId="0" borderId="1" xfId="1" applyNumberFormat="1" applyFont="1" applyFill="1" applyBorder="1" applyAlignment="1"/>
    <xf numFmtId="0" fontId="25" fillId="0" borderId="1" xfId="0" applyFont="1" applyFill="1" applyBorder="1" applyAlignment="1"/>
    <xf numFmtId="166" fontId="25" fillId="0" borderId="1" xfId="0" applyNumberFormat="1" applyFont="1" applyFill="1" applyBorder="1" applyAlignment="1"/>
    <xf numFmtId="169" fontId="25" fillId="0" borderId="1" xfId="6" applyNumberFormat="1" applyFont="1" applyFill="1" applyBorder="1" applyAlignment="1">
      <alignment wrapText="1"/>
    </xf>
    <xf numFmtId="169" fontId="25" fillId="0" borderId="1" xfId="6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168" fontId="25" fillId="0" borderId="1" xfId="2" applyNumberFormat="1" applyFont="1" applyFill="1" applyBorder="1" applyAlignment="1">
      <alignment vertical="top" wrapText="1"/>
    </xf>
    <xf numFmtId="166" fontId="25" fillId="0" borderId="1" xfId="0" applyNumberFormat="1" applyFont="1" applyFill="1" applyBorder="1" applyAlignment="1">
      <alignment horizontal="left" vertical="center"/>
    </xf>
    <xf numFmtId="168" fontId="25" fillId="0" borderId="1" xfId="2" applyNumberFormat="1" applyFont="1" applyFill="1" applyBorder="1" applyAlignment="1">
      <alignment horizontal="right" vertical="top"/>
    </xf>
    <xf numFmtId="0" fontId="25" fillId="0" borderId="1" xfId="2" applyFont="1" applyFill="1" applyBorder="1"/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6" fontId="6" fillId="0" borderId="12" xfId="1" applyNumberFormat="1" applyFont="1" applyFill="1" applyBorder="1"/>
    <xf numFmtId="0" fontId="25" fillId="0" borderId="12" xfId="0" applyFont="1" applyFill="1" applyBorder="1"/>
    <xf numFmtId="0" fontId="6" fillId="0" borderId="12" xfId="0" applyFont="1" applyFill="1" applyBorder="1"/>
    <xf numFmtId="0" fontId="2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25" fillId="0" borderId="1" xfId="8" applyFont="1" applyBorder="1" applyAlignment="1"/>
    <xf numFmtId="0" fontId="25" fillId="0" borderId="1" xfId="8" applyFont="1" applyFill="1" applyBorder="1" applyAlignment="1"/>
    <xf numFmtId="166" fontId="25" fillId="0" borderId="1" xfId="9" applyNumberFormat="1" applyFont="1" applyFill="1" applyBorder="1" applyAlignment="1"/>
    <xf numFmtId="166" fontId="51" fillId="0" borderId="1" xfId="9" applyNumberFormat="1" applyFont="1" applyFill="1" applyBorder="1" applyAlignment="1"/>
    <xf numFmtId="166" fontId="25" fillId="0" borderId="1" xfId="9" applyNumberFormat="1" applyFont="1" applyBorder="1" applyAlignment="1"/>
    <xf numFmtId="0" fontId="25" fillId="0" borderId="0" xfId="0" applyFont="1"/>
    <xf numFmtId="0" fontId="25" fillId="0" borderId="12" xfId="8" applyFont="1" applyBorder="1" applyAlignment="1"/>
    <xf numFmtId="166" fontId="6" fillId="0" borderId="1" xfId="9" applyNumberFormat="1" applyFont="1" applyFill="1" applyBorder="1" applyAlignment="1"/>
    <xf numFmtId="171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6" fillId="0" borderId="0" xfId="0" applyFont="1"/>
    <xf numFmtId="0" fontId="6" fillId="0" borderId="1" xfId="0" applyNumberFormat="1" applyFont="1" applyFill="1" applyBorder="1"/>
    <xf numFmtId="174" fontId="25" fillId="0" borderId="11" xfId="2" applyNumberFormat="1" applyFont="1" applyFill="1" applyBorder="1"/>
    <xf numFmtId="0" fontId="25" fillId="0" borderId="11" xfId="0" applyFont="1" applyFill="1" applyBorder="1"/>
    <xf numFmtId="166" fontId="25" fillId="0" borderId="11" xfId="1" applyNumberFormat="1" applyFont="1" applyFill="1" applyBorder="1" applyAlignment="1"/>
    <xf numFmtId="169" fontId="25" fillId="0" borderId="11" xfId="6" applyNumberFormat="1" applyFont="1" applyFill="1" applyBorder="1" applyAlignment="1">
      <alignment horizontal="right" vertical="top" wrapText="1"/>
    </xf>
    <xf numFmtId="166" fontId="25" fillId="0" borderId="11" xfId="1" applyNumberFormat="1" applyFont="1" applyFill="1" applyBorder="1"/>
    <xf numFmtId="168" fontId="25" fillId="0" borderId="11" xfId="2" applyNumberFormat="1" applyFont="1" applyFill="1" applyBorder="1" applyAlignment="1">
      <alignment vertical="top"/>
    </xf>
    <xf numFmtId="0" fontId="25" fillId="0" borderId="11" xfId="0" applyFont="1" applyFill="1" applyBorder="1" applyAlignment="1">
      <alignment vertical="center"/>
    </xf>
    <xf numFmtId="0" fontId="25" fillId="0" borderId="11" xfId="8" applyFont="1" applyBorder="1" applyAlignment="1"/>
    <xf numFmtId="3" fontId="26" fillId="0" borderId="11" xfId="0" applyNumberFormat="1" applyFont="1" applyFill="1" applyBorder="1"/>
    <xf numFmtId="3" fontId="25" fillId="0" borderId="11" xfId="0" applyNumberFormat="1" applyFont="1" applyFill="1" applyBorder="1"/>
    <xf numFmtId="172" fontId="25" fillId="0" borderId="13" xfId="0" applyNumberFormat="1" applyFont="1" applyFill="1" applyBorder="1"/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/>
    <xf numFmtId="166" fontId="25" fillId="0" borderId="13" xfId="0" applyNumberFormat="1" applyFont="1" applyFill="1" applyBorder="1" applyAlignment="1">
      <alignment vertical="center"/>
    </xf>
    <xf numFmtId="166" fontId="25" fillId="0" borderId="13" xfId="1" applyNumberFormat="1" applyFont="1" applyFill="1" applyBorder="1"/>
    <xf numFmtId="3" fontId="25" fillId="0" borderId="13" xfId="0" applyNumberFormat="1" applyFont="1" applyFill="1" applyBorder="1"/>
    <xf numFmtId="172" fontId="25" fillId="0" borderId="3" xfId="2" applyNumberFormat="1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171" fontId="25" fillId="0" borderId="3" xfId="0" applyNumberFormat="1" applyFont="1" applyFill="1" applyBorder="1"/>
    <xf numFmtId="0" fontId="25" fillId="0" borderId="3" xfId="0" applyFont="1" applyFill="1" applyBorder="1"/>
    <xf numFmtId="166" fontId="25" fillId="0" borderId="3" xfId="1" applyNumberFormat="1" applyFont="1" applyFill="1" applyBorder="1" applyAlignment="1"/>
    <xf numFmtId="166" fontId="25" fillId="0" borderId="3" xfId="1" applyNumberFormat="1" applyFont="1" applyFill="1" applyBorder="1"/>
    <xf numFmtId="3" fontId="25" fillId="0" borderId="3" xfId="0" applyNumberFormat="1" applyFont="1" applyFill="1" applyBorder="1"/>
    <xf numFmtId="3" fontId="34" fillId="0" borderId="0" xfId="0" applyNumberFormat="1" applyFont="1"/>
    <xf numFmtId="171" fontId="25" fillId="0" borderId="1" xfId="0" applyNumberFormat="1" applyFont="1" applyFill="1" applyBorder="1" applyAlignment="1">
      <alignment horizontal="left"/>
    </xf>
    <xf numFmtId="169" fontId="25" fillId="0" borderId="1" xfId="0" applyNumberFormat="1" applyFont="1" applyFill="1" applyBorder="1"/>
    <xf numFmtId="0" fontId="6" fillId="0" borderId="1" xfId="0" applyFont="1" applyFill="1" applyBorder="1" applyAlignment="1"/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164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2" fillId="20" borderId="1" xfId="0" applyFont="1" applyFill="1" applyBorder="1" applyAlignment="1">
      <alignment horizontal="center" vertical="center"/>
    </xf>
    <xf numFmtId="166" fontId="25" fillId="0" borderId="0" xfId="0" applyNumberFormat="1" applyFont="1" applyFill="1" applyBorder="1"/>
    <xf numFmtId="0" fontId="46" fillId="0" borderId="1" xfId="0" applyFont="1" applyFill="1" applyBorder="1"/>
    <xf numFmtId="166" fontId="46" fillId="0" borderId="1" xfId="1" applyNumberFormat="1" applyFont="1" applyFill="1" applyBorder="1" applyAlignment="1"/>
    <xf numFmtId="166" fontId="46" fillId="0" borderId="1" xfId="1" applyNumberFormat="1" applyFont="1" applyFill="1" applyBorder="1"/>
    <xf numFmtId="0" fontId="46" fillId="0" borderId="1" xfId="0" applyFont="1" applyFill="1" applyBorder="1" applyAlignment="1">
      <alignment vertical="center"/>
    </xf>
    <xf numFmtId="172" fontId="46" fillId="0" borderId="1" xfId="0" applyNumberFormat="1" applyFont="1" applyFill="1" applyBorder="1"/>
    <xf numFmtId="171" fontId="46" fillId="0" borderId="1" xfId="0" applyNumberFormat="1" applyFont="1" applyFill="1" applyBorder="1"/>
    <xf numFmtId="0" fontId="46" fillId="0" borderId="1" xfId="0" applyFont="1" applyFill="1" applyBorder="1" applyAlignment="1">
      <alignment horizontal="left" vertical="center"/>
    </xf>
  </cellXfs>
  <cellStyles count="10">
    <cellStyle name="Comma" xfId="1" builtinId="3"/>
    <cellStyle name="Comma [0]" xfId="4" builtinId="6"/>
    <cellStyle name="Comma 2" xfId="9"/>
    <cellStyle name="Excel Built-in Comma" xfId="6"/>
    <cellStyle name="Excel Built-in Normal" xfId="2"/>
    <cellStyle name="Milliers 3" xfId="5"/>
    <cellStyle name="Normal" xfId="0" builtinId="0"/>
    <cellStyle name="Normal 2" xfId="8"/>
    <cellStyle name="Normal_Total expenses by date" xfId="3"/>
    <cellStyle name="Percent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uin%2023/Compta%20Juin/Compta_Oracle%20Juin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5121.670436574073" createdVersion="3" refreshedVersion="3" minRefreshableVersion="3" recordCount="318">
  <cacheSource type="worksheet">
    <worksheetSource ref="A12:O332" sheet="DATA JUIN 2023"/>
  </cacheSource>
  <cacheFields count="15">
    <cacheField name="Date" numFmtId="0">
      <sharedItems containsSemiMixedTypes="0" containsNonDate="0" containsDate="1" containsString="0" minDate="2023-06-01T00:00:00" maxDate="2023-07-01T00:00:00"/>
    </cacheField>
    <cacheField name="Details" numFmtId="0">
      <sharedItems/>
    </cacheField>
    <cacheField name="Type de dépenses" numFmtId="0">
      <sharedItems containsBlank="1" count="20">
        <m/>
        <s v="Versement"/>
        <s v="Lawyer fees"/>
        <s v="Transfer fees"/>
        <s v="Office Materials"/>
        <s v="Travel subsistence"/>
        <s v="Transport"/>
        <s v="Bonus"/>
        <s v="Jail Visits"/>
        <s v="Personnel"/>
        <s v="Versement "/>
        <s v=" Transport "/>
        <s v="Telephone"/>
        <s v="Grant"/>
        <s v="Equipements"/>
        <s v="Bank Fees"/>
        <s v="Services"/>
        <s v="Trust building"/>
        <s v="Rent &amp; Utilities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10000" maxValue="19049328"/>
    </cacheField>
    <cacheField name="Spent" numFmtId="0">
      <sharedItems containsString="0" containsBlank="1" containsNumber="1" containsInteger="1" minValue="400" maxValue="19049328"/>
    </cacheField>
    <cacheField name="Balance" numFmtId="166">
      <sharedItems containsSemiMixedTypes="0" containsString="0" containsNumber="1" containsInteger="1" minValue="16856638" maxValue="52280709"/>
    </cacheField>
    <cacheField name="Name" numFmtId="0">
      <sharedItems containsBlank="1" count="16">
        <m/>
        <s v="Caisse"/>
        <s v="Crépin"/>
        <s v="Merveille"/>
        <s v="Donald-Roméo"/>
        <s v="BCI-Sous Compte"/>
        <s v="T73"/>
        <s v="Hurielle"/>
        <s v="Tiffany"/>
        <s v="BCI"/>
        <s v="D58"/>
        <s v="P29"/>
        <s v="Oracle"/>
        <s v="Grace"/>
        <s v="Evariste"/>
        <s v="DOVI"/>
      </sharedItems>
    </cacheField>
    <cacheField name="Receipt" numFmtId="0">
      <sharedItems containsBlank="1" containsMixedTypes="1" containsNumber="1" containsInteger="1" minValue="3654551" maxValue="3667359"/>
    </cacheField>
    <cacheField name="Donor" numFmtId="0">
      <sharedItems containsBlank="1" count="3">
        <m/>
        <s v="UE"/>
        <s v="Wildcat"/>
      </sharedItems>
    </cacheField>
    <cacheField name="Project" numFmtId="0">
      <sharedItems containsBlank="1" count="3">
        <m/>
        <s v="RALFF"/>
        <s v="PALF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">
  <r>
    <d v="2023-06-01T00:00:00"/>
    <s v="Solde au 01/06/2023"/>
    <x v="0"/>
    <m/>
    <m/>
    <m/>
    <n v="17011568"/>
    <x v="0"/>
    <m/>
    <x v="0"/>
    <x v="0"/>
    <m/>
    <m/>
    <m/>
    <m/>
  </r>
  <r>
    <d v="2023-06-01T00:00:00"/>
    <s v="Huirielle"/>
    <x v="1"/>
    <m/>
    <m/>
    <n v="38000"/>
    <n v="16973568"/>
    <x v="1"/>
    <m/>
    <x v="0"/>
    <x v="0"/>
    <m/>
    <m/>
    <m/>
    <m/>
  </r>
  <r>
    <d v="2023-06-01T00:00:00"/>
    <s v="Donald-Roméo"/>
    <x v="1"/>
    <m/>
    <m/>
    <n v="38000"/>
    <n v="16935568"/>
    <x v="1"/>
    <m/>
    <x v="0"/>
    <x v="0"/>
    <m/>
    <m/>
    <m/>
    <m/>
  </r>
  <r>
    <d v="2023-06-01T00:00:00"/>
    <s v="Crépin"/>
    <x v="1"/>
    <m/>
    <m/>
    <n v="28000"/>
    <n v="16907568"/>
    <x v="1"/>
    <m/>
    <x v="0"/>
    <x v="0"/>
    <m/>
    <m/>
    <m/>
    <m/>
  </r>
  <r>
    <d v="2023-06-01T00:00:00"/>
    <s v="Frais de mission maitre Marie Hélène MALONGA à Dolisie du 02 au 03 Juin 2023"/>
    <x v="2"/>
    <s v="Legal"/>
    <m/>
    <n v="27000"/>
    <n v="16880568"/>
    <x v="1"/>
    <s v="Oui"/>
    <x v="1"/>
    <x v="1"/>
    <s v="CONGO"/>
    <m/>
    <s v="5.2.2"/>
    <m/>
  </r>
  <r>
    <d v="2023-06-01T00:00:00"/>
    <s v="Frais de transfert charden farell à Crépin Donald et Hurielle"/>
    <x v="3"/>
    <s v="Office"/>
    <m/>
    <n v="3930"/>
    <n v="16876638"/>
    <x v="1"/>
    <s v="Oui"/>
    <x v="1"/>
    <x v="1"/>
    <s v="CONGO"/>
    <m/>
    <s v="5.6"/>
    <m/>
  </r>
  <r>
    <d v="2023-06-01T00:00:00"/>
    <s v="Merveille"/>
    <x v="1"/>
    <m/>
    <m/>
    <n v="20000"/>
    <n v="16856638"/>
    <x v="1"/>
    <m/>
    <x v="0"/>
    <x v="0"/>
    <m/>
    <m/>
    <m/>
    <m/>
  </r>
  <r>
    <d v="2023-06-01T00:00:00"/>
    <s v="Reçu de Roméo/Crépin"/>
    <x v="1"/>
    <m/>
    <n v="23500"/>
    <m/>
    <n v="16880138"/>
    <x v="2"/>
    <m/>
    <x v="0"/>
    <x v="0"/>
    <m/>
    <m/>
    <m/>
    <m/>
  </r>
  <r>
    <d v="2023-06-01T00:00:00"/>
    <s v="Reçu de  caisse/Crépin"/>
    <x v="1"/>
    <m/>
    <n v="28000"/>
    <m/>
    <n v="16908138"/>
    <x v="2"/>
    <m/>
    <x v="0"/>
    <x v="0"/>
    <m/>
    <m/>
    <m/>
    <m/>
  </r>
  <r>
    <d v="2023-06-01T00:00:00"/>
    <s v="Reçu caisse/Merveille"/>
    <x v="1"/>
    <m/>
    <n v="20000"/>
    <m/>
    <n v="16928138"/>
    <x v="3"/>
    <m/>
    <x v="0"/>
    <x v="0"/>
    <m/>
    <m/>
    <m/>
    <m/>
  </r>
  <r>
    <d v="2023-06-01T00:00:00"/>
    <s v="Remis à Crépin/ Budget procédure Gendarmerie/Donald"/>
    <x v="1"/>
    <m/>
    <m/>
    <n v="23500"/>
    <n v="16904638"/>
    <x v="4"/>
    <m/>
    <x v="0"/>
    <x v="0"/>
    <m/>
    <m/>
    <m/>
    <m/>
  </r>
  <r>
    <d v="2023-06-12T00:00:00"/>
    <s v="Approvisionnement/Equilibre des comptes"/>
    <x v="1"/>
    <m/>
    <n v="19049328"/>
    <m/>
    <n v="35953966"/>
    <x v="5"/>
    <s v="Virement"/>
    <x v="0"/>
    <x v="0"/>
    <m/>
    <m/>
    <m/>
    <m/>
  </r>
  <r>
    <d v="2023-06-01T00:00:00"/>
    <s v="Frais achat rame de papier , impression et autres fourniture pour la procédure de la gendarmerie"/>
    <x v="4"/>
    <s v="Office"/>
    <m/>
    <n v="23350"/>
    <n v="35930616"/>
    <x v="2"/>
    <s v="Oui"/>
    <x v="2"/>
    <x v="2"/>
    <s v="CONGO"/>
    <m/>
    <m/>
    <m/>
  </r>
  <r>
    <d v="2023-06-01T00:00:00"/>
    <s v="T73 - CONGO Food Allowance du 01 au 05/06/2023 (04 nuitées)"/>
    <x v="5"/>
    <s v="Investigation"/>
    <m/>
    <n v="40000"/>
    <n v="35890616"/>
    <x v="6"/>
    <s v="Décharge"/>
    <x v="1"/>
    <x v="1"/>
    <s v="CONGO"/>
    <s v="RALFF-CO4608"/>
    <s v="1.3.2"/>
    <m/>
  </r>
  <r>
    <d v="2023-06-01T00:00:00"/>
    <s v="achat billet Brazzaville - pointe-Noire/T73"/>
    <x v="6"/>
    <s v="Investigation"/>
    <m/>
    <n v="15000"/>
    <n v="35875616"/>
    <x v="6"/>
    <s v="Oui"/>
    <x v="2"/>
    <x v="1"/>
    <s v="CONGO"/>
    <s v="RALFF-CO4609"/>
    <s v="2.2"/>
    <m/>
  </r>
  <r>
    <d v="2023-06-02T00:00:00"/>
    <s v="Bonus média portant sur l'interpellation de 4 présumés trafiquant de produits de faune,le 27/05/2023 à Dolisie"/>
    <x v="7"/>
    <s v="Media"/>
    <m/>
    <n v="150000"/>
    <n v="35725616"/>
    <x v="1"/>
    <s v="Décharge"/>
    <x v="2"/>
    <x v="2"/>
    <s v="CONGO"/>
    <m/>
    <m/>
    <m/>
  </r>
  <r>
    <d v="2023-06-02T00:00:00"/>
    <s v="Tiffany/retour Caisse"/>
    <x v="1"/>
    <m/>
    <n v="30000"/>
    <m/>
    <n v="35755616"/>
    <x v="1"/>
    <m/>
    <x v="0"/>
    <x v="0"/>
    <m/>
    <m/>
    <m/>
    <m/>
  </r>
  <r>
    <d v="2023-06-02T00:00:00"/>
    <s v="Recu caisse/Hurielle"/>
    <x v="1"/>
    <m/>
    <n v="38000"/>
    <m/>
    <n v="35793616"/>
    <x v="7"/>
    <m/>
    <x v="0"/>
    <x v="0"/>
    <m/>
    <m/>
    <m/>
    <m/>
  </r>
  <r>
    <d v="2023-06-02T00:00:00"/>
    <s v="Retour caisse / Tiffany"/>
    <x v="1"/>
    <m/>
    <m/>
    <n v="30000"/>
    <n v="35763616"/>
    <x v="8"/>
    <m/>
    <x v="0"/>
    <x v="0"/>
    <m/>
    <m/>
    <m/>
    <m/>
  </r>
  <r>
    <d v="2023-06-02T00:00:00"/>
    <s v="Reçu caisse / Tiffany Solde de sa compta"/>
    <x v="1"/>
    <m/>
    <n v="25324"/>
    <m/>
    <n v="35788940"/>
    <x v="8"/>
    <m/>
    <x v="0"/>
    <x v="0"/>
    <m/>
    <m/>
    <m/>
    <m/>
  </r>
  <r>
    <d v="2023-06-02T00:00:00"/>
    <s v="Reçu caisse/Donald"/>
    <x v="1"/>
    <m/>
    <n v="38000"/>
    <m/>
    <n v="35826940"/>
    <x v="4"/>
    <m/>
    <x v="0"/>
    <x v="0"/>
    <m/>
    <m/>
    <m/>
    <m/>
  </r>
  <r>
    <d v="2023-06-02T00:00:00"/>
    <s v="Cumul Frais de Jail visit mois de Juin 2023/Hurielle"/>
    <x v="8"/>
    <s v="Legal"/>
    <m/>
    <n v="13500"/>
    <n v="35813440"/>
    <x v="7"/>
    <s v="Décharge"/>
    <x v="2"/>
    <x v="2"/>
    <s v="CONGO"/>
    <m/>
    <m/>
    <m/>
  </r>
  <r>
    <d v="2023-06-03T00:00:00"/>
    <s v="CREPIN - CONGO Frais d'hotel du 31/05/ au 03/06/2023 à Dolisie (03 nuitées)"/>
    <x v="5"/>
    <s v="Management"/>
    <m/>
    <n v="45000"/>
    <n v="35768440"/>
    <x v="2"/>
    <s v="Oui"/>
    <x v="1"/>
    <x v="1"/>
    <s v="CONGO"/>
    <s v="RALFF-CO4610"/>
    <s v="1.3.2"/>
    <m/>
  </r>
  <r>
    <d v="2023-06-03T00:00:00"/>
    <s v="Bille: Dolisie-Brazzaville /Crépin "/>
    <x v="6"/>
    <s v="Management"/>
    <m/>
    <n v="10000"/>
    <n v="35758440"/>
    <x v="2"/>
    <s v="Oui"/>
    <x v="2"/>
    <x v="1"/>
    <s v="CONGO"/>
    <s v="RALFF-CO4611"/>
    <s v="2.2"/>
    <m/>
  </r>
  <r>
    <d v="2023-06-03T00:00:00"/>
    <s v="HURIELLE - CONGO Frais d'hôtel du  31/05 au 03/06/2023 à Dolisie"/>
    <x v="5"/>
    <s v="Legal"/>
    <m/>
    <n v="45000"/>
    <n v="35713440"/>
    <x v="7"/>
    <s v="Oui"/>
    <x v="1"/>
    <x v="1"/>
    <s v="CONGO"/>
    <s v="RALFF-CO4612"/>
    <s v="1.3.2"/>
    <m/>
  </r>
  <r>
    <d v="2023-06-03T00:00:00"/>
    <s v="Achat billet de retour Dolisie-Brazzaville/Hurielle"/>
    <x v="6"/>
    <s v="Legal"/>
    <m/>
    <n v="10000"/>
    <n v="35703440"/>
    <x v="7"/>
    <s v="Oui"/>
    <x v="2"/>
    <x v="1"/>
    <s v="CONGO"/>
    <s v="RALFF-CO4613"/>
    <s v="2.2"/>
    <m/>
  </r>
  <r>
    <d v="2023-06-03T00:00:00"/>
    <s v="Achat billet Dolisie-Brazzalle/Donald"/>
    <x v="6"/>
    <s v="Legal"/>
    <m/>
    <n v="10000"/>
    <n v="35693440"/>
    <x v="4"/>
    <s v="Oui"/>
    <x v="2"/>
    <x v="1"/>
    <s v="CONGO"/>
    <s v="RALFF-CO4614"/>
    <s v="2.2"/>
    <m/>
  </r>
  <r>
    <d v="2023-06-03T00:00:00"/>
    <s v="DONALD ROMEO - CONGO Frais d'hôtel/ 03 Nuitées du 31 mai au 03/06/2023 à Dolisie"/>
    <x v="5"/>
    <s v="Legal"/>
    <m/>
    <n v="45000"/>
    <n v="35648440"/>
    <x v="4"/>
    <s v="Oui"/>
    <x v="1"/>
    <x v="1"/>
    <s v="CONGO"/>
    <s v="RALFF-CO4615"/>
    <s v="1.3.2"/>
    <m/>
  </r>
  <r>
    <d v="2023-06-05T00:00:00"/>
    <s v="Reglement honoraire D58 du mois de Mai 2023"/>
    <x v="9"/>
    <s v="Investigation"/>
    <m/>
    <n v="240000"/>
    <n v="35408440"/>
    <x v="1"/>
    <s v="Oui"/>
    <x v="1"/>
    <x v="1"/>
    <s v="CONGO"/>
    <m/>
    <s v="1.1.1.9"/>
    <m/>
  </r>
  <r>
    <d v="2023-06-05T00:00:00"/>
    <s v="P29/retour caisse"/>
    <x v="1"/>
    <m/>
    <n v="40000"/>
    <m/>
    <n v="35448440"/>
    <x v="1"/>
    <m/>
    <x v="0"/>
    <x v="0"/>
    <m/>
    <m/>
    <m/>
    <m/>
  </r>
  <r>
    <d v="2023-06-05T00:00:00"/>
    <s v="Huirielle/retour caisse"/>
    <x v="1"/>
    <m/>
    <n v="25000"/>
    <m/>
    <n v="35473440"/>
    <x v="1"/>
    <m/>
    <x v="0"/>
    <x v="0"/>
    <m/>
    <m/>
    <m/>
    <m/>
  </r>
  <r>
    <d v="2023-06-05T00:00:00"/>
    <s v="BCI-3654551-34"/>
    <x v="1"/>
    <m/>
    <n v="2000000"/>
    <m/>
    <n v="37473440"/>
    <x v="1"/>
    <m/>
    <x v="0"/>
    <x v="0"/>
    <m/>
    <m/>
    <m/>
    <m/>
  </r>
  <r>
    <d v="2023-06-05T00:00:00"/>
    <s v="BCI-3654552-34"/>
    <x v="1"/>
    <m/>
    <n v="2000000"/>
    <m/>
    <n v="39473440"/>
    <x v="1"/>
    <m/>
    <x v="0"/>
    <x v="0"/>
    <m/>
    <m/>
    <m/>
    <m/>
  </r>
  <r>
    <d v="2023-06-05T00:00:00"/>
    <s v="Merveille"/>
    <x v="1"/>
    <m/>
    <m/>
    <n v="75000"/>
    <n v="39398440"/>
    <x v="1"/>
    <m/>
    <x v="0"/>
    <x v="0"/>
    <m/>
    <m/>
    <m/>
    <m/>
  </r>
  <r>
    <d v="2023-06-05T00:00:00"/>
    <s v="Oracle"/>
    <x v="1"/>
    <m/>
    <m/>
    <n v="123000"/>
    <n v="39275440"/>
    <x v="1"/>
    <m/>
    <x v="0"/>
    <x v="0"/>
    <m/>
    <m/>
    <m/>
    <m/>
  </r>
  <r>
    <d v="2023-06-05T00:00:00"/>
    <s v="D58"/>
    <x v="1"/>
    <m/>
    <m/>
    <n v="130000"/>
    <n v="39145440"/>
    <x v="1"/>
    <m/>
    <x v="0"/>
    <x v="0"/>
    <m/>
    <m/>
    <m/>
    <m/>
  </r>
  <r>
    <d v="2023-06-05T00:00:00"/>
    <s v="Retrait especes/appro caisse/bord n°3654551"/>
    <x v="1"/>
    <m/>
    <m/>
    <n v="2000000"/>
    <n v="37145440"/>
    <x v="9"/>
    <n v="3654551"/>
    <x v="0"/>
    <x v="0"/>
    <m/>
    <m/>
    <m/>
    <m/>
  </r>
  <r>
    <d v="2023-06-05T00:00:00"/>
    <s v="Retrait especes/appro caisse/bord n°3654552"/>
    <x v="1"/>
    <m/>
    <m/>
    <n v="2000000"/>
    <n v="35145440"/>
    <x v="9"/>
    <n v="3654552"/>
    <x v="0"/>
    <x v="0"/>
    <m/>
    <m/>
    <m/>
    <m/>
  </r>
  <r>
    <d v="2023-06-05T00:00:00"/>
    <s v="Recu caisse/D58"/>
    <x v="1"/>
    <m/>
    <n v="130000"/>
    <m/>
    <n v="35275440"/>
    <x v="10"/>
    <m/>
    <x v="0"/>
    <x v="0"/>
    <m/>
    <m/>
    <m/>
    <m/>
  </r>
  <r>
    <d v="2023-06-05T00:00:00"/>
    <s v="Retour caisse/Hurielle"/>
    <x v="1"/>
    <m/>
    <m/>
    <n v="25000"/>
    <n v="35250440"/>
    <x v="7"/>
    <m/>
    <x v="0"/>
    <x v="0"/>
    <m/>
    <m/>
    <m/>
    <m/>
  </r>
  <r>
    <d v="2023-06-05T00:00:00"/>
    <s v="Reçu caisse/Merveille"/>
    <x v="1"/>
    <m/>
    <n v="75000"/>
    <m/>
    <n v="35325440"/>
    <x v="3"/>
    <m/>
    <x v="0"/>
    <x v="0"/>
    <m/>
    <m/>
    <m/>
    <m/>
  </r>
  <r>
    <d v="2023-06-05T00:00:00"/>
    <s v="Retour caisse/P29"/>
    <x v="1"/>
    <m/>
    <m/>
    <n v="40000"/>
    <n v="35285440"/>
    <x v="11"/>
    <m/>
    <x v="0"/>
    <x v="0"/>
    <m/>
    <m/>
    <m/>
    <m/>
  </r>
  <r>
    <d v="2023-06-05T00:00:00"/>
    <s v="Achat billet Brazzaville - Loudima/D58"/>
    <x v="6"/>
    <s v="Investigation"/>
    <m/>
    <n v="10000"/>
    <n v="35275440"/>
    <x v="10"/>
    <s v="Oui"/>
    <x v="2"/>
    <x v="1"/>
    <s v="CONGO"/>
    <s v="RALFF-CO4616"/>
    <s v="2.2"/>
    <m/>
  </r>
  <r>
    <d v="2023-06-05T00:00:00"/>
    <s v="achat billet pointe noire - brazzaville/T73"/>
    <x v="6"/>
    <s v="Investigation"/>
    <m/>
    <n v="15000"/>
    <n v="35260440"/>
    <x v="6"/>
    <s v="Oui"/>
    <x v="2"/>
    <x v="1"/>
    <s v="CONGO"/>
    <s v="RALFF-CO4617"/>
    <s v="2.2"/>
    <m/>
  </r>
  <r>
    <d v="2023-06-05T00:00:00"/>
    <s v="T73 - CONGO Frais d'Hotel du 01 au 05/06/2023 (04 nuitées) à dolisie"/>
    <x v="5"/>
    <s v="Investigation"/>
    <m/>
    <n v="60000"/>
    <n v="35200440"/>
    <x v="6"/>
    <s v="Oui"/>
    <x v="1"/>
    <x v="1"/>
    <s v="CONGO"/>
    <s v="RALFF-CO4618"/>
    <s v="1.3.2"/>
    <m/>
  </r>
  <r>
    <d v="2023-06-05T00:00:00"/>
    <s v="Reçu caisse/Oracle"/>
    <x v="10"/>
    <m/>
    <n v="123000"/>
    <m/>
    <n v="35323440"/>
    <x v="12"/>
    <m/>
    <x v="0"/>
    <x v="0"/>
    <m/>
    <m/>
    <m/>
    <m/>
  </r>
  <r>
    <d v="2023-06-05T00:00:00"/>
    <s v="Achat billet Brazzaville - Pointe-Noire/Oracle"/>
    <x v="11"/>
    <s v="Legal"/>
    <m/>
    <n v="15000"/>
    <n v="35308440"/>
    <x v="12"/>
    <s v="Oui"/>
    <x v="2"/>
    <x v="2"/>
    <s v="CONGO"/>
    <m/>
    <m/>
    <m/>
  </r>
  <r>
    <d v="2023-06-06T00:00:00"/>
    <s v="Achat credit  teléphonique MTN/PALF/Prémière partie Juin 2023/Management"/>
    <x v="12"/>
    <s v="Management"/>
    <m/>
    <n v="38000"/>
    <n v="35270440"/>
    <x v="1"/>
    <s v="Oui"/>
    <x v="1"/>
    <x v="1"/>
    <s v="CONGO"/>
    <m/>
    <s v="4.6"/>
    <m/>
  </r>
  <r>
    <d v="2023-06-06T00:00:00"/>
    <s v="Achat credit  teléphonique MTN/PALF/Prémière partie Juin 2023/Legal"/>
    <x v="12"/>
    <s v="Legal"/>
    <m/>
    <n v="53000"/>
    <n v="35217440"/>
    <x v="1"/>
    <s v="Oui"/>
    <x v="1"/>
    <x v="1"/>
    <s v="CONGO"/>
    <m/>
    <s v="4.6"/>
    <m/>
  </r>
  <r>
    <d v="2023-06-06T00:00:00"/>
    <s v="Achat credit  teléphonique MTN/PALF/Prémière partie Juin 2023/Legal Volontaire"/>
    <x v="12"/>
    <s v="Legal"/>
    <m/>
    <n v="21000"/>
    <n v="35196440"/>
    <x v="1"/>
    <s v="Oui"/>
    <x v="2"/>
    <x v="2"/>
    <s v="CONGO"/>
    <m/>
    <m/>
    <m/>
  </r>
  <r>
    <d v="2023-06-06T00:00:00"/>
    <s v="Achat credit  teléphonique MTN/PALF/Prémière partie Juin 2023/Investigation"/>
    <x v="12"/>
    <s v="Investigation"/>
    <m/>
    <n v="52000"/>
    <n v="35144440"/>
    <x v="1"/>
    <s v="Oui"/>
    <x v="1"/>
    <x v="1"/>
    <s v="CONGO"/>
    <m/>
    <s v="4.6"/>
    <m/>
  </r>
  <r>
    <d v="2023-06-06T00:00:00"/>
    <s v="Achat credit  teléphonique MTN/PALF/Prémière partie Juin 2023/Media"/>
    <x v="12"/>
    <s v="Media"/>
    <m/>
    <n v="5000"/>
    <n v="35139440"/>
    <x v="1"/>
    <s v="Oui"/>
    <x v="1"/>
    <x v="1"/>
    <s v="CONGO"/>
    <m/>
    <s v="4.6"/>
    <m/>
  </r>
  <r>
    <d v="2023-06-06T00:00:00"/>
    <s v="Achat credit  teléphonique Airtel/PALF/Prémière partie Juin 2023/Management"/>
    <x v="12"/>
    <s v="Management"/>
    <m/>
    <n v="15000"/>
    <n v="35124440"/>
    <x v="1"/>
    <s v="Oui"/>
    <x v="1"/>
    <x v="1"/>
    <s v="CONGO"/>
    <m/>
    <s v="4.6"/>
    <m/>
  </r>
  <r>
    <d v="2023-06-06T00:00:00"/>
    <s v="Achat credit  teléphonique Airtel/PALF/Prémière partie Juin 2023/Legal"/>
    <x v="12"/>
    <s v="Legal"/>
    <m/>
    <n v="10000"/>
    <n v="35114440"/>
    <x v="1"/>
    <s v="Oui"/>
    <x v="1"/>
    <x v="1"/>
    <s v="CONGO"/>
    <m/>
    <s v="4.6"/>
    <m/>
  </r>
  <r>
    <d v="2023-06-06T00:00:00"/>
    <s v="Achat credit  teléphonique Airtel/PALF/Prémière partie Juin 2023/Investigation"/>
    <x v="12"/>
    <s v="Investigation"/>
    <m/>
    <n v="16000"/>
    <n v="35098440"/>
    <x v="1"/>
    <s v="Oui"/>
    <x v="1"/>
    <x v="1"/>
    <s v="CONGO"/>
    <m/>
    <s v="4.6"/>
    <m/>
  </r>
  <r>
    <d v="2023-06-06T00:00:00"/>
    <s v="Achat credit  teléphonique Airtel/PALF/Prémière partie Juin 2023/Media"/>
    <x v="12"/>
    <s v="Media"/>
    <m/>
    <n v="11000"/>
    <n v="35087440"/>
    <x v="1"/>
    <s v="Oui"/>
    <x v="1"/>
    <x v="1"/>
    <s v="CONGO"/>
    <m/>
    <s v="4.6"/>
    <m/>
  </r>
  <r>
    <d v="2023-06-06T00:00:00"/>
    <s v="Team building depart Tiffany "/>
    <x v="9"/>
    <s v="Team building"/>
    <m/>
    <n v="75000"/>
    <n v="35012440"/>
    <x v="1"/>
    <s v="Oui"/>
    <x v="2"/>
    <x v="2"/>
    <s v="CONGO"/>
    <m/>
    <m/>
    <m/>
  </r>
  <r>
    <d v="2023-06-06T00:00:00"/>
    <s v="T73/retour caisse"/>
    <x v="1"/>
    <m/>
    <n v="150000"/>
    <m/>
    <n v="35162440"/>
    <x v="1"/>
    <m/>
    <x v="0"/>
    <x v="0"/>
    <m/>
    <m/>
    <m/>
    <m/>
  </r>
  <r>
    <d v="2023-06-06T00:00:00"/>
    <s v="Grace"/>
    <x v="1"/>
    <m/>
    <m/>
    <n v="75000"/>
    <n v="35087440"/>
    <x v="1"/>
    <m/>
    <x v="0"/>
    <x v="0"/>
    <m/>
    <m/>
    <m/>
    <m/>
  </r>
  <r>
    <d v="2023-06-06T00:00:00"/>
    <s v="Retour caisse/T73 "/>
    <x v="1"/>
    <m/>
    <m/>
    <n v="150000"/>
    <n v="34937440"/>
    <x v="6"/>
    <m/>
    <x v="0"/>
    <x v="0"/>
    <m/>
    <m/>
    <m/>
    <m/>
  </r>
  <r>
    <d v="2023-06-06T00:00:00"/>
    <s v="Reçu Caisse/Avance sur Salaire/Grace MOLENDE"/>
    <x v="1"/>
    <m/>
    <n v="75000"/>
    <m/>
    <n v="35012440"/>
    <x v="13"/>
    <m/>
    <x v="0"/>
    <x v="0"/>
    <m/>
    <m/>
    <m/>
    <m/>
  </r>
  <r>
    <d v="2023-06-06T00:00:00"/>
    <s v="Achat billet Loudima - Sibiti /D58"/>
    <x v="6"/>
    <s v="Investigation"/>
    <m/>
    <n v="3500"/>
    <n v="35008940"/>
    <x v="10"/>
    <s v="Oui"/>
    <x v="2"/>
    <x v="1"/>
    <s v="CONGO"/>
    <s v="RALFF-CO4619"/>
    <s v="2.2"/>
    <m/>
  </r>
  <r>
    <d v="2023-06-06T00:00:00"/>
    <s v="D58 - CONGO Food allowance du 06 au 13/06/2023 (07 nuitées)"/>
    <x v="5"/>
    <s v="Investigation"/>
    <m/>
    <n v="70000"/>
    <n v="34938940"/>
    <x v="10"/>
    <s v="Décharge"/>
    <x v="1"/>
    <x v="1"/>
    <s v="CONGO"/>
    <s v="RALFF-CO4620"/>
    <s v="1.3.2"/>
    <m/>
  </r>
  <r>
    <d v="2023-06-06T00:00:00"/>
    <s v="ORACLE - CONGO Food allowance du 06 au 09/06/2023 (04 nuitées)"/>
    <x v="5"/>
    <s v="Legal"/>
    <m/>
    <n v="40000"/>
    <n v="34898940"/>
    <x v="12"/>
    <s v="Décharge"/>
    <x v="2"/>
    <x v="2"/>
    <s v="CONGO"/>
    <m/>
    <m/>
    <m/>
  </r>
  <r>
    <d v="2023-06-08T00:00:00"/>
    <s v="Bonus média portant sur l'interpellation de 4 présumés trafiquant de produits de faune,le 27/05/2023 à Dolisie"/>
    <x v="7"/>
    <s v="Media"/>
    <m/>
    <n v="35000"/>
    <n v="34863940"/>
    <x v="1"/>
    <s v="Décharge"/>
    <x v="2"/>
    <x v="2"/>
    <s v="CONGO"/>
    <m/>
    <m/>
    <m/>
  </r>
  <r>
    <d v="2023-06-08T00:00:00"/>
    <s v="Bonus du mois de Mai 2023/Hurielle"/>
    <x v="7"/>
    <s v="Legal"/>
    <m/>
    <n v="20000"/>
    <n v="34843940"/>
    <x v="1"/>
    <s v="Décharge"/>
    <x v="2"/>
    <x v="2"/>
    <s v="CONGO"/>
    <m/>
    <m/>
    <m/>
  </r>
  <r>
    <d v="2023-06-08T00:00:00"/>
    <s v="Bonus du mois de Mai 2023/Donald"/>
    <x v="7"/>
    <s v="Legal"/>
    <m/>
    <n v="20000"/>
    <n v="34823940"/>
    <x v="1"/>
    <s v="Décharge"/>
    <x v="2"/>
    <x v="2"/>
    <s v="CONGO"/>
    <m/>
    <m/>
    <m/>
  </r>
  <r>
    <d v="2023-06-08T00:00:00"/>
    <s v="Bonus du mois de Mai 2023/Evariste"/>
    <x v="7"/>
    <s v="Media"/>
    <m/>
    <n v="20000"/>
    <n v="34803940"/>
    <x v="1"/>
    <s v="Décharge"/>
    <x v="2"/>
    <x v="2"/>
    <s v="CONGO"/>
    <m/>
    <m/>
    <m/>
  </r>
  <r>
    <d v="2023-06-08T00:00:00"/>
    <s v="Bonus du mois de Mai 2023/crepin"/>
    <x v="7"/>
    <s v="Legal"/>
    <m/>
    <n v="50000"/>
    <n v="34753940"/>
    <x v="1"/>
    <s v="Décharge"/>
    <x v="2"/>
    <x v="2"/>
    <s v="CONGO"/>
    <m/>
    <m/>
    <m/>
  </r>
  <r>
    <d v="2023-06-08T00:00:00"/>
    <s v="Bonus du mois de Mai 2023/Merveille"/>
    <x v="7"/>
    <s v="Management"/>
    <m/>
    <n v="20000"/>
    <n v="34733940"/>
    <x v="1"/>
    <s v="Décharge"/>
    <x v="2"/>
    <x v="2"/>
    <s v="CONGO"/>
    <m/>
    <m/>
    <m/>
  </r>
  <r>
    <d v="2023-06-08T00:00:00"/>
    <s v="Bonus du mois de Mai 2023/Grace"/>
    <x v="7"/>
    <s v="Management"/>
    <m/>
    <n v="50000"/>
    <n v="34683940"/>
    <x v="1"/>
    <s v="Décharge"/>
    <x v="2"/>
    <x v="2"/>
    <s v="CONGO"/>
    <m/>
    <m/>
    <m/>
  </r>
  <r>
    <d v="2023-06-08T00:00:00"/>
    <s v="Tiffany"/>
    <x v="1"/>
    <m/>
    <m/>
    <n v="25324"/>
    <n v="34658616"/>
    <x v="1"/>
    <m/>
    <x v="0"/>
    <x v="0"/>
    <m/>
    <m/>
    <m/>
    <m/>
  </r>
  <r>
    <d v="2023-06-08T00:00:00"/>
    <s v="T73"/>
    <x v="1"/>
    <m/>
    <m/>
    <n v="151000"/>
    <n v="34507616"/>
    <x v="1"/>
    <m/>
    <x v="0"/>
    <x v="0"/>
    <m/>
    <m/>
    <m/>
    <m/>
  </r>
  <r>
    <d v="2023-06-08T00:00:00"/>
    <s v="P29"/>
    <x v="1"/>
    <m/>
    <m/>
    <n v="160000"/>
    <n v="34347616"/>
    <x v="1"/>
    <m/>
    <x v="0"/>
    <x v="0"/>
    <m/>
    <m/>
    <m/>
    <m/>
  </r>
  <r>
    <d v="2023-06-08T00:00:00"/>
    <s v="Reçu caisse/T73 "/>
    <x v="1"/>
    <m/>
    <n v="151000"/>
    <m/>
    <n v="34498616"/>
    <x v="6"/>
    <m/>
    <x v="0"/>
    <x v="0"/>
    <m/>
    <m/>
    <m/>
    <m/>
  </r>
  <r>
    <d v="2023-06-08T00:00:00"/>
    <s v="Reçu de caisse/P29"/>
    <x v="1"/>
    <m/>
    <n v="160000"/>
    <m/>
    <n v="34658616"/>
    <x v="11"/>
    <m/>
    <x v="0"/>
    <x v="0"/>
    <m/>
    <m/>
    <m/>
    <m/>
  </r>
  <r>
    <d v="2023-06-08T00:00:00"/>
    <s v="Fonds reçu de Wildcat EAGLE"/>
    <x v="13"/>
    <m/>
    <n v="17622093"/>
    <m/>
    <n v="52280709"/>
    <x v="9"/>
    <s v="Relevé"/>
    <x v="2"/>
    <x v="0"/>
    <m/>
    <m/>
    <m/>
    <m/>
  </r>
  <r>
    <d v="2023-06-08T00:00:00"/>
    <s v="Achat billet SIBITI  pour LOUDIMA /D58"/>
    <x v="6"/>
    <s v="Investigation"/>
    <m/>
    <n v="3500"/>
    <n v="52277209"/>
    <x v="10"/>
    <s v="Oui"/>
    <x v="2"/>
    <x v="1"/>
    <s v="CONGO"/>
    <s v="RALFF-CO4621"/>
    <s v="2.2"/>
    <m/>
  </r>
  <r>
    <d v="2023-06-08T00:00:00"/>
    <s v="Achat Billet Loudima - Pointe Noire/D58"/>
    <x v="6"/>
    <s v="Investigation"/>
    <m/>
    <n v="6000"/>
    <n v="52271209"/>
    <x v="10"/>
    <s v="Oui"/>
    <x v="2"/>
    <x v="1"/>
    <s v="CONGO"/>
    <s v="RALFF-CO4622"/>
    <s v="2.2"/>
    <m/>
  </r>
  <r>
    <d v="2023-06-08T00:00:00"/>
    <s v="D58 - CONGO Frais d'hotel du 06 au 08/06/2023 (02 nuitées) à Sibiti "/>
    <x v="5"/>
    <s v="Investigation"/>
    <m/>
    <n v="20000"/>
    <n v="52251209"/>
    <x v="10"/>
    <s v="Oui"/>
    <x v="1"/>
    <x v="1"/>
    <s v="CONGO"/>
    <s v="RALFF-CO4623"/>
    <s v="1.3.2"/>
    <m/>
  </r>
  <r>
    <d v="2023-06-09T00:00:00"/>
    <s v="Achat billet Brazzaville-owando/P29"/>
    <x v="6"/>
    <s v="Investigation"/>
    <m/>
    <n v="8000"/>
    <n v="52243209"/>
    <x v="11"/>
    <s v="Oui"/>
    <x v="2"/>
    <x v="1"/>
    <s v="CONGO"/>
    <s v="RALFF-CO4624"/>
    <s v="2.2"/>
    <m/>
  </r>
  <r>
    <d v="2023-06-09T00:00:00"/>
    <s v="Achat /billet brazzaville - boundji/T73"/>
    <x v="6"/>
    <s v="Investigation"/>
    <m/>
    <n v="10000"/>
    <n v="52233209"/>
    <x v="6"/>
    <s v="Oui"/>
    <x v="2"/>
    <x v="1"/>
    <s v="CONGO"/>
    <s v="RALFF-CO4625"/>
    <s v="2.2"/>
    <m/>
  </r>
  <r>
    <d v="2023-06-09T00:00:00"/>
    <s v="Paiment salaire Tiffany Mois de Juin 2023/du 01 au 09 Juin 2023"/>
    <x v="9"/>
    <s v="Management"/>
    <m/>
    <n v="393574"/>
    <n v="51839635"/>
    <x v="1"/>
    <s v="Décharge"/>
    <x v="1"/>
    <x v="1"/>
    <s v="CONGO"/>
    <m/>
    <s v="1.1.1.1"/>
    <m/>
  </r>
  <r>
    <d v="2023-06-09T00:00:00"/>
    <s v="Frais de transfert charden farell à D58"/>
    <x v="3"/>
    <s v="Office"/>
    <m/>
    <n v="4785"/>
    <n v="51834850"/>
    <x v="1"/>
    <s v="Oui"/>
    <x v="1"/>
    <x v="1"/>
    <s v="CONGO"/>
    <m/>
    <s v="5.6"/>
    <m/>
  </r>
  <r>
    <d v="2023-06-09T00:00:00"/>
    <s v="Oracle"/>
    <x v="1"/>
    <m/>
    <m/>
    <n v="53000"/>
    <n v="51781850"/>
    <x v="1"/>
    <m/>
    <x v="0"/>
    <x v="0"/>
    <m/>
    <m/>
    <m/>
    <m/>
  </r>
  <r>
    <d v="2023-06-09T00:00:00"/>
    <s v="D58"/>
    <x v="1"/>
    <m/>
    <m/>
    <n v="106500"/>
    <n v="51675350"/>
    <x v="1"/>
    <m/>
    <x v="0"/>
    <x v="0"/>
    <m/>
    <m/>
    <m/>
    <m/>
  </r>
  <r>
    <d v="2023-06-09T00:00:00"/>
    <s v="Recu caisse/D58"/>
    <x v="1"/>
    <m/>
    <n v="106500"/>
    <m/>
    <n v="51781850"/>
    <x v="10"/>
    <m/>
    <x v="0"/>
    <x v="0"/>
    <m/>
    <m/>
    <m/>
    <m/>
  </r>
  <r>
    <d v="2023-06-09T00:00:00"/>
    <s v="T73 - CONGO Food Allowance du 09 au 17/06/2023 (08 nuitées)"/>
    <x v="5"/>
    <s v="Investigation"/>
    <m/>
    <n v="80000"/>
    <n v="51701850"/>
    <x v="6"/>
    <s v="Oui"/>
    <x v="1"/>
    <x v="1"/>
    <s v="CONGO"/>
    <s v="RALFF-CO4626"/>
    <s v="1.3.2"/>
    <m/>
  </r>
  <r>
    <d v="2023-06-09T00:00:00"/>
    <s v="Cumul frais de transport local mois de Juin 2023/Tiffany"/>
    <x v="6"/>
    <s v="Management"/>
    <m/>
    <n v="10000"/>
    <n v="51691850"/>
    <x v="8"/>
    <s v="Décharge"/>
    <x v="2"/>
    <x v="1"/>
    <s v="CONGO"/>
    <s v="RALFF-CO4627"/>
    <s v="2.2"/>
    <m/>
  </r>
  <r>
    <d v="2023-06-09T00:00:00"/>
    <s v="P29 - CONGO Food allowance mission du 09 au 17-06-2023 (08 nuitées)"/>
    <x v="5"/>
    <s v="Investigation"/>
    <m/>
    <n v="80000"/>
    <n v="51611850"/>
    <x v="11"/>
    <s v="Décharge"/>
    <x v="1"/>
    <x v="1"/>
    <s v="CONGO"/>
    <s v="RALFF-CO4628"/>
    <s v="1.3.2"/>
    <m/>
  </r>
  <r>
    <d v="2023-06-09T00:00:00"/>
    <s v="ORACLE - CONGO Frais d’hôtel du 6  au 9 juin 2023 à Pointe Noire (03 nuitées) "/>
    <x v="5"/>
    <s v="Legal"/>
    <m/>
    <n v="45000"/>
    <n v="51566850"/>
    <x v="12"/>
    <s v="Oui"/>
    <x v="2"/>
    <x v="2"/>
    <s v="CONGO"/>
    <m/>
    <m/>
    <m/>
  </r>
  <r>
    <d v="2023-06-09T00:00:00"/>
    <s v="Achat billet de bus: Pointe-Noire - Dolisie/Oracle"/>
    <x v="6"/>
    <s v="Legal"/>
    <m/>
    <n v="5000"/>
    <n v="51561850"/>
    <x v="12"/>
    <s v="Oui"/>
    <x v="2"/>
    <x v="2"/>
    <s v="CONGO"/>
    <m/>
    <m/>
    <m/>
  </r>
  <r>
    <d v="2023-06-09T00:00:00"/>
    <s v="Reçu caisse/Oracle"/>
    <x v="10"/>
    <m/>
    <n v="53000"/>
    <m/>
    <n v="51614850"/>
    <x v="12"/>
    <m/>
    <x v="0"/>
    <x v="0"/>
    <m/>
    <m/>
    <m/>
    <m/>
  </r>
  <r>
    <d v="2023-06-10T00:00:00"/>
    <s v="ORACLE - CONGO Frais d’hôtel du 9 au 10 juin 2023 à Dolisie (01 nuitée) "/>
    <x v="5"/>
    <s v="Legal"/>
    <m/>
    <n v="15000"/>
    <n v="51599850"/>
    <x v="12"/>
    <s v="Oui"/>
    <x v="2"/>
    <x v="2"/>
    <s v="CONGO"/>
    <m/>
    <m/>
    <m/>
  </r>
  <r>
    <d v="2023-06-10T00:00:00"/>
    <s v="Achat billet de bus: Dolisie - Brazzaville/Oracle"/>
    <x v="6"/>
    <s v="Legal"/>
    <m/>
    <n v="10000"/>
    <n v="51589850"/>
    <x v="12"/>
    <s v="Oui"/>
    <x v="2"/>
    <x v="2"/>
    <s v="CONGO"/>
    <m/>
    <m/>
    <m/>
  </r>
  <r>
    <d v="2023-06-11T00:00:00"/>
    <s v="T73 - CONGO Frais d'Hotel du 09 au 11/06/2023 (02 nuitées) à Boundji"/>
    <x v="5"/>
    <s v="Investigation"/>
    <m/>
    <n v="20000"/>
    <n v="51569850"/>
    <x v="6"/>
    <s v="Oui"/>
    <x v="1"/>
    <x v="1"/>
    <s v="CONGO"/>
    <s v="RALFF-CO4629"/>
    <s v="1.3.2"/>
    <m/>
  </r>
  <r>
    <d v="2023-06-11T00:00:00"/>
    <s v="achat billet: boundji - makoua/T73"/>
    <x v="6"/>
    <s v="Investigation"/>
    <m/>
    <n v="8000"/>
    <n v="51561850"/>
    <x v="6"/>
    <s v="Oui"/>
    <x v="2"/>
    <x v="1"/>
    <s v="CONGO"/>
    <s v="RALFF-CO4630"/>
    <s v="2.2"/>
    <m/>
  </r>
  <r>
    <d v="2023-06-12T00:00:00"/>
    <s v="Frais de transfert charden farell à T73 et P29"/>
    <x v="3"/>
    <s v="Office"/>
    <m/>
    <n v="6000"/>
    <n v="51555850"/>
    <x v="1"/>
    <s v="Oui"/>
    <x v="1"/>
    <x v="1"/>
    <s v="CONGO"/>
    <m/>
    <s v="5.6"/>
    <m/>
  </r>
  <r>
    <d v="2023-06-12T00:00:00"/>
    <s v="Bonus média portant sur l'interpellation de 4 présumés trafiquant de produits de faune,le 27/05/2023 à Dolisie"/>
    <x v="7"/>
    <s v="Media"/>
    <m/>
    <n v="22000"/>
    <n v="51533850"/>
    <x v="1"/>
    <s v="Décharge"/>
    <x v="2"/>
    <x v="2"/>
    <s v="CONGO"/>
    <m/>
    <m/>
    <m/>
  </r>
  <r>
    <d v="2023-06-12T00:00:00"/>
    <s v="Achat batterie pour groupe electrogène du Bureau PALF"/>
    <x v="4"/>
    <s v="Office"/>
    <m/>
    <n v="40000"/>
    <n v="51493850"/>
    <x v="1"/>
    <s v="Oui"/>
    <x v="2"/>
    <x v="2"/>
    <s v="CONGO"/>
    <m/>
    <m/>
    <m/>
  </r>
  <r>
    <d v="2023-06-12T00:00:00"/>
    <s v="Achat papier bristol et pile/Bureau PALF"/>
    <x v="4"/>
    <s v="Office"/>
    <m/>
    <n v="9000"/>
    <n v="51484850"/>
    <x v="1"/>
    <s v="Oui"/>
    <x v="1"/>
    <x v="1"/>
    <s v="CONGO"/>
    <m/>
    <s v="4.3"/>
    <m/>
  </r>
  <r>
    <d v="2023-06-12T00:00:00"/>
    <s v="Paiement attestation d'hebergement pour Mr Luc "/>
    <x v="9"/>
    <s v="Management"/>
    <m/>
    <n v="10000"/>
    <n v="51474850"/>
    <x v="1"/>
    <s v="Oui"/>
    <x v="2"/>
    <x v="2"/>
    <s v="CONGO"/>
    <m/>
    <m/>
    <m/>
  </r>
  <r>
    <d v="2023-06-12T00:00:00"/>
    <s v="T73"/>
    <x v="1"/>
    <m/>
    <m/>
    <n v="100000"/>
    <n v="51374850"/>
    <x v="1"/>
    <m/>
    <x v="0"/>
    <x v="0"/>
    <m/>
    <m/>
    <m/>
    <m/>
  </r>
  <r>
    <d v="2023-06-12T00:00:00"/>
    <s v="P29"/>
    <x v="1"/>
    <m/>
    <m/>
    <n v="100000"/>
    <n v="51274850"/>
    <x v="1"/>
    <m/>
    <x v="0"/>
    <x v="0"/>
    <m/>
    <m/>
    <m/>
    <m/>
  </r>
  <r>
    <d v="2023-06-12T00:00:00"/>
    <s v="Crépin"/>
    <x v="1"/>
    <m/>
    <m/>
    <n v="35000"/>
    <n v="51239850"/>
    <x v="1"/>
    <m/>
    <x v="0"/>
    <x v="0"/>
    <m/>
    <m/>
    <m/>
    <m/>
  </r>
  <r>
    <d v="2023-06-12T00:00:00"/>
    <s v="Donald-Roméo"/>
    <x v="1"/>
    <m/>
    <m/>
    <n v="172000"/>
    <n v="51067850"/>
    <x v="1"/>
    <m/>
    <x v="0"/>
    <x v="0"/>
    <m/>
    <m/>
    <m/>
    <m/>
  </r>
  <r>
    <d v="2023-06-12T00:00:00"/>
    <s v="Retrait espèces/appro caisse/"/>
    <x v="1"/>
    <m/>
    <m/>
    <n v="19049328"/>
    <n v="32018522"/>
    <x v="9"/>
    <s v="Virement"/>
    <x v="0"/>
    <x v="0"/>
    <m/>
    <m/>
    <m/>
    <m/>
  </r>
  <r>
    <d v="2023-06-12T00:00:00"/>
    <s v="Achat Imprimante LaserJet HPMA83FW/Bureau PALF"/>
    <x v="14"/>
    <s v="Office"/>
    <m/>
    <n v="440000"/>
    <n v="31578522"/>
    <x v="5"/>
    <n v="3667348"/>
    <x v="1"/>
    <x v="1"/>
    <s v="CONGO"/>
    <m/>
    <s v="3.2"/>
    <m/>
  </r>
  <r>
    <d v="2023-06-12T00:00:00"/>
    <s v="Reçu de caisse/Crépin"/>
    <x v="1"/>
    <m/>
    <n v="35000"/>
    <m/>
    <n v="31613522"/>
    <x v="2"/>
    <m/>
    <x v="0"/>
    <x v="0"/>
    <m/>
    <m/>
    <m/>
    <m/>
  </r>
  <r>
    <d v="2023-06-12T00:00:00"/>
    <s v="Reçu caisse/T73 "/>
    <x v="1"/>
    <m/>
    <n v="100000"/>
    <m/>
    <n v="31713522"/>
    <x v="6"/>
    <m/>
    <x v="0"/>
    <x v="0"/>
    <m/>
    <m/>
    <m/>
    <m/>
  </r>
  <r>
    <d v="2023-06-12T00:00:00"/>
    <s v="Reçu caisse/Donald"/>
    <x v="1"/>
    <m/>
    <n v="172000"/>
    <m/>
    <n v="31885522"/>
    <x v="4"/>
    <m/>
    <x v="0"/>
    <x v="0"/>
    <m/>
    <m/>
    <m/>
    <m/>
  </r>
  <r>
    <d v="2023-06-12T00:00:00"/>
    <s v="Reçu de caisse/P29"/>
    <x v="1"/>
    <m/>
    <n v="100000"/>
    <m/>
    <n v="31985522"/>
    <x v="11"/>
    <m/>
    <x v="0"/>
    <x v="0"/>
    <m/>
    <m/>
    <m/>
    <m/>
  </r>
  <r>
    <d v="2023-06-12T00:00:00"/>
    <s v="Achat 03 ordinateurs  portable pour le bureau PALF"/>
    <x v="14"/>
    <s v="Office"/>
    <m/>
    <n v="900000"/>
    <n v="31085522"/>
    <x v="5"/>
    <n v="3667348"/>
    <x v="1"/>
    <x v="1"/>
    <s v="CONGO"/>
    <m/>
    <s v="3.2"/>
    <m/>
  </r>
  <r>
    <d v="2023-06-13T00:00:00"/>
    <s v="Frais bancaire/Compte56"/>
    <x v="15"/>
    <s v="Office"/>
    <m/>
    <n v="26591"/>
    <n v="31058931"/>
    <x v="5"/>
    <s v="Relevé"/>
    <x v="1"/>
    <x v="1"/>
    <s v="CONGO"/>
    <m/>
    <s v="5.6"/>
    <m/>
  </r>
  <r>
    <d v="2023-06-12T00:00:00"/>
    <s v="Achat billet pour Pointe noire -Brazzaville/D58"/>
    <x v="6"/>
    <s v="Investigation"/>
    <m/>
    <n v="15000"/>
    <n v="31043931"/>
    <x v="10"/>
    <s v="Oui"/>
    <x v="2"/>
    <x v="1"/>
    <s v="CONGO"/>
    <s v="RALFF-CO4631"/>
    <s v="2.2"/>
    <m/>
  </r>
  <r>
    <d v="2023-06-12T00:00:00"/>
    <s v="Cumul Frais de transport local mois de Juin 2023/Hurielle"/>
    <x v="6"/>
    <s v="Legal"/>
    <m/>
    <n v="10300"/>
    <n v="31033631"/>
    <x v="7"/>
    <s v="Décharge"/>
    <x v="2"/>
    <x v="1"/>
    <s v="CONGO"/>
    <s v="RALFF-CO4632"/>
    <s v="2.2"/>
    <m/>
  </r>
  <r>
    <d v="2023-06-12T00:00:00"/>
    <s v="Achat billet Brazzalle-Dolisie/Donald"/>
    <x v="6"/>
    <s v="Legal"/>
    <m/>
    <n v="10000"/>
    <n v="31023631"/>
    <x v="4"/>
    <s v="Oui"/>
    <x v="2"/>
    <x v="1"/>
    <s v="CONGO"/>
    <s v="RALFF-CO4633"/>
    <s v="2.2"/>
    <m/>
  </r>
  <r>
    <d v="2023-06-13T00:00:00"/>
    <s v="Paiement attestation d'hebergement pour Mr Luc "/>
    <x v="9"/>
    <s v="Management"/>
    <m/>
    <n v="30000"/>
    <n v="30993631"/>
    <x v="1"/>
    <s v="Oui"/>
    <x v="2"/>
    <x v="2"/>
    <s v="CONGO"/>
    <m/>
    <m/>
    <m/>
  </r>
  <r>
    <d v="2023-06-13T00:00:00"/>
    <s v="Frais de mission Maitre Marie Hélène à Dolisie du 14 au 16/06/2023/suivi audience"/>
    <x v="2"/>
    <s v="Legal"/>
    <m/>
    <n v="76000"/>
    <n v="30917631"/>
    <x v="1"/>
    <s v="Oui"/>
    <x v="1"/>
    <x v="1"/>
    <s v="CONGO"/>
    <m/>
    <s v="5.2.2"/>
    <m/>
  </r>
  <r>
    <d v="2023-06-13T00:00:00"/>
    <s v="Frais bancaire/Compte 34"/>
    <x v="15"/>
    <s v="Office"/>
    <m/>
    <n v="35235"/>
    <n v="30882396"/>
    <x v="9"/>
    <s v="Relevé"/>
    <x v="2"/>
    <x v="2"/>
    <s v="CONGO"/>
    <m/>
    <m/>
    <m/>
  </r>
  <r>
    <d v="2023-06-13T00:00:00"/>
    <s v="Acompte Honoraire contrat N°58 Dolisie cas KIBAMBA et Consorts/maitre Marie Hélène NANITELAMIO"/>
    <x v="2"/>
    <s v="Legal"/>
    <m/>
    <n v="200000"/>
    <n v="30682396"/>
    <x v="5"/>
    <n v="3667349"/>
    <x v="1"/>
    <x v="1"/>
    <s v="CONGO"/>
    <m/>
    <s v="5.2.2"/>
    <m/>
  </r>
  <r>
    <d v="2023-06-13T00:00:00"/>
    <s v="D58 - CONGO Frais d'hotel du 08 au 13/06/2023 (05 nuitées)"/>
    <x v="5"/>
    <s v="Investigation"/>
    <m/>
    <n v="75000"/>
    <n v="30607396"/>
    <x v="10"/>
    <s v="Oui"/>
    <x v="1"/>
    <x v="1"/>
    <s v="CONGO"/>
    <s v="RALFF-CO4634"/>
    <s v="1.3.2"/>
    <m/>
  </r>
  <r>
    <d v="2023-06-13T00:00:00"/>
    <s v="DONALD ROMEO - CONGO Food Allowance Mission du 13 au 16/06/2023 (03 nuitées)"/>
    <x v="5"/>
    <s v="Legal"/>
    <m/>
    <n v="30000"/>
    <n v="30577396"/>
    <x v="4"/>
    <s v="Décharge"/>
    <x v="1"/>
    <x v="1"/>
    <s v="CONGO"/>
    <s v="RALFF-CO4635"/>
    <s v="1.3.2"/>
    <m/>
  </r>
  <r>
    <d v="2023-06-13T00:00:00"/>
    <s v="P29 - CONGO Frais d'Hotel du 09  au 13/06/2023  à owando (04 nuitées)"/>
    <x v="5"/>
    <s v="Investigation"/>
    <m/>
    <n v="60000"/>
    <n v="30517396"/>
    <x v="11"/>
    <s v="Oui"/>
    <x v="1"/>
    <x v="1"/>
    <s v="CONGO"/>
    <s v="RALFF-CO4636"/>
    <s v="1.3.2"/>
    <m/>
  </r>
  <r>
    <d v="2023-06-13T00:00:00"/>
    <s v="Achat billet owando-oyo/P29"/>
    <x v="6"/>
    <s v="Investigation"/>
    <m/>
    <n v="3000"/>
    <n v="30514396"/>
    <x v="11"/>
    <s v="Oui"/>
    <x v="2"/>
    <x v="1"/>
    <s v="CONGO"/>
    <s v="RALFF-CO4637"/>
    <s v="2.2"/>
    <m/>
  </r>
  <r>
    <d v="2023-06-14T00:00:00"/>
    <s v="Paiement attestation d'hebergement pour MR DOVI"/>
    <x v="9"/>
    <s v="Management"/>
    <m/>
    <n v="40000"/>
    <n v="30474396"/>
    <x v="1"/>
    <s v="Oui"/>
    <x v="2"/>
    <x v="2"/>
    <s v="CONGO"/>
    <m/>
    <m/>
    <m/>
  </r>
  <r>
    <d v="2023-06-14T00:00:00"/>
    <s v="T73 - CONGO Frais d'Hotel du 11 au 14/06/2023 (03 nuitées) à makoua"/>
    <x v="5"/>
    <s v="Investigation"/>
    <m/>
    <n v="45000"/>
    <n v="30429396"/>
    <x v="6"/>
    <s v="Oui"/>
    <x v="1"/>
    <x v="1"/>
    <s v="CONGO"/>
    <s v="RALFF-CO4638"/>
    <s v="1.3.2"/>
    <m/>
  </r>
  <r>
    <d v="2023-06-14T00:00:00"/>
    <s v="achat billet/ Makoua - Owando/T73"/>
    <x v="6"/>
    <s v="Investigation"/>
    <m/>
    <n v="3000"/>
    <n v="30426396"/>
    <x v="6"/>
    <s v="Oui"/>
    <x v="2"/>
    <x v="1"/>
    <s v="CONGO"/>
    <s v="RALFF-CO4639"/>
    <s v="2.2"/>
    <m/>
  </r>
  <r>
    <d v="2023-06-15T00:00:00"/>
    <s v="Achat credit  teléphonique MTN/PALF/Deuxième partie Juin 2023/Management"/>
    <x v="12"/>
    <s v="Management"/>
    <m/>
    <n v="10000"/>
    <n v="30416396"/>
    <x v="1"/>
    <s v="Oui"/>
    <x v="1"/>
    <x v="1"/>
    <s v="CONGO"/>
    <m/>
    <s v="4.6"/>
    <m/>
  </r>
  <r>
    <d v="2023-06-15T00:00:00"/>
    <s v="Achat credit  teléphonique MTN/PALF/Deuxième partie Juin 2023/Legal"/>
    <x v="12"/>
    <s v="Legal"/>
    <m/>
    <n v="20000"/>
    <n v="30396396"/>
    <x v="1"/>
    <s v="Oui"/>
    <x v="1"/>
    <x v="1"/>
    <s v="CONGO"/>
    <m/>
    <s v="4.6"/>
    <m/>
  </r>
  <r>
    <d v="2023-06-15T00:00:00"/>
    <s v="Achat credit  teléphonique MTN/PALF/Deuxième partie Juin 2023/Investingation"/>
    <x v="12"/>
    <s v="Investigation"/>
    <m/>
    <n v="40000"/>
    <n v="30356396"/>
    <x v="1"/>
    <s v="Oui"/>
    <x v="1"/>
    <x v="1"/>
    <s v="CONGO"/>
    <m/>
    <s v="4.6"/>
    <m/>
  </r>
  <r>
    <d v="2023-06-15T00:00:00"/>
    <s v="Achat credit  teléphonique MTN/PALF/Deuxième partie Juin 2023/Media"/>
    <x v="12"/>
    <s v="Media"/>
    <m/>
    <n v="10000"/>
    <n v="30346396"/>
    <x v="1"/>
    <s v="Oui"/>
    <x v="1"/>
    <x v="1"/>
    <s v="CONGO"/>
    <m/>
    <s v="4.6"/>
    <m/>
  </r>
  <r>
    <d v="2023-06-15T00:00:00"/>
    <s v="Achat credit  teléphonique airtel/PALF/Deuxième partie Juin 2023/Management"/>
    <x v="12"/>
    <s v="Management"/>
    <m/>
    <n v="10000"/>
    <n v="30336396"/>
    <x v="1"/>
    <s v="Oui"/>
    <x v="1"/>
    <x v="1"/>
    <s v="CONGO"/>
    <m/>
    <s v="4.6"/>
    <m/>
  </r>
  <r>
    <d v="2023-06-15T00:00:00"/>
    <s v="Achat credit  teléphonique airtel/PALF/Deuxième partie Juin 2023/Legal"/>
    <x v="12"/>
    <s v="Legal"/>
    <m/>
    <n v="10000"/>
    <n v="30326396"/>
    <x v="1"/>
    <s v="Oui"/>
    <x v="1"/>
    <x v="1"/>
    <s v="CONGO"/>
    <m/>
    <s v="4.6"/>
    <m/>
  </r>
  <r>
    <d v="2023-06-15T00:00:00"/>
    <s v="Achat credit  teléphonique airtel/PALF/Deuxième partie Juin 2023/Legal Volontaire"/>
    <x v="12"/>
    <s v="Legal"/>
    <m/>
    <n v="10000"/>
    <n v="30316396"/>
    <x v="1"/>
    <s v="Oui"/>
    <x v="2"/>
    <x v="2"/>
    <s v="CONGO"/>
    <m/>
    <m/>
    <m/>
  </r>
  <r>
    <d v="2023-06-15T00:00:00"/>
    <s v="Achat credit  teléphonique airtel/PALF/Deuxième partie Juin 2023/Investigation"/>
    <x v="12"/>
    <s v="Investigation"/>
    <m/>
    <n v="5000"/>
    <n v="30311396"/>
    <x v="1"/>
    <s v="Oui"/>
    <x v="1"/>
    <x v="1"/>
    <s v="CONGO"/>
    <m/>
    <s v="4.6"/>
    <m/>
  </r>
  <r>
    <d v="2023-06-15T00:00:00"/>
    <s v="Bonus média portant sur l'interpellation de 4 présumés trafiquant de produits de faune,le 27/05/2023 à Dolisie"/>
    <x v="7"/>
    <s v="Media"/>
    <m/>
    <n v="42000"/>
    <n v="30269396"/>
    <x v="1"/>
    <s v="Décharge"/>
    <x v="2"/>
    <x v="2"/>
    <s v="CONGO"/>
    <m/>
    <m/>
    <m/>
  </r>
  <r>
    <d v="2023-06-14T00:00:00"/>
    <s v="Cumul Frais Médicaux détenu BALENDA à Dolisie//Donald"/>
    <x v="8"/>
    <s v="Legal"/>
    <m/>
    <n v="48855"/>
    <n v="30220541"/>
    <x v="4"/>
    <s v="Décharge"/>
    <x v="2"/>
    <x v="2"/>
    <s v="CONGO"/>
    <m/>
    <m/>
    <m/>
  </r>
  <r>
    <d v="2023-06-15T00:00:00"/>
    <s v="P29 - CONGO Frais d'Hotel du 13  au 15/06/2023  à oyo (02 nuitées)"/>
    <x v="5"/>
    <s v="Investigation"/>
    <m/>
    <n v="30000"/>
    <n v="30190541"/>
    <x v="11"/>
    <s v="Oui"/>
    <x v="1"/>
    <x v="1"/>
    <s v="CONGO"/>
    <s v="RALFF-CO4640"/>
    <s v="1.3.2"/>
    <m/>
  </r>
  <r>
    <d v="2023-06-15T00:00:00"/>
    <s v="Photocopie de 8 pages (dossier certificat d'hebergement)"/>
    <x v="4"/>
    <s v="Office"/>
    <m/>
    <n v="400"/>
    <n v="30190141"/>
    <x v="14"/>
    <s v="Oui"/>
    <x v="2"/>
    <x v="2"/>
    <s v="CONGO"/>
    <m/>
    <m/>
    <m/>
  </r>
  <r>
    <d v="2023-06-15T00:00:00"/>
    <s v="Achat billet oyo-djambala/P29"/>
    <x v="6"/>
    <s v="Investigation"/>
    <m/>
    <n v="8000"/>
    <n v="30182141"/>
    <x v="11"/>
    <s v="Oui"/>
    <x v="2"/>
    <x v="1"/>
    <s v="CONGO"/>
    <s v="RALFF-CO4641"/>
    <s v="2.2"/>
    <m/>
  </r>
  <r>
    <d v="2023-06-16T00:00:00"/>
    <s v="Achat billet Dolisie-Brazzalle/Donald"/>
    <x v="6"/>
    <s v="Legal"/>
    <m/>
    <n v="10000"/>
    <n v="30172141"/>
    <x v="4"/>
    <s v="Oui"/>
    <x v="2"/>
    <x v="1"/>
    <s v="CONGO"/>
    <s v="RALFF-CO4642"/>
    <s v="2.2"/>
    <m/>
  </r>
  <r>
    <d v="2023-06-16T00:00:00"/>
    <s v="Frais de reparation groupe electrogène et montage batterie"/>
    <x v="16"/>
    <s v="Office"/>
    <m/>
    <n v="15000"/>
    <n v="30157141"/>
    <x v="1"/>
    <s v="Oui"/>
    <x v="2"/>
    <x v="2"/>
    <s v="CONGO"/>
    <m/>
    <m/>
    <m/>
  </r>
  <r>
    <d v="2023-06-16T00:00:00"/>
    <s v="Configuration imprimante et repeteur"/>
    <x v="16"/>
    <s v="Office"/>
    <m/>
    <n v="15000"/>
    <n v="30142141"/>
    <x v="1"/>
    <s v="Oui"/>
    <x v="2"/>
    <x v="2"/>
    <s v="CONGO"/>
    <m/>
    <m/>
    <m/>
  </r>
  <r>
    <d v="2023-06-16T00:00:00"/>
    <s v="Achat 04 bouiteille MAXI d'eau minerale/Bureau PALF"/>
    <x v="4"/>
    <s v="Office"/>
    <m/>
    <n v="18000"/>
    <n v="30124141"/>
    <x v="1"/>
    <s v="Oui"/>
    <x v="1"/>
    <x v="1"/>
    <s v="CONGO"/>
    <m/>
    <s v="4.3"/>
    <m/>
  </r>
  <r>
    <d v="2023-06-16T00:00:00"/>
    <s v="achat billet/ Owando - Brazzaville/T73"/>
    <x v="6"/>
    <s v="Investigation"/>
    <m/>
    <n v="8000"/>
    <n v="30116141"/>
    <x v="6"/>
    <s v="Oui"/>
    <x v="2"/>
    <x v="1"/>
    <s v="CONGO"/>
    <s v="RALFF-CO4643"/>
    <s v="2.2"/>
    <m/>
  </r>
  <r>
    <d v="2023-06-16T00:00:00"/>
    <s v="DONALD ROMEO - CONGO Frais d'hôtel/ 03 Nuitées du 13 au 16/06/2023 à Dolisie"/>
    <x v="5"/>
    <s v="Legal"/>
    <m/>
    <n v="45000"/>
    <n v="30071141"/>
    <x v="4"/>
    <s v="Oui"/>
    <x v="1"/>
    <x v="1"/>
    <s v="CONGO"/>
    <s v="RALFF-CO4644"/>
    <s v="1.3.2"/>
    <m/>
  </r>
  <r>
    <d v="2023-06-17T00:00:00"/>
    <s v="T73 - CONGO Frais d'Hotel du 14 au 17/06/2023 (03 nuitées) à Owando"/>
    <x v="5"/>
    <s v="Investigation"/>
    <m/>
    <n v="45000"/>
    <n v="30026141"/>
    <x v="6"/>
    <s v="Oui"/>
    <x v="1"/>
    <x v="1"/>
    <s v="CONGO"/>
    <s v="RALFF-CO4645"/>
    <s v="1.3.2"/>
    <m/>
  </r>
  <r>
    <d v="2023-06-17T00:00:00"/>
    <s v="P29 - CONGO Frais d'Hotel du 17  au 19/06/2023  à djambala (02 nuitées)"/>
    <x v="5"/>
    <s v="Investigation"/>
    <m/>
    <n v="20000"/>
    <n v="30006141"/>
    <x v="11"/>
    <s v="Oui"/>
    <x v="2"/>
    <x v="1"/>
    <s v="CONGO"/>
    <s v="RALFF-CO4646"/>
    <s v="1.3.2"/>
    <m/>
  </r>
  <r>
    <d v="2023-06-17T00:00:00"/>
    <s v="Achat billet djambala-Brazzaville/P29"/>
    <x v="6"/>
    <s v="Investigation"/>
    <m/>
    <n v="8000"/>
    <n v="29998141"/>
    <x v="11"/>
    <s v="Oui"/>
    <x v="2"/>
    <x v="1"/>
    <s v="CONGO"/>
    <s v="RALFF-CO4647"/>
    <s v="2.2"/>
    <m/>
  </r>
  <r>
    <d v="2023-06-19T00:00:00"/>
    <s v="Bonus média portant sur l'interpellation de 4 présumés trafiquant de produits de faune,le 27/05/2023 à Dolisie"/>
    <x v="7"/>
    <s v="Media"/>
    <m/>
    <n v="16000"/>
    <n v="29982141"/>
    <x v="1"/>
    <s v="Décharge"/>
    <x v="2"/>
    <x v="2"/>
    <s v="CONGO"/>
    <m/>
    <m/>
    <m/>
  </r>
  <r>
    <d v="2023-06-19T00:00:00"/>
    <s v="Achat produits d'entretien bureau/Javel,sucre,papier toilette,café,lait,Brosse et sac poubelle /Bureau PALF"/>
    <x v="4"/>
    <s v="Office"/>
    <m/>
    <n v="55850"/>
    <n v="29926291"/>
    <x v="1"/>
    <s v="Oui"/>
    <x v="1"/>
    <x v="1"/>
    <s v="CONGO"/>
    <m/>
    <s v="4.3"/>
    <m/>
  </r>
  <r>
    <d v="2023-06-19T00:00:00"/>
    <s v="Achat credit  teléphonique MTN/PALF/du 19 au 30 Juin 2023/Management"/>
    <x v="12"/>
    <s v="Management"/>
    <m/>
    <n v="10000"/>
    <n v="29916291"/>
    <x v="1"/>
    <s v="Oui"/>
    <x v="1"/>
    <x v="1"/>
    <s v="CONGO"/>
    <m/>
    <s v="4.6"/>
    <m/>
  </r>
  <r>
    <d v="2023-06-19T00:00:00"/>
    <s v="Team building arrivée Mr DOVI (Nouveau Coordinateur)"/>
    <x v="9"/>
    <s v="Team building"/>
    <m/>
    <n v="30000"/>
    <n v="29886291"/>
    <x v="1"/>
    <s v="Oui"/>
    <x v="2"/>
    <x v="2"/>
    <s v="CONGO"/>
    <m/>
    <m/>
    <m/>
  </r>
  <r>
    <d v="2023-06-19T00:00:00"/>
    <s v="P29"/>
    <x v="1"/>
    <m/>
    <m/>
    <n v="150000"/>
    <n v="29736291"/>
    <x v="1"/>
    <m/>
    <x v="0"/>
    <x v="0"/>
    <m/>
    <m/>
    <m/>
    <m/>
  </r>
  <r>
    <d v="2023-06-19T00:00:00"/>
    <s v="T73"/>
    <x v="1"/>
    <m/>
    <m/>
    <n v="155000"/>
    <n v="29581291"/>
    <x v="1"/>
    <m/>
    <x v="0"/>
    <x v="0"/>
    <m/>
    <m/>
    <m/>
    <m/>
  </r>
  <r>
    <d v="2023-06-19T00:00:00"/>
    <s v="Evariste"/>
    <x v="1"/>
    <m/>
    <m/>
    <n v="15000"/>
    <n v="29566291"/>
    <x v="1"/>
    <m/>
    <x v="0"/>
    <x v="0"/>
    <m/>
    <m/>
    <m/>
    <m/>
  </r>
  <r>
    <d v="2023-06-19T00:00:00"/>
    <s v="Reçu de la caisse / Evariste"/>
    <x v="1"/>
    <m/>
    <n v="15000"/>
    <m/>
    <n v="29581291"/>
    <x v="14"/>
    <m/>
    <x v="0"/>
    <x v="0"/>
    <m/>
    <m/>
    <m/>
    <m/>
  </r>
  <r>
    <d v="2023-06-19T00:00:00"/>
    <s v="Reçu de caisse/P29"/>
    <x v="1"/>
    <m/>
    <n v="150000"/>
    <m/>
    <n v="29731291"/>
    <x v="11"/>
    <m/>
    <x v="0"/>
    <x v="0"/>
    <m/>
    <m/>
    <m/>
    <m/>
  </r>
  <r>
    <d v="2023-06-19T00:00:00"/>
    <s v="achat billet: brazzaville - pointe noire /T73"/>
    <x v="6"/>
    <s v="Investigation"/>
    <m/>
    <n v="15000"/>
    <n v="29716291"/>
    <x v="6"/>
    <s v="Oui"/>
    <x v="2"/>
    <x v="1"/>
    <s v="CONGO"/>
    <s v="RALFF-CO4648"/>
    <s v="2.2"/>
    <m/>
  </r>
  <r>
    <d v="2023-06-19T00:00:00"/>
    <s v="Achat billet Brazzaville - Pointe Noire /P29"/>
    <x v="6"/>
    <s v="Investigation"/>
    <m/>
    <n v="15000"/>
    <n v="29701291"/>
    <x v="11"/>
    <s v="Oui"/>
    <x v="2"/>
    <x v="1"/>
    <s v="CONGO"/>
    <s v="RALFF-CO4649"/>
    <s v="2.2"/>
    <m/>
  </r>
  <r>
    <d v="2023-06-20T00:00:00"/>
    <s v="Reçu caisse/T73 "/>
    <x v="1"/>
    <m/>
    <n v="155000"/>
    <m/>
    <n v="29856291"/>
    <x v="6"/>
    <m/>
    <x v="0"/>
    <x v="0"/>
    <m/>
    <m/>
    <m/>
    <m/>
  </r>
  <r>
    <d v="2023-06-20T00:00:00"/>
    <s v="T73 - CONGO Food Allowance du 20 au 29/06/2023 (09 nuitées)"/>
    <x v="5"/>
    <s v="Investigation"/>
    <m/>
    <n v="90000"/>
    <n v="29766291"/>
    <x v="6"/>
    <s v="Décharge"/>
    <x v="2"/>
    <x v="1"/>
    <s v="CONGO"/>
    <s v="RALFF-CO4650"/>
    <s v="1.3.2"/>
    <m/>
  </r>
  <r>
    <d v="2023-06-20T00:00:00"/>
    <s v="P29 - CONGO Food allowance mission du 20-06 au 29-06-2023 (09 nuitées)"/>
    <x v="5"/>
    <s v="Investigation"/>
    <m/>
    <n v="90000"/>
    <n v="29676291"/>
    <x v="11"/>
    <s v="Décharge"/>
    <x v="2"/>
    <x v="1"/>
    <s v="CONGO"/>
    <s v="RALFF-CO4651"/>
    <s v="1.3.2"/>
    <m/>
  </r>
  <r>
    <d v="2023-06-21T00:00:00"/>
    <s v="Achat fournitures de Bureau/Encreur,rame papier,marqueur et cole /Bureau PALF"/>
    <x v="4"/>
    <s v="Office"/>
    <m/>
    <n v="103500"/>
    <n v="29572791"/>
    <x v="1"/>
    <s v="Oui"/>
    <x v="1"/>
    <x v="1"/>
    <s v="CONGO"/>
    <m/>
    <s v="4.3"/>
    <m/>
  </r>
  <r>
    <d v="2023-06-21T00:00:00"/>
    <s v="Achat 10 Agendas pour l'équipe/Bureau PALF"/>
    <x v="4"/>
    <s v="Office"/>
    <m/>
    <n v="20000"/>
    <n v="29552791"/>
    <x v="1"/>
    <s v="Oui"/>
    <x v="1"/>
    <x v="1"/>
    <s v="CONGO"/>
    <m/>
    <s v="4.3"/>
    <m/>
  </r>
  <r>
    <d v="2023-06-21T00:00:00"/>
    <s v="D58"/>
    <x v="1"/>
    <m/>
    <m/>
    <n v="166000"/>
    <n v="29386791"/>
    <x v="1"/>
    <m/>
    <x v="0"/>
    <x v="0"/>
    <m/>
    <m/>
    <m/>
    <m/>
  </r>
  <r>
    <d v="2023-06-21T00:00:00"/>
    <s v="Oracle"/>
    <x v="1"/>
    <m/>
    <m/>
    <n v="15000"/>
    <n v="29371791"/>
    <x v="1"/>
    <m/>
    <x v="0"/>
    <x v="0"/>
    <m/>
    <m/>
    <m/>
    <m/>
  </r>
  <r>
    <d v="2023-06-21T00:00:00"/>
    <s v="Merveille/Réservation Hébergement Hélène BLANCHARD "/>
    <x v="1"/>
    <m/>
    <m/>
    <n v="160000"/>
    <n v="29211791"/>
    <x v="1"/>
    <m/>
    <x v="0"/>
    <x v="0"/>
    <m/>
    <m/>
    <m/>
    <m/>
  </r>
  <r>
    <d v="2023-06-21T00:00:00"/>
    <s v="Recu caisse/D58"/>
    <x v="1"/>
    <m/>
    <n v="166000"/>
    <m/>
    <n v="29377791"/>
    <x v="10"/>
    <m/>
    <x v="0"/>
    <x v="0"/>
    <m/>
    <m/>
    <m/>
    <m/>
  </r>
  <r>
    <d v="2023-06-21T00:00:00"/>
    <s v="Achat billet pour Brazzaville - Loudima /D58"/>
    <x v="6"/>
    <s v="Investigation"/>
    <m/>
    <n v="9000"/>
    <n v="29368791"/>
    <x v="10"/>
    <s v="Oui"/>
    <x v="2"/>
    <x v="1"/>
    <s v="CONGO"/>
    <s v="RALFF-CO4652"/>
    <s v="2.2"/>
    <m/>
  </r>
  <r>
    <d v="2023-06-21T00:00:00"/>
    <s v="Reçu caisse/Oracle"/>
    <x v="1"/>
    <m/>
    <n v="15000"/>
    <m/>
    <n v="29383791"/>
    <x v="12"/>
    <m/>
    <x v="0"/>
    <x v="0"/>
    <m/>
    <m/>
    <m/>
    <m/>
  </r>
  <r>
    <d v="2023-06-22T00:00:00"/>
    <s v="Frais de transfert charden farell à P29 et T73"/>
    <x v="3"/>
    <s v="Office"/>
    <m/>
    <n v="6000"/>
    <n v="29377791"/>
    <x v="1"/>
    <s v="Oui"/>
    <x v="1"/>
    <x v="1"/>
    <s v="CONGO"/>
    <m/>
    <s v="5.6"/>
    <m/>
  </r>
  <r>
    <d v="2023-06-21T00:00:00"/>
    <s v="Retour caisse/Merveille"/>
    <x v="1"/>
    <m/>
    <n v="160000"/>
    <m/>
    <n v="29537791"/>
    <x v="3"/>
    <m/>
    <x v="0"/>
    <x v="0"/>
    <m/>
    <m/>
    <m/>
    <m/>
  </r>
  <r>
    <d v="2023-06-22T00:00:00"/>
    <s v="BCI-36545454-34"/>
    <x v="1"/>
    <m/>
    <n v="2000000"/>
    <m/>
    <n v="31537791"/>
    <x v="1"/>
    <m/>
    <x v="0"/>
    <x v="0"/>
    <m/>
    <m/>
    <m/>
    <m/>
  </r>
  <r>
    <d v="2023-06-22T00:00:00"/>
    <s v="P29"/>
    <x v="1"/>
    <m/>
    <m/>
    <n v="100000"/>
    <n v="31437791"/>
    <x v="1"/>
    <m/>
    <x v="0"/>
    <x v="0"/>
    <m/>
    <m/>
    <m/>
    <m/>
  </r>
  <r>
    <d v="2023-06-22T00:00:00"/>
    <s v="T73"/>
    <x v="1"/>
    <m/>
    <m/>
    <n v="100000"/>
    <n v="31337791"/>
    <x v="1"/>
    <m/>
    <x v="0"/>
    <x v="0"/>
    <m/>
    <m/>
    <m/>
    <m/>
  </r>
  <r>
    <d v="2023-06-22T00:00:00"/>
    <s v="Retrait especes/appro caisse/bord n°3654554"/>
    <x v="1"/>
    <m/>
    <m/>
    <n v="2000000"/>
    <n v="29337791"/>
    <x v="9"/>
    <n v="3654554"/>
    <x v="0"/>
    <x v="0"/>
    <m/>
    <m/>
    <m/>
    <m/>
  </r>
  <r>
    <d v="2023-06-22T00:00:00"/>
    <s v="Retour caisse/Hurielle"/>
    <x v="1"/>
    <m/>
    <m/>
    <n v="18805"/>
    <n v="29318986"/>
    <x v="7"/>
    <m/>
    <x v="0"/>
    <x v="0"/>
    <m/>
    <m/>
    <m/>
    <m/>
  </r>
  <r>
    <d v="2023-06-22T00:00:00"/>
    <s v="Achat billet Loudima - Sibiti (Gare Routiere)/D58"/>
    <x v="6"/>
    <s v="Investigation"/>
    <m/>
    <n v="3500"/>
    <n v="29315486"/>
    <x v="10"/>
    <s v="Oui"/>
    <x v="2"/>
    <x v="1"/>
    <s v="CONGO"/>
    <s v="RALFF-CO4654"/>
    <s v="2.2"/>
    <m/>
  </r>
  <r>
    <d v="2023-06-22T00:00:00"/>
    <s v="D58 - CONGO Food allowance du 22 au 25/06/2023 (03 nuitées)"/>
    <x v="5"/>
    <s v="Investigation"/>
    <m/>
    <n v="30000"/>
    <n v="29285486"/>
    <x v="10"/>
    <s v="Décharge"/>
    <x v="2"/>
    <x v="1"/>
    <s v="CONGO"/>
    <s v="RALFF-CO4662"/>
    <s v="1.3.2"/>
    <m/>
  </r>
  <r>
    <d v="2023-06-22T00:00:00"/>
    <s v="Reçu de P29/T73 "/>
    <x v="1"/>
    <m/>
    <n v="100000"/>
    <m/>
    <n v="29385486"/>
    <x v="6"/>
    <m/>
    <x v="0"/>
    <x v="0"/>
    <m/>
    <m/>
    <m/>
    <m/>
  </r>
  <r>
    <d v="2023-06-22T00:00:00"/>
    <s v="Reçu de caisse/P29"/>
    <x v="1"/>
    <m/>
    <n v="100000"/>
    <m/>
    <n v="29485486"/>
    <x v="11"/>
    <m/>
    <x v="0"/>
    <x v="0"/>
    <m/>
    <m/>
    <m/>
    <m/>
  </r>
  <r>
    <d v="2023-06-23T00:00:00"/>
    <s v="Paiement salaire mois de Juin 2023/ Crépin IBOUILI IBOUILI/ CH N°3667350"/>
    <x v="9"/>
    <s v="Legal"/>
    <m/>
    <n v="359500"/>
    <n v="29125986"/>
    <x v="5"/>
    <n v="3667350"/>
    <x v="1"/>
    <x v="1"/>
    <s v="CONGO"/>
    <m/>
    <s v="1.1.1.7"/>
    <m/>
  </r>
  <r>
    <d v="2023-06-23T00:00:00"/>
    <s v="Paiement salaire mois de Juin 2023/ Hurielle MFOULOU/ CH N°3667351"/>
    <x v="9"/>
    <s v="Legal"/>
    <m/>
    <n v="289733"/>
    <n v="28836253"/>
    <x v="5"/>
    <n v="3667351"/>
    <x v="1"/>
    <x v="1"/>
    <s v="CONGO"/>
    <m/>
    <s v="1.1.1.7"/>
    <m/>
  </r>
  <r>
    <d v="2023-06-23T00:00:00"/>
    <s v="Paiement salaire mois de Juin 2023/PINDI BINGA Donald-Romé/ CH N°3667352"/>
    <x v="9"/>
    <s v="Legal"/>
    <m/>
    <n v="200000"/>
    <n v="28636253"/>
    <x v="5"/>
    <n v="3667352"/>
    <x v="1"/>
    <x v="1"/>
    <s v="CONGO"/>
    <m/>
    <s v="1.1.1.7"/>
    <m/>
  </r>
  <r>
    <d v="2023-06-23T00:00:00"/>
    <s v="Paiement salaire mois de Juin 2023/ Evariste LELOUSSI/ CH N°3667356"/>
    <x v="9"/>
    <s v="Media"/>
    <m/>
    <n v="235600"/>
    <n v="28400653"/>
    <x v="5"/>
    <n v="3667356"/>
    <x v="1"/>
    <x v="1"/>
    <s v="CONGO"/>
    <m/>
    <s v="1.1.1.4"/>
    <m/>
  </r>
  <r>
    <d v="2023-06-23T00:00:00"/>
    <s v="Paiement salaire mois de Juin 2023/ Merveille MAHANGA/ CH N°3667354"/>
    <x v="9"/>
    <s v="Office"/>
    <m/>
    <n v="300000"/>
    <n v="28100653"/>
    <x v="5"/>
    <n v="3667354"/>
    <x v="1"/>
    <x v="1"/>
    <s v="CONGO"/>
    <m/>
    <s v="1.1.2.1"/>
    <m/>
  </r>
  <r>
    <d v="2023-06-23T00:00:00"/>
    <s v="Paiement salaire mois de Juin 2023/ Grace Molende/ CH N°3667353"/>
    <x v="9"/>
    <s v="Management"/>
    <m/>
    <n v="350000"/>
    <n v="27750653"/>
    <x v="5"/>
    <n v="3667353"/>
    <x v="1"/>
    <x v="1"/>
    <s v="CONGO"/>
    <m/>
    <s v="1.1.2.1"/>
    <m/>
  </r>
  <r>
    <d v="2023-06-23T00:00:00"/>
    <s v="Billet: Brazzaville-Pointe-Noire /Crépin "/>
    <x v="6"/>
    <s v="Management"/>
    <m/>
    <n v="15000"/>
    <n v="27735653"/>
    <x v="2"/>
    <s v="Oui"/>
    <x v="2"/>
    <x v="1"/>
    <s v="CONGO"/>
    <s v="RALFF-CO4655"/>
    <s v="2.2"/>
    <m/>
  </r>
  <r>
    <d v="2023-06-23T00:00:00"/>
    <s v="Achat billet de voyage de Brazaville - Pointe Noire/Dovi"/>
    <x v="6"/>
    <s v="Management"/>
    <m/>
    <n v="15000"/>
    <n v="27720653"/>
    <x v="15"/>
    <s v="Oui"/>
    <x v="2"/>
    <x v="1"/>
    <s v="CONGO"/>
    <s v="RALFF-CO4656"/>
    <s v="2.2"/>
    <m/>
  </r>
  <r>
    <d v="2023-06-23T00:00:00"/>
    <s v="Huirielle/retour caisse"/>
    <x v="1"/>
    <m/>
    <n v="18805"/>
    <m/>
    <n v="27739458"/>
    <x v="1"/>
    <m/>
    <x v="0"/>
    <x v="0"/>
    <m/>
    <m/>
    <m/>
    <m/>
  </r>
  <r>
    <d v="2023-06-23T00:00:00"/>
    <s v="BCI-36545457-56"/>
    <x v="1"/>
    <m/>
    <n v="2000000"/>
    <m/>
    <n v="29739458"/>
    <x v="1"/>
    <m/>
    <x v="0"/>
    <x v="0"/>
    <m/>
    <m/>
    <m/>
    <m/>
  </r>
  <r>
    <d v="2023-06-23T00:00:00"/>
    <s v="Crépin"/>
    <x v="1"/>
    <m/>
    <m/>
    <n v="384000"/>
    <n v="29355458"/>
    <x v="1"/>
    <m/>
    <x v="0"/>
    <x v="0"/>
    <m/>
    <m/>
    <m/>
    <m/>
  </r>
  <r>
    <d v="2023-06-23T00:00:00"/>
    <s v="Dovi"/>
    <x v="1"/>
    <m/>
    <m/>
    <n v="179000"/>
    <n v="29176458"/>
    <x v="1"/>
    <m/>
    <x v="0"/>
    <x v="0"/>
    <m/>
    <m/>
    <m/>
    <m/>
  </r>
  <r>
    <d v="2023-06-23T00:00:00"/>
    <s v="Donald-Roméo"/>
    <x v="1"/>
    <m/>
    <m/>
    <n v="234000"/>
    <n v="28942458"/>
    <x v="1"/>
    <m/>
    <x v="0"/>
    <x v="0"/>
    <m/>
    <m/>
    <m/>
    <m/>
  </r>
  <r>
    <d v="2023-06-23T00:00:00"/>
    <s v="Grace"/>
    <x v="1"/>
    <m/>
    <m/>
    <n v="664000"/>
    <n v="28278458"/>
    <x v="1"/>
    <m/>
    <x v="0"/>
    <x v="0"/>
    <m/>
    <m/>
    <m/>
    <m/>
  </r>
  <r>
    <d v="2023-06-23T00:00:00"/>
    <s v="Merveille"/>
    <x v="1"/>
    <m/>
    <m/>
    <n v="224000"/>
    <n v="28054458"/>
    <x v="1"/>
    <m/>
    <x v="0"/>
    <x v="0"/>
    <m/>
    <m/>
    <m/>
    <m/>
  </r>
  <r>
    <d v="2023-06-23T00:00:00"/>
    <s v="Achat billet Brazzaville - Pointe Noire/Merveille"/>
    <x v="6"/>
    <s v="Office"/>
    <m/>
    <n v="15000"/>
    <n v="28039458"/>
    <x v="3"/>
    <s v="Oui"/>
    <x v="2"/>
    <x v="1"/>
    <s v="CONGO"/>
    <s v="RALFF-CO4657"/>
    <s v="2.2"/>
    <m/>
  </r>
  <r>
    <d v="2023-06-23T00:00:00"/>
    <s v="T73"/>
    <x v="1"/>
    <m/>
    <m/>
    <n v="68000"/>
    <n v="27971458"/>
    <x v="1"/>
    <m/>
    <x v="0"/>
    <x v="0"/>
    <m/>
    <m/>
    <m/>
    <m/>
  </r>
  <r>
    <d v="2023-06-23T00:00:00"/>
    <s v="P29"/>
    <x v="1"/>
    <m/>
    <m/>
    <n v="278000"/>
    <n v="27693458"/>
    <x v="1"/>
    <m/>
    <x v="0"/>
    <x v="0"/>
    <m/>
    <m/>
    <m/>
    <m/>
  </r>
  <r>
    <d v="2023-06-23T00:00:00"/>
    <s v="Evariste"/>
    <x v="1"/>
    <m/>
    <m/>
    <n v="214000"/>
    <n v="27479458"/>
    <x v="1"/>
    <m/>
    <x v="0"/>
    <x v="0"/>
    <m/>
    <m/>
    <m/>
    <m/>
  </r>
  <r>
    <d v="2023-06-23T00:00:00"/>
    <s v="Dovi"/>
    <x v="1"/>
    <m/>
    <m/>
    <n v="30000"/>
    <n v="27449458"/>
    <x v="1"/>
    <m/>
    <x v="0"/>
    <x v="0"/>
    <m/>
    <m/>
    <m/>
    <m/>
  </r>
  <r>
    <d v="2023-06-23T00:00:00"/>
    <s v="Oracle"/>
    <x v="1"/>
    <m/>
    <m/>
    <n v="10000"/>
    <n v="27439458"/>
    <x v="1"/>
    <m/>
    <x v="0"/>
    <x v="0"/>
    <m/>
    <m/>
    <m/>
    <m/>
  </r>
  <r>
    <d v="2023-06-23T00:00:00"/>
    <s v="Retrait espèces chèque N°3667357"/>
    <x v="1"/>
    <m/>
    <m/>
    <n v="2000000"/>
    <n v="25439458"/>
    <x v="5"/>
    <n v="3667357"/>
    <x v="0"/>
    <x v="0"/>
    <m/>
    <m/>
    <m/>
    <m/>
  </r>
  <r>
    <d v="2023-06-23T00:00:00"/>
    <s v="Reçu de caisse/Crépin"/>
    <x v="1"/>
    <m/>
    <n v="384000"/>
    <m/>
    <n v="25823458"/>
    <x v="2"/>
    <m/>
    <x v="0"/>
    <x v="0"/>
    <m/>
    <m/>
    <m/>
    <m/>
  </r>
  <r>
    <d v="2023-06-23T00:00:00"/>
    <s v="Reçu caisse/Dovi"/>
    <x v="1"/>
    <m/>
    <n v="179000"/>
    <m/>
    <n v="26002458"/>
    <x v="15"/>
    <m/>
    <x v="0"/>
    <x v="0"/>
    <m/>
    <m/>
    <m/>
    <m/>
  </r>
  <r>
    <d v="2023-06-23T00:00:00"/>
    <s v="Reçu caisse/Dovi"/>
    <x v="1"/>
    <m/>
    <n v="30000"/>
    <m/>
    <n v="26032458"/>
    <x v="15"/>
    <m/>
    <x v="0"/>
    <x v="0"/>
    <m/>
    <m/>
    <m/>
    <m/>
  </r>
  <r>
    <d v="2023-06-23T00:00:00"/>
    <s v="Reçu Grace/Dovi"/>
    <x v="1"/>
    <m/>
    <n v="25000"/>
    <m/>
    <n v="26057458"/>
    <x v="15"/>
    <m/>
    <x v="0"/>
    <x v="0"/>
    <m/>
    <m/>
    <m/>
    <m/>
  </r>
  <r>
    <d v="2023-06-23T00:00:00"/>
    <s v="Reçu caisse/Merveille"/>
    <x v="1"/>
    <m/>
    <n v="224000"/>
    <m/>
    <n v="26281458"/>
    <x v="3"/>
    <m/>
    <x v="0"/>
    <x v="0"/>
    <m/>
    <m/>
    <m/>
    <m/>
  </r>
  <r>
    <d v="2023-06-23T00:00:00"/>
    <s v="Reçu caisse/Donald"/>
    <x v="1"/>
    <m/>
    <n v="234000"/>
    <m/>
    <n v="26515458"/>
    <x v="4"/>
    <m/>
    <x v="0"/>
    <x v="0"/>
    <m/>
    <m/>
    <m/>
    <m/>
  </r>
  <r>
    <d v="2023-06-23T00:00:00"/>
    <s v="Reçu de la caisse / Evariste"/>
    <x v="1"/>
    <m/>
    <n v="214000"/>
    <m/>
    <n v="26729458"/>
    <x v="14"/>
    <m/>
    <x v="0"/>
    <x v="0"/>
    <m/>
    <m/>
    <m/>
    <m/>
  </r>
  <r>
    <d v="2023-06-23T00:00:00"/>
    <s v="Reçu caisse /Grace MOLENDE"/>
    <x v="1"/>
    <m/>
    <n v="664000"/>
    <m/>
    <n v="27393458"/>
    <x v="13"/>
    <m/>
    <x v="0"/>
    <x v="0"/>
    <m/>
    <m/>
    <m/>
    <m/>
  </r>
  <r>
    <d v="2023-06-23T00:00:00"/>
    <s v="Achat billet Brazzalle-Pointe-Noire/Donald"/>
    <x v="6"/>
    <s v="Legal"/>
    <m/>
    <n v="15000"/>
    <n v="27378458"/>
    <x v="4"/>
    <s v="Oui"/>
    <x v="2"/>
    <x v="1"/>
    <s v="CONGO"/>
    <s v="RALFF-CO4658"/>
    <s v="2.2"/>
    <m/>
  </r>
  <r>
    <d v="2023-06-23T00:00:00"/>
    <s v="Achat billet Brazzaville - Pointe Noire / Evariste"/>
    <x v="6"/>
    <s v="Media"/>
    <m/>
    <n v="15000"/>
    <n v="27363458"/>
    <x v="14"/>
    <s v="Oui"/>
    <x v="2"/>
    <x v="1"/>
    <s v="CONGO"/>
    <s v="RALFF-CO4659"/>
    <s v="2.2"/>
    <m/>
  </r>
  <r>
    <d v="2023-06-23T00:00:00"/>
    <s v="Achat Billet Brazzaville - Pointe Noire /Grace MOLENDE"/>
    <x v="6"/>
    <s v="Management"/>
    <m/>
    <n v="15000"/>
    <n v="27348458"/>
    <x v="13"/>
    <s v="Oui"/>
    <x v="2"/>
    <x v="1"/>
    <s v="CONGO"/>
    <s v="RALFF-CO4660"/>
    <s v="2.2"/>
    <m/>
  </r>
  <r>
    <d v="2023-06-23T00:00:00"/>
    <s v="Reçu caisse/Oracle"/>
    <x v="1"/>
    <m/>
    <n v="10000"/>
    <m/>
    <n v="27358458"/>
    <x v="12"/>
    <m/>
    <x v="0"/>
    <x v="0"/>
    <m/>
    <m/>
    <m/>
    <m/>
  </r>
  <r>
    <d v="2023-06-24T00:00:00"/>
    <s v="Cumul frais de Trust Building du mois de Juin 2023 / D58"/>
    <x v="17"/>
    <s v="Investigation"/>
    <m/>
    <n v="16000"/>
    <n v="27342458"/>
    <x v="10"/>
    <s v="Décharge"/>
    <x v="2"/>
    <x v="2"/>
    <s v="CONGO"/>
    <m/>
    <m/>
    <m/>
  </r>
  <r>
    <d v="2023-06-24T00:00:00"/>
    <s v="Oracle"/>
    <x v="1"/>
    <m/>
    <m/>
    <n v="220000"/>
    <n v="27122458"/>
    <x v="1"/>
    <m/>
    <x v="0"/>
    <x v="0"/>
    <m/>
    <m/>
    <m/>
    <m/>
  </r>
  <r>
    <d v="2023-06-24T00:00:00"/>
    <s v="Reçu caisse/Oracle"/>
    <x v="1"/>
    <m/>
    <n v="220000"/>
    <m/>
    <n v="27342458"/>
    <x v="12"/>
    <m/>
    <x v="0"/>
    <x v="0"/>
    <m/>
    <m/>
    <m/>
    <m/>
  </r>
  <r>
    <d v="2023-06-24T00:00:00"/>
    <s v="Achat billet Brazzaville - Loudima/Oracle"/>
    <x v="6"/>
    <s v="Legal"/>
    <m/>
    <n v="9000"/>
    <n v="27333458"/>
    <x v="12"/>
    <s v="Oui"/>
    <x v="2"/>
    <x v="2"/>
    <s v="CONGO"/>
    <m/>
    <m/>
    <m/>
  </r>
  <r>
    <d v="2023-06-25T00:00:00"/>
    <s v="CREPIN - CONGO Food-Allowance du 25/06/ au 02/07/2023 (07 nuitées)"/>
    <x v="5"/>
    <s v="Management"/>
    <m/>
    <n v="70000"/>
    <n v="27263458"/>
    <x v="2"/>
    <s v="Décharge"/>
    <x v="2"/>
    <x v="1"/>
    <s v="CONGO"/>
    <s v="RALFF-CO4661"/>
    <s v="1.3.2"/>
    <m/>
  </r>
  <r>
    <d v="2023-06-25T00:00:00"/>
    <s v="D58 - CONGO Frais d'hotel du 22 au 25/06/2023 à Sibiti (03nuitées)"/>
    <x v="5"/>
    <s v="Investigation"/>
    <m/>
    <n v="45000"/>
    <n v="27218458"/>
    <x v="10"/>
    <s v="Oui"/>
    <x v="2"/>
    <x v="1"/>
    <s v="CONGO"/>
    <s v="RALFF-CO4653"/>
    <s v="1.3.2"/>
    <m/>
  </r>
  <r>
    <d v="2023-06-25T00:00:00"/>
    <s v="Achat billet pour Sibiti - Loudima /D58"/>
    <x v="6"/>
    <s v="Investigation"/>
    <m/>
    <n v="3500"/>
    <n v="27214958"/>
    <x v="10"/>
    <s v="Oui"/>
    <x v="2"/>
    <x v="1"/>
    <s v="CONGO"/>
    <s v="RALFF-CO4663"/>
    <s v="2.2"/>
    <m/>
  </r>
  <r>
    <d v="2023-06-25T00:00:00"/>
    <s v="Achat billet pour Loudima - BRAZZAVILLE /D58"/>
    <x v="6"/>
    <s v="Investigation"/>
    <m/>
    <n v="7000"/>
    <n v="27207958"/>
    <x v="10"/>
    <s v="Oui"/>
    <x v="2"/>
    <x v="1"/>
    <s v="CONGO"/>
    <s v="RALFF-CO4664"/>
    <s v="2.2"/>
    <m/>
  </r>
  <r>
    <d v="2023-06-25T00:00:00"/>
    <s v="DOVI- CONGO  Food allowance de la mission du 25 au 29 juin 2023 (04 nuitées)"/>
    <x v="5"/>
    <s v="Management"/>
    <m/>
    <n v="40000"/>
    <n v="27167958"/>
    <x v="15"/>
    <s v="Décharge"/>
    <x v="2"/>
    <x v="1"/>
    <s v="CONGO"/>
    <s v="RALFF-CO4665"/>
    <s v="1.3.2"/>
    <m/>
  </r>
  <r>
    <d v="2023-06-25T00:00:00"/>
    <s v="MERVEILLE-CONGO Food allowance mission du 25 au 29 Juin 2023 ( 04 Nuitées) à Pointe-Noire et Nkayi"/>
    <x v="5"/>
    <s v="Office"/>
    <m/>
    <n v="40000"/>
    <n v="27127958"/>
    <x v="3"/>
    <s v="Décharge"/>
    <x v="2"/>
    <x v="1"/>
    <s v="CONGO"/>
    <s v="RALFF-CO4666"/>
    <s v="1.3.2"/>
    <m/>
  </r>
  <r>
    <d v="2023-06-25T00:00:00"/>
    <s v="DONALD ROMEO - CONGO Food Allowance Mission du 25/06 au 07/07/2023 (12 nuitées)"/>
    <x v="5"/>
    <s v="Legal"/>
    <m/>
    <n v="120000"/>
    <n v="27007958"/>
    <x v="4"/>
    <s v="Décharge"/>
    <x v="2"/>
    <x v="1"/>
    <s v="CONGO"/>
    <s v="RALFF-CO4667"/>
    <s v="1.3.2"/>
    <m/>
  </r>
  <r>
    <d v="2023-06-25T00:00:00"/>
    <s v="EVARISTE - CONGO Food Allowance du 25 juin au 2 juillet 2023, mission de Pointe Noire"/>
    <x v="5"/>
    <s v="Media"/>
    <m/>
    <n v="70000"/>
    <n v="26937958"/>
    <x v="14"/>
    <s v="Décharge"/>
    <x v="2"/>
    <x v="1"/>
    <s v="CONGO"/>
    <s v="RALFF-CO4668"/>
    <s v="1.3.2"/>
    <m/>
  </r>
  <r>
    <d v="2023-06-25T00:00:00"/>
    <s v="GRACE MOLENDE - CONGO Food Allowance du 25 au 29/06/2023 à Pointe Noire (04 nuitées)"/>
    <x v="5"/>
    <s v="Management"/>
    <m/>
    <n v="40000"/>
    <n v="26897958"/>
    <x v="13"/>
    <s v="Décharge"/>
    <x v="2"/>
    <x v="1"/>
    <s v="CONGO"/>
    <s v="RALFF-CO4669"/>
    <s v="1.3.2"/>
    <m/>
  </r>
  <r>
    <d v="2023-06-25T00:00:00"/>
    <s v="Achat billet Loudima - Gare routière de Sibiti/Oracle"/>
    <x v="6"/>
    <s v="Legal"/>
    <m/>
    <n v="3500"/>
    <n v="26894458"/>
    <x v="12"/>
    <s v="Oui"/>
    <x v="2"/>
    <x v="2"/>
    <s v="CONGO"/>
    <m/>
    <m/>
    <m/>
  </r>
  <r>
    <d v="2023-06-25T00:00:00"/>
    <s v="ORACLE - CONGO Food allowance du 25 au 29/06/2023 (04 nuitées)"/>
    <x v="5"/>
    <s v="Legal"/>
    <m/>
    <n v="40000"/>
    <n v="26854458"/>
    <x v="12"/>
    <s v="Décharge"/>
    <x v="2"/>
    <x v="2"/>
    <s v="CONGO"/>
    <m/>
    <m/>
    <m/>
  </r>
  <r>
    <d v="2023-06-26T00:00:00"/>
    <s v="Achat, 05 paires de gants,10 caches nez, 03 serviettes"/>
    <x v="4"/>
    <s v="Office"/>
    <m/>
    <n v="26500"/>
    <n v="26827958"/>
    <x v="4"/>
    <s v="Oui"/>
    <x v="2"/>
    <x v="2"/>
    <s v="CONGO"/>
    <m/>
    <m/>
    <m/>
  </r>
  <r>
    <d v="2023-06-26T00:00:00"/>
    <s v="Transfert à P29/Grace MOLENDE"/>
    <x v="1"/>
    <m/>
    <m/>
    <n v="260000"/>
    <n v="26567958"/>
    <x v="13"/>
    <m/>
    <x v="0"/>
    <x v="0"/>
    <m/>
    <m/>
    <m/>
    <m/>
  </r>
  <r>
    <d v="2023-06-26T00:00:00"/>
    <s v="Reçu de caisse/P29"/>
    <x v="1"/>
    <m/>
    <n v="278000"/>
    <m/>
    <n v="26845958"/>
    <x v="11"/>
    <m/>
    <x v="0"/>
    <x v="0"/>
    <m/>
    <m/>
    <m/>
    <m/>
  </r>
  <r>
    <d v="2023-06-26T00:00:00"/>
    <s v="Reçu de caisse/P29"/>
    <x v="1"/>
    <m/>
    <n v="260000"/>
    <m/>
    <n v="27105958"/>
    <x v="11"/>
    <m/>
    <x v="0"/>
    <x v="0"/>
    <m/>
    <m/>
    <m/>
    <m/>
  </r>
  <r>
    <d v="2023-06-26T00:00:00"/>
    <s v="P29 - CONGO Frais d'Hotel du 20  au 26/06/2023  à pointe noire (06 nuitées)"/>
    <x v="5"/>
    <s v="Investigation"/>
    <m/>
    <n v="90000"/>
    <n v="27015958"/>
    <x v="11"/>
    <s v="Oui"/>
    <x v="2"/>
    <x v="1"/>
    <s v="CONGO"/>
    <s v="RALFF-CO4670"/>
    <s v="1.3.2"/>
    <m/>
  </r>
  <r>
    <d v="2023-06-26T00:00:00"/>
    <s v="Paiement frais demarcheur lieu op"/>
    <x v="6"/>
    <s v="Investigation"/>
    <m/>
    <n v="35000"/>
    <n v="26980958"/>
    <x v="11"/>
    <s v="Oui"/>
    <x v="2"/>
    <x v="2"/>
    <s v="CONGO"/>
    <m/>
    <m/>
    <m/>
  </r>
  <r>
    <d v="2023-06-26T00:00:00"/>
    <s v="Frais d’ordonnance de BAYIDIKAMIO Darniche"/>
    <x v="8"/>
    <s v="Legal"/>
    <m/>
    <n v="12275"/>
    <n v="26968683"/>
    <x v="12"/>
    <s v="Oui"/>
    <x v="2"/>
    <x v="2"/>
    <s v="CONGO"/>
    <m/>
    <m/>
    <m/>
  </r>
  <r>
    <d v="2023-06-27T00:00:00"/>
    <s v="Achat Crédit  téléphone pour DOVI"/>
    <x v="12"/>
    <s v="Management"/>
    <m/>
    <n v="5000"/>
    <n v="26963683"/>
    <x v="1"/>
    <s v="Oui"/>
    <x v="1"/>
    <x v="1"/>
    <s v="CONGO"/>
    <m/>
    <s v="4.6"/>
    <m/>
  </r>
  <r>
    <d v="2023-06-27T00:00:00"/>
    <s v="Cumul frais de Trust Building mois de Juin 2023/T73"/>
    <x v="17"/>
    <s v="Investigation"/>
    <m/>
    <n v="45600"/>
    <n v="26918083"/>
    <x v="6"/>
    <s v="Décharge"/>
    <x v="2"/>
    <x v="2"/>
    <s v="CONGO"/>
    <m/>
    <m/>
    <m/>
  </r>
  <r>
    <d v="2023-06-27T00:00:00"/>
    <s v="Reçu de Merveille/Crépin"/>
    <x v="1"/>
    <m/>
    <n v="25000"/>
    <m/>
    <n v="26943083"/>
    <x v="2"/>
    <m/>
    <x v="0"/>
    <x v="0"/>
    <m/>
    <m/>
    <m/>
    <m/>
  </r>
  <r>
    <d v="2023-06-27T00:00:00"/>
    <s v="Reçu de Grace/Merveille"/>
    <x v="1"/>
    <m/>
    <n v="15000"/>
    <m/>
    <n v="26958083"/>
    <x v="3"/>
    <m/>
    <x v="0"/>
    <x v="0"/>
    <m/>
    <m/>
    <m/>
    <m/>
  </r>
  <r>
    <d v="2023-06-27T00:00:00"/>
    <s v="Reçu de caisse/T73"/>
    <x v="1"/>
    <m/>
    <n v="68000"/>
    <m/>
    <n v="27026083"/>
    <x v="6"/>
    <m/>
    <x v="0"/>
    <x v="0"/>
    <m/>
    <m/>
    <m/>
    <m/>
  </r>
  <r>
    <d v="2023-06-27T00:00:00"/>
    <s v="Reçu caisse/ Completer frais d'hotel/Donald"/>
    <x v="1"/>
    <m/>
    <n v="25000"/>
    <m/>
    <n v="27051083"/>
    <x v="4"/>
    <m/>
    <x v="0"/>
    <x v="0"/>
    <m/>
    <m/>
    <m/>
    <m/>
  </r>
  <r>
    <d v="2023-06-27T00:00:00"/>
    <s v="Reçu de Grace / Evariste"/>
    <x v="1"/>
    <m/>
    <n v="25000"/>
    <m/>
    <n v="27076083"/>
    <x v="14"/>
    <m/>
    <x v="0"/>
    <x v="0"/>
    <m/>
    <m/>
    <m/>
    <m/>
  </r>
  <r>
    <d v="2023-06-27T00:00:00"/>
    <s v="Transfert à Jules/Grace MOLENDE"/>
    <x v="1"/>
    <m/>
    <m/>
    <n v="25000"/>
    <n v="27051083"/>
    <x v="13"/>
    <m/>
    <x v="0"/>
    <x v="0"/>
    <m/>
    <m/>
    <m/>
    <m/>
  </r>
  <r>
    <d v="2023-06-27T00:00:00"/>
    <s v="Transfert à Merveille/Grace MOLENDE"/>
    <x v="1"/>
    <m/>
    <m/>
    <n v="15000"/>
    <n v="27036083"/>
    <x v="13"/>
    <m/>
    <x v="0"/>
    <x v="0"/>
    <m/>
    <m/>
    <m/>
    <m/>
  </r>
  <r>
    <d v="2023-06-27T00:00:00"/>
    <s v="Transfert à Crépin/Grace MOLENDE"/>
    <x v="1"/>
    <m/>
    <m/>
    <n v="25000"/>
    <n v="27011083"/>
    <x v="13"/>
    <m/>
    <x v="0"/>
    <x v="0"/>
    <m/>
    <m/>
    <m/>
    <m/>
  </r>
  <r>
    <d v="2023-06-27T00:00:00"/>
    <s v="Transfert à Evariste/Grace MOLENDE"/>
    <x v="1"/>
    <m/>
    <m/>
    <n v="25000"/>
    <n v="26986083"/>
    <x v="13"/>
    <m/>
    <x v="0"/>
    <x v="0"/>
    <m/>
    <m/>
    <m/>
    <m/>
  </r>
  <r>
    <d v="2023-06-27T00:00:00"/>
    <s v="Transfert à Donald/Grace MOLENDE"/>
    <x v="1"/>
    <m/>
    <m/>
    <n v="25000"/>
    <n v="26961083"/>
    <x v="13"/>
    <m/>
    <x v="0"/>
    <x v="0"/>
    <m/>
    <m/>
    <m/>
    <m/>
  </r>
  <r>
    <d v="2023-06-28T00:00:00"/>
    <s v="Rafraichissement Gendarmes et plats pendant l'attente ,OP"/>
    <x v="5"/>
    <s v="Operation"/>
    <m/>
    <n v="9850"/>
    <n v="26951233"/>
    <x v="2"/>
    <s v="Oui"/>
    <x v="2"/>
    <x v="2"/>
    <s v="CONGO"/>
    <m/>
    <m/>
    <m/>
  </r>
  <r>
    <d v="2023-06-28T00:00:00"/>
    <s v="Cumul frais de transport local du mois de Juin 2023 / D58"/>
    <x v="6"/>
    <s v="Investigation"/>
    <m/>
    <n v="46400"/>
    <n v="26904833"/>
    <x v="10"/>
    <s v="Décharge"/>
    <x v="2"/>
    <x v="1"/>
    <s v="CONGO"/>
    <s v="RALFF-CO4671"/>
    <s v="2.2"/>
    <m/>
  </r>
  <r>
    <d v="2023-06-28T00:00:00"/>
    <s v="Achat raffraichissement pendant l'OP/Gendarmes"/>
    <x v="5"/>
    <s v="Operation"/>
    <m/>
    <n v="7300"/>
    <n v="26897533"/>
    <x v="3"/>
    <s v="Oui"/>
    <x v="2"/>
    <x v="2"/>
    <s v="CONGO"/>
    <m/>
    <m/>
    <m/>
  </r>
  <r>
    <d v="2023-06-28T00:00:00"/>
    <s v="Location voiture Pointe - Noire NKAYI/extraction  P29"/>
    <x v="6"/>
    <s v="Office"/>
    <m/>
    <n v="80000"/>
    <n v="26817533"/>
    <x v="3"/>
    <s v="Oui"/>
    <x v="2"/>
    <x v="2"/>
    <s v="CONGO"/>
    <m/>
    <m/>
    <m/>
  </r>
  <r>
    <d v="2023-06-28T00:00:00"/>
    <s v="MERVEILLE-CONGO Frais d'hotel  du 25 au 28 Juin 2023 ( 03 Nuitées) à Pointe-Noire"/>
    <x v="5"/>
    <s v="Office"/>
    <m/>
    <n v="60000"/>
    <n v="26757533"/>
    <x v="3"/>
    <s v="Oui"/>
    <x v="2"/>
    <x v="1"/>
    <s v="CONGO"/>
    <s v="RALFF-CO4672"/>
    <s v="1.3.2"/>
    <m/>
  </r>
  <r>
    <d v="2023-06-28T00:00:00"/>
    <s v="Raffraichissement ( 3 bières locales 1000 l'unité, 01 Savana 2000) avant OP./Gendarmes"/>
    <x v="5"/>
    <s v="Operation"/>
    <m/>
    <n v="5000"/>
    <n v="26752533"/>
    <x v="4"/>
    <s v="Oui"/>
    <x v="2"/>
    <x v="2"/>
    <s v="CONGO"/>
    <m/>
    <m/>
    <m/>
  </r>
  <r>
    <d v="2023-06-28T00:00:00"/>
    <s v="Rafraichissement (opération du 28 juin 2023 à Pointe Noire)/Gendarmes"/>
    <x v="5"/>
    <s v="Operation"/>
    <m/>
    <n v="10000"/>
    <n v="26742533"/>
    <x v="14"/>
    <s v="Oui"/>
    <x v="2"/>
    <x v="2"/>
    <s v="CONGO"/>
    <m/>
    <m/>
    <m/>
  </r>
  <r>
    <d v="2023-06-28T00:00:00"/>
    <s v="Achat du carburant pour la BJ opération du 28 juin 2023 à Pointe Noire"/>
    <x v="6"/>
    <s v="Media"/>
    <m/>
    <n v="25000"/>
    <n v="26717533"/>
    <x v="14"/>
    <s v="Oui"/>
    <x v="2"/>
    <x v="2"/>
    <s v="CONGO"/>
    <m/>
    <m/>
    <m/>
  </r>
  <r>
    <d v="2023-06-28T00:00:00"/>
    <s v="Rafraischissement avec 04 gendarmes en civil avant l'OP"/>
    <x v="5"/>
    <s v="Operation"/>
    <m/>
    <n v="14400"/>
    <n v="26703133"/>
    <x v="13"/>
    <s v="Oui"/>
    <x v="2"/>
    <x v="2"/>
    <s v="CONGO"/>
    <m/>
    <m/>
    <m/>
  </r>
  <r>
    <d v="2023-06-28T00:00:00"/>
    <s v="Achat Billet Pointe Noire - Brazzaville /Grace MOLENDE"/>
    <x v="6"/>
    <s v="Management"/>
    <m/>
    <n v="15000"/>
    <n v="26688133"/>
    <x v="13"/>
    <s v="Oui"/>
    <x v="2"/>
    <x v="1"/>
    <s v="CONGO"/>
    <s v="RALFF-CO4673"/>
    <s v="2.2"/>
    <m/>
  </r>
  <r>
    <d v="2023-06-28T00:00:00"/>
    <s v="Reçu de P29/Merveille"/>
    <x v="1"/>
    <m/>
    <n v="35000"/>
    <m/>
    <n v="26723133"/>
    <x v="3"/>
    <m/>
    <x v="0"/>
    <x v="0"/>
    <m/>
    <m/>
    <m/>
    <m/>
  </r>
  <r>
    <d v="2023-06-28T00:00:00"/>
    <s v="Remis à merveille/P29"/>
    <x v="1"/>
    <m/>
    <m/>
    <n v="35000"/>
    <n v="26688133"/>
    <x v="11"/>
    <m/>
    <x v="0"/>
    <x v="0"/>
    <m/>
    <m/>
    <m/>
    <m/>
  </r>
  <r>
    <d v="2023-06-28T00:00:00"/>
    <s v="P29 - CONGO Frais d'Hotel du 26  au 28/06/2023  à pointe noire,appt lieu op (02 nuitées)"/>
    <x v="5"/>
    <s v="Investigation"/>
    <m/>
    <n v="120000"/>
    <n v="26568133"/>
    <x v="11"/>
    <s v="Oui"/>
    <x v="2"/>
    <x v="2"/>
    <s v="CONGO"/>
    <m/>
    <m/>
    <m/>
  </r>
  <r>
    <d v="2023-06-28T00:00:00"/>
    <s v="Cumul frais de Trust Bulding mois de Juin 2023/P29"/>
    <x v="17"/>
    <s v="Investigation"/>
    <m/>
    <n v="81000"/>
    <n v="26487133"/>
    <x v="11"/>
    <s v="Décharge"/>
    <x v="2"/>
    <x v="2"/>
    <s v="CONGO"/>
    <m/>
    <m/>
    <m/>
  </r>
  <r>
    <d v="2023-06-28T00:00:00"/>
    <s v="Cumul frais de Jail visits mois de Juin 2023/Oracle"/>
    <x v="8"/>
    <s v="Legal"/>
    <m/>
    <n v="16000"/>
    <n v="26471133"/>
    <x v="12"/>
    <s v="Décharge"/>
    <x v="2"/>
    <x v="2"/>
    <s v="CONGO"/>
    <m/>
    <m/>
    <m/>
  </r>
  <r>
    <d v="2023-06-29T00:00:00"/>
    <s v="Bonus pour 18 gendarmes ayant participé à l'opération du 28/06/2023 à Pointe-Noire"/>
    <x v="7"/>
    <s v="Operation"/>
    <m/>
    <n v="180000"/>
    <n v="26291133"/>
    <x v="2"/>
    <s v="Oui"/>
    <x v="2"/>
    <x v="2"/>
    <s v="CONGO"/>
    <m/>
    <m/>
    <m/>
  </r>
  <r>
    <d v="2023-06-29T00:00:00"/>
    <s v="Bonus d'un agent EF ayant participé à l'opération du 28/06/2023 à Pointe-Noire"/>
    <x v="7"/>
    <s v="Operation"/>
    <m/>
    <n v="10000"/>
    <n v="26281133"/>
    <x v="2"/>
    <s v="Oui"/>
    <x v="2"/>
    <x v="2"/>
    <s v="CONGO"/>
    <m/>
    <m/>
    <m/>
  </r>
  <r>
    <d v="2023-06-29T00:00:00"/>
    <s v="Achat billet de voyage de Pointe Noire - Brazaville/Dovi"/>
    <x v="6"/>
    <s v="Management"/>
    <m/>
    <n v="15000"/>
    <n v="26266133"/>
    <x v="15"/>
    <s v="Oui"/>
    <x v="2"/>
    <x v="1"/>
    <s v="CONGO"/>
    <s v="RALFF-CO4674"/>
    <s v="2.2"/>
    <m/>
  </r>
  <r>
    <d v="2023-06-29T00:00:00"/>
    <s v="Cumul Frais de Transport Local du mois Juin 2023/Dovi"/>
    <x v="6"/>
    <s v="Management"/>
    <m/>
    <n v="8000"/>
    <n v="26258133"/>
    <x v="15"/>
    <s v="Décharge"/>
    <x v="2"/>
    <x v="1"/>
    <s v="CONGO"/>
    <s v="RALFF-CO4675"/>
    <s v="2.2"/>
    <m/>
  </r>
  <r>
    <d v="2023-06-29T00:00:00"/>
    <s v="DOVI-CONGO Frais d'hotel du 25 au 29 juin 2023 soit 04 nuitées / à Pointe Noire "/>
    <x v="5"/>
    <s v="Management"/>
    <m/>
    <n v="80000"/>
    <n v="26178133"/>
    <x v="15"/>
    <s v="Oui"/>
    <x v="2"/>
    <x v="1"/>
    <s v="CONGO"/>
    <s v="RALFF-CO4676"/>
    <s v="1.3.2"/>
    <m/>
  </r>
  <r>
    <d v="2023-06-29T00:00:00"/>
    <s v="Achat billet Nkayi - Brazzaville / Merveille"/>
    <x v="6"/>
    <s v="Office"/>
    <m/>
    <n v="8000"/>
    <n v="26170133"/>
    <x v="3"/>
    <s v="Oui"/>
    <x v="2"/>
    <x v="1"/>
    <s v="CONGO"/>
    <s v="RALFF-CO4677"/>
    <s v="2.2"/>
    <m/>
  </r>
  <r>
    <d v="2023-06-29T00:00:00"/>
    <s v="MERVEILLE-CONGO Frais d'hotel  du 28 au 29 Juin 2023 ( 01 Nuitée) à Nkayi"/>
    <x v="5"/>
    <s v="Office"/>
    <m/>
    <n v="15000"/>
    <n v="26155133"/>
    <x v="3"/>
    <s v="Oui"/>
    <x v="2"/>
    <x v="1"/>
    <s v="CONGO"/>
    <s v="RALFF-CO4678"/>
    <s v="1.3.2"/>
    <m/>
  </r>
  <r>
    <d v="2023-06-29T00:00:00"/>
    <s v="T73 - CONGO Frais d'Hotel du 20 au 29/06/2023 (09 nuitées) à Pointe noire"/>
    <x v="5"/>
    <s v="Investigation"/>
    <m/>
    <n v="135000"/>
    <n v="26020133"/>
    <x v="6"/>
    <s v="Oui"/>
    <x v="2"/>
    <x v="1"/>
    <s v="CONGO"/>
    <s v="RALFF-CO4679"/>
    <s v="1.3.2"/>
    <m/>
  </r>
  <r>
    <d v="2023-06-29T00:00:00"/>
    <s v="achat billet: pointe noire -brazzaville/T73"/>
    <x v="6"/>
    <s v="Investigation"/>
    <m/>
    <n v="15000"/>
    <n v="26005133"/>
    <x v="6"/>
    <s v="Oui"/>
    <x v="2"/>
    <x v="1"/>
    <s v="CONGO"/>
    <s v="RALFF-CO4680"/>
    <s v="2.2"/>
    <m/>
  </r>
  <r>
    <d v="2023-06-29T00:00:00"/>
    <s v="Cumul frais de transport local du mois de Juin 2023/T73"/>
    <x v="6"/>
    <s v="Investigation"/>
    <m/>
    <n v="93500"/>
    <n v="25911633"/>
    <x v="6"/>
    <s v="Décharge"/>
    <x v="2"/>
    <x v="1"/>
    <s v="CONGO"/>
    <s v="RALFF-CO4681"/>
    <s v="2.2"/>
    <m/>
  </r>
  <r>
    <d v="2023-06-29T00:00:00"/>
    <s v="GRACE MOLENDE - CONGO Frais d'hotel du 25 au 29/06/2023 à Pointe Noire (04 nuitées)"/>
    <x v="5"/>
    <s v="Management"/>
    <m/>
    <n v="80000"/>
    <n v="25831633"/>
    <x v="13"/>
    <s v="Oui"/>
    <x v="2"/>
    <x v="1"/>
    <s v="CONGO"/>
    <s v="RALFF-CO4682"/>
    <s v="1.3.2"/>
    <m/>
  </r>
  <r>
    <d v="2023-06-29T00:00:00"/>
    <s v="Cumul frais de transport local du mois de Juin 2023/ GRACE MOLENDE"/>
    <x v="6"/>
    <s v="Management"/>
    <m/>
    <n v="35500"/>
    <n v="25796133"/>
    <x v="13"/>
    <s v="Décharge"/>
    <x v="2"/>
    <x v="1"/>
    <s v="CONGO"/>
    <s v="RALFF-CO4683"/>
    <s v="2.2"/>
    <m/>
  </r>
  <r>
    <d v="2023-06-29T00:00:00"/>
    <s v="P29 - CONGO Frais d'Hotel du 28 au 29/06/2023  à pointe noire, apptt lieu op  (01 nuitée)"/>
    <x v="5"/>
    <s v="Investigation"/>
    <m/>
    <n v="60000"/>
    <n v="25736133"/>
    <x v="11"/>
    <s v="Oui"/>
    <x v="2"/>
    <x v="2"/>
    <s v="CONGO"/>
    <m/>
    <m/>
    <m/>
  </r>
  <r>
    <d v="2023-06-29T00:00:00"/>
    <s v="Achat billet Brazzaville - Nkayi//P29"/>
    <x v="6"/>
    <s v="Investigation"/>
    <m/>
    <n v="8000"/>
    <n v="25728133"/>
    <x v="11"/>
    <s v="Oui"/>
    <x v="2"/>
    <x v="1"/>
    <s v="CONGO"/>
    <s v="RALFF-CO4684"/>
    <s v="2.2"/>
    <m/>
  </r>
  <r>
    <d v="2023-06-29T00:00:00"/>
    <s v="Cumul frais de Transport local mois de Juin 2023/P29"/>
    <x v="6"/>
    <s v="Investigation"/>
    <m/>
    <n v="79000"/>
    <n v="25649133"/>
    <x v="11"/>
    <s v="Décharge"/>
    <x v="2"/>
    <x v="1"/>
    <s v="CONGO"/>
    <s v="RALFF-CO4685"/>
    <s v="2.2"/>
    <m/>
  </r>
  <r>
    <d v="2023-06-29T00:00:00"/>
    <s v="P29 - CONGO Frais d'Hotel du 28  au  29/06/2023  à Nkayi  (01 nuitée)"/>
    <x v="5"/>
    <s v="Investigation"/>
    <m/>
    <n v="15000"/>
    <n v="25634133"/>
    <x v="11"/>
    <s v="Oui"/>
    <x v="2"/>
    <x v="1"/>
    <s v="CONGO"/>
    <s v="RALFF-CO4686"/>
    <s v="1.3.2"/>
    <m/>
  </r>
  <r>
    <d v="2023-06-29T00:00:00"/>
    <s v="ORACLE - CONGO Frais d’hôtel du 25 au 29 juin 2023 à Sibiti (04 nuitées) "/>
    <x v="5"/>
    <s v="Legal"/>
    <m/>
    <n v="60000"/>
    <n v="25574133"/>
    <x v="12"/>
    <s v="Oui"/>
    <x v="2"/>
    <x v="2"/>
    <s v="CONGO"/>
    <m/>
    <m/>
    <m/>
  </r>
  <r>
    <d v="2023-06-29T00:00:00"/>
    <s v="Achat billet  Gare routière de Sibiti - Loudima/Oracle"/>
    <x v="6"/>
    <s v="Legal"/>
    <m/>
    <n v="3500"/>
    <n v="25570633"/>
    <x v="12"/>
    <s v="Oui"/>
    <x v="2"/>
    <x v="2"/>
    <s v="CONGO"/>
    <m/>
    <m/>
    <m/>
  </r>
  <r>
    <d v="2023-06-29T00:00:00"/>
    <s v="Achat billet de bus: Loudima - Brazzaville/Oracle"/>
    <x v="6"/>
    <s v="Legal"/>
    <m/>
    <n v="9000"/>
    <n v="25561633"/>
    <x v="12"/>
    <s v="Oui"/>
    <x v="2"/>
    <x v="2"/>
    <s v="CONGO"/>
    <m/>
    <m/>
    <m/>
  </r>
  <r>
    <d v="2023-06-30T00:00:00"/>
    <s v="Reglement facture d'eau periode Mai- Juin 2023"/>
    <x v="18"/>
    <s v="Office"/>
    <m/>
    <n v="12750"/>
    <n v="25548883"/>
    <x v="1"/>
    <s v="Oui"/>
    <x v="1"/>
    <x v="1"/>
    <s v="CONGO"/>
    <m/>
    <s v="4.4"/>
    <m/>
  </r>
  <r>
    <d v="2023-06-30T00:00:00"/>
    <s v="Reglemeent Facture Internet (Canal Box_Periode du 30/06 au 1/08/ 2023)"/>
    <x v="19"/>
    <s v="Office"/>
    <m/>
    <n v="45050"/>
    <n v="25503833"/>
    <x v="1"/>
    <s v="Oui"/>
    <x v="1"/>
    <x v="1"/>
    <s v="CONGO"/>
    <m/>
    <s v="4.5"/>
    <m/>
  </r>
  <r>
    <d v="2023-06-30T00:00:00"/>
    <s v="Entretretien général Jardin, Bureau PALF Mois de Juin 2023"/>
    <x v="16"/>
    <s v="Office"/>
    <m/>
    <n v="20000"/>
    <n v="25483833"/>
    <x v="1"/>
    <s v="Oui"/>
    <x v="2"/>
    <x v="2"/>
    <s v="CONGO"/>
    <m/>
    <m/>
    <m/>
  </r>
  <r>
    <d v="2023-06-30T00:00:00"/>
    <s v="Règlement prestation technicienne de surface (mois de Juin  2023)"/>
    <x v="16"/>
    <s v="Office"/>
    <m/>
    <n v="75625"/>
    <n v="25408208"/>
    <x v="1"/>
    <s v="Oui"/>
    <x v="2"/>
    <x v="2"/>
    <s v="CONGO"/>
    <m/>
    <m/>
    <m/>
  </r>
  <r>
    <d v="2023-06-30T00:00:00"/>
    <s v="Frais de transfert charden farell à Crépin Donald et Evariste"/>
    <x v="3"/>
    <s v="Office"/>
    <m/>
    <n v="10920"/>
    <n v="25397288"/>
    <x v="1"/>
    <s v="Oui"/>
    <x v="1"/>
    <x v="1"/>
    <s v="CONGO"/>
    <m/>
    <s v="5.6"/>
    <m/>
  </r>
  <r>
    <d v="2023-06-30T00:00:00"/>
    <s v="Reglement honoraire D58 du mois de Juin 2023"/>
    <x v="9"/>
    <s v="Investigation"/>
    <m/>
    <n v="225000"/>
    <n v="25172288"/>
    <x v="1"/>
    <s v="Oui"/>
    <x v="1"/>
    <x v="1"/>
    <s v="CONGO"/>
    <m/>
    <s v="1.1.1.9"/>
    <m/>
  </r>
  <r>
    <d v="2023-06-30T00:00:00"/>
    <s v="Reglement Honoraire du mois de Juin 2023/P29/ch:3667358"/>
    <x v="9"/>
    <s v="Investigation"/>
    <m/>
    <n v="365000"/>
    <n v="24807288"/>
    <x v="5"/>
    <n v="3667358"/>
    <x v="1"/>
    <x v="1"/>
    <s v="CONGO"/>
    <m/>
    <s v="1.1.1.9"/>
    <m/>
  </r>
  <r>
    <d v="2023-06-30T00:00:00"/>
    <s v="Reglement Honoraire du mois de Mai 2023/T73/ch:3667359"/>
    <x v="9"/>
    <s v="Investigation"/>
    <m/>
    <n v="240000"/>
    <n v="24567288"/>
    <x v="5"/>
    <n v="3667359"/>
    <x v="1"/>
    <x v="1"/>
    <s v="CONGO"/>
    <m/>
    <s v="1.1.1.9"/>
    <m/>
  </r>
  <r>
    <d v="2023-06-30T00:00:00"/>
    <s v="CREPIN - CONGO 05 Frais d'hotel du 25 au 30/06/2023 à Pointe-Noire (07 nuitées)"/>
    <x v="5"/>
    <s v="Management"/>
    <m/>
    <n v="100000"/>
    <n v="24467288"/>
    <x v="2"/>
    <s v="Oui"/>
    <x v="2"/>
    <x v="1"/>
    <s v="CONGO"/>
    <s v="RALFF-CO4687"/>
    <s v="1.3.2"/>
    <m/>
  </r>
  <r>
    <d v="2023-06-30T00:00:00"/>
    <s v="Cumul frais de transport local mois de Juin 2023/Crépin IBOUILI"/>
    <x v="6"/>
    <s v="Management"/>
    <m/>
    <n v="28900"/>
    <n v="24438388"/>
    <x v="2"/>
    <s v="Décharge"/>
    <x v="2"/>
    <x v="1"/>
    <s v="CONGO"/>
    <s v="RALFF-CO4688"/>
    <s v="2.2"/>
    <m/>
  </r>
  <r>
    <d v="2023-06-30T00:00:00"/>
    <s v="Cumul frais de transport local mois de Juin 2023/Merveille MAHANGA"/>
    <x v="6"/>
    <s v="Office"/>
    <m/>
    <n v="50000"/>
    <n v="24388388"/>
    <x v="3"/>
    <s v="Décharge"/>
    <x v="2"/>
    <x v="1"/>
    <s v="CONGO"/>
    <s v="RALFF-CO4689"/>
    <s v="2.2"/>
    <m/>
  </r>
  <r>
    <d v="2023-06-30T00:00:00"/>
    <s v="Cumul Frais de Jail visit du mois Juin 2023/Donald"/>
    <x v="8"/>
    <s v="Legal"/>
    <m/>
    <n v="46000"/>
    <n v="24342388"/>
    <x v="4"/>
    <s v="Décharge"/>
    <x v="2"/>
    <x v="2"/>
    <s v="CONGO"/>
    <m/>
    <m/>
    <m/>
  </r>
  <r>
    <d v="2023-06-30T00:00:00"/>
    <s v="Cumul Frais de transport local du mois Juin 2023/Donald"/>
    <x v="6"/>
    <s v="Legal"/>
    <m/>
    <n v="46000"/>
    <n v="24296388"/>
    <x v="4"/>
    <s v="Décharge"/>
    <x v="2"/>
    <x v="1"/>
    <s v="CONGO"/>
    <s v="RALFF-CO4690"/>
    <s v="2.2"/>
    <m/>
  </r>
  <r>
    <d v="2023-06-30T00:00:00"/>
    <s v="DONALD ROMEO - CONGO Frais d'hôtel 05 Nuitées du 25 au 30/06/2023 à Pointe Noire"/>
    <x v="5"/>
    <s v="Legal"/>
    <m/>
    <n v="100000"/>
    <n v="24196388"/>
    <x v="4"/>
    <s v="Oui"/>
    <x v="2"/>
    <x v="1"/>
    <s v="CONGO"/>
    <s v="RALFF-CO4691"/>
    <s v="1.3.2"/>
    <m/>
  </r>
  <r>
    <d v="2023-06-30T00:00:00"/>
    <s v="Cumul frais de Transport local mois de Juin 2023/EVARISTE LELOUSSI"/>
    <x v="6"/>
    <s v="Media"/>
    <m/>
    <n v="51000"/>
    <n v="24145388"/>
    <x v="14"/>
    <s v="Décharge"/>
    <x v="2"/>
    <x v="1"/>
    <s v="CONGO"/>
    <s v="RALFF-CO4692"/>
    <s v="2.2"/>
    <m/>
  </r>
  <r>
    <d v="2023-06-30T00:00:00"/>
    <s v="Evariste"/>
    <x v="1"/>
    <m/>
    <m/>
    <n v="68000"/>
    <n v="24077388"/>
    <x v="1"/>
    <m/>
    <x v="0"/>
    <x v="0"/>
    <m/>
    <m/>
    <m/>
    <m/>
  </r>
  <r>
    <d v="2023-06-30T00:00:00"/>
    <s v="Donald-Roméo"/>
    <x v="1"/>
    <m/>
    <m/>
    <n v="236000"/>
    <n v="23841388"/>
    <x v="1"/>
    <m/>
    <x v="0"/>
    <x v="0"/>
    <m/>
    <m/>
    <m/>
    <m/>
  </r>
  <r>
    <d v="2023-06-30T00:00:00"/>
    <s v="Crépin"/>
    <x v="1"/>
    <m/>
    <m/>
    <n v="60000"/>
    <n v="23781388"/>
    <x v="1"/>
    <m/>
    <x v="0"/>
    <x v="0"/>
    <m/>
    <m/>
    <m/>
    <m/>
  </r>
  <r>
    <d v="2023-06-30T00:00:00"/>
    <s v="P29/retour caisse"/>
    <x v="1"/>
    <m/>
    <n v="130000"/>
    <m/>
    <n v="23911388"/>
    <x v="1"/>
    <m/>
    <x v="0"/>
    <x v="0"/>
    <m/>
    <m/>
    <m/>
    <m/>
  </r>
  <r>
    <d v="2023-06-30T00:00:00"/>
    <s v="Oracle/retour caisse"/>
    <x v="1"/>
    <m/>
    <n v="40000"/>
    <m/>
    <n v="23951388"/>
    <x v="1"/>
    <m/>
    <x v="0"/>
    <x v="0"/>
    <m/>
    <m/>
    <m/>
    <m/>
  </r>
  <r>
    <d v="2023-06-30T00:00:00"/>
    <s v="Merveille/retour caisse"/>
    <x v="1"/>
    <m/>
    <n v="20500"/>
    <m/>
    <n v="23971888"/>
    <x v="1"/>
    <m/>
    <x v="0"/>
    <x v="0"/>
    <m/>
    <m/>
    <m/>
    <m/>
  </r>
  <r>
    <d v="2023-06-30T00:00:00"/>
    <s v="Reçu de caisse/Crépin"/>
    <x v="1"/>
    <m/>
    <n v="60000"/>
    <m/>
    <n v="24031888"/>
    <x v="2"/>
    <m/>
    <x v="0"/>
    <x v="0"/>
    <m/>
    <m/>
    <m/>
    <m/>
  </r>
  <r>
    <d v="2023-06-30T00:00:00"/>
    <s v="Retour caisse/Merveille"/>
    <x v="1"/>
    <m/>
    <m/>
    <n v="20500"/>
    <n v="24011388"/>
    <x v="3"/>
    <m/>
    <x v="0"/>
    <x v="0"/>
    <m/>
    <m/>
    <m/>
    <m/>
  </r>
  <r>
    <d v="2023-06-30T00:00:00"/>
    <s v="Reçu caisse/Donald"/>
    <x v="1"/>
    <m/>
    <n v="236000"/>
    <m/>
    <n v="24247388"/>
    <x v="4"/>
    <m/>
    <x v="0"/>
    <x v="0"/>
    <m/>
    <m/>
    <m/>
    <m/>
  </r>
  <r>
    <d v="2023-06-30T00:00:00"/>
    <s v="Reçu de la caisse / Evariste"/>
    <x v="1"/>
    <m/>
    <n v="68000"/>
    <m/>
    <n v="24315388"/>
    <x v="14"/>
    <m/>
    <x v="0"/>
    <x v="0"/>
    <m/>
    <m/>
    <m/>
    <m/>
  </r>
  <r>
    <d v="2023-06-30T00:00:00"/>
    <s v="Reçu de P29 /Grace MOLENDE"/>
    <x v="1"/>
    <m/>
    <n v="90000"/>
    <m/>
    <n v="24405388"/>
    <x v="13"/>
    <m/>
    <x v="0"/>
    <x v="0"/>
    <m/>
    <m/>
    <m/>
    <m/>
  </r>
  <r>
    <d v="2023-06-30T00:00:00"/>
    <s v="Remis à grace/P29"/>
    <x v="1"/>
    <m/>
    <m/>
    <n v="90000"/>
    <n v="24315388"/>
    <x v="11"/>
    <m/>
    <x v="0"/>
    <x v="0"/>
    <m/>
    <m/>
    <m/>
    <m/>
  </r>
  <r>
    <d v="2023-06-30T00:00:00"/>
    <s v="Retour caisse/P29"/>
    <x v="1"/>
    <m/>
    <m/>
    <n v="130000"/>
    <n v="24185388"/>
    <x v="11"/>
    <m/>
    <x v="0"/>
    <x v="0"/>
    <m/>
    <m/>
    <m/>
    <m/>
  </r>
  <r>
    <d v="2023-06-30T00:00:00"/>
    <s v="Cumul frais de ration journalière mois de Juin 2023/Oracle"/>
    <x v="5"/>
    <s v="Legal"/>
    <m/>
    <n v="14000"/>
    <n v="24171388"/>
    <x v="12"/>
    <s v="Décharge"/>
    <x v="2"/>
    <x v="2"/>
    <s v="CONGO"/>
    <m/>
    <m/>
    <m/>
  </r>
  <r>
    <d v="2023-06-30T00:00:00"/>
    <s v="Cumul frais de transport local mois de Juin 2023/Oracle"/>
    <x v="6"/>
    <s v="Legal"/>
    <m/>
    <n v="70500"/>
    <n v="24100888"/>
    <x v="12"/>
    <s v="Décharge"/>
    <x v="2"/>
    <x v="2"/>
    <s v="CONGO"/>
    <m/>
    <m/>
    <m/>
  </r>
  <r>
    <d v="2023-06-30T00:00:00"/>
    <s v="Retour Caisse/Oracle"/>
    <x v="1"/>
    <m/>
    <m/>
    <n v="40000"/>
    <n v="24060888"/>
    <x v="12"/>
    <m/>
    <x v="0"/>
    <x v="0"/>
    <m/>
    <m/>
    <m/>
    <m/>
  </r>
  <r>
    <d v="2023-06-30T00:00:00"/>
    <s v="Reglement Salaire du mois de Juin 2023/Dovi Homéfa (Jours Travaillés)"/>
    <x v="9"/>
    <s v="Management"/>
    <m/>
    <n v="367336"/>
    <n v="23693552"/>
    <x v="1"/>
    <s v="Oui"/>
    <x v="1"/>
    <x v="1"/>
    <s v="CONGO"/>
    <m/>
    <s v="1.1.1.1"/>
    <m/>
  </r>
  <r>
    <d v="2023-06-30T00:00:00"/>
    <s v="EVARISTE - CONGO Frais de d'hotel du 25 juin au 30 juin 2023 à Pointe Noire"/>
    <x v="5"/>
    <s v="Media"/>
    <m/>
    <n v="100000"/>
    <n v="23593552"/>
    <x v="14"/>
    <s v="Décharge"/>
    <x v="2"/>
    <x v="1"/>
    <s v="CONGO"/>
    <s v="RALFF-CO4693"/>
    <s v="1.3.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O21" firstHeaderRow="1" firstDataRow="3" firstDataCol="1"/>
  <pivotFields count="15">
    <pivotField showAll="0"/>
    <pivotField showAll="0"/>
    <pivotField axis="axisCol" showAll="0">
      <items count="21">
        <item x="11"/>
        <item x="15"/>
        <item x="7"/>
        <item x="14"/>
        <item x="13"/>
        <item x="19"/>
        <item x="8"/>
        <item x="2"/>
        <item x="4"/>
        <item x="9"/>
        <item x="18"/>
        <item x="16"/>
        <item x="12"/>
        <item x="3"/>
        <item x="6"/>
        <item x="5"/>
        <item x="17"/>
        <item x="1"/>
        <item x="10"/>
        <item x="0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17">
        <item x="9"/>
        <item x="5"/>
        <item x="1"/>
        <item x="2"/>
        <item x="10"/>
        <item x="4"/>
        <item x="15"/>
        <item x="14"/>
        <item x="13"/>
        <item x="7"/>
        <item x="3"/>
        <item x="12"/>
        <item x="11"/>
        <item x="6"/>
        <item x="8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2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omme de Received" fld="4" baseField="0" baseItem="0"/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D17" firstHeaderRow="1" firstDataRow="2" firstDataCol="1"/>
  <pivotFields count="15">
    <pivotField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U1361"/>
  <sheetViews>
    <sheetView zoomScale="65" zoomScaleNormal="65" workbookViewId="0">
      <selection activeCell="K21" sqref="K21"/>
    </sheetView>
  </sheetViews>
  <sheetFormatPr defaultColWidth="11.44140625" defaultRowHeight="14.4" x14ac:dyDescent="0.3"/>
  <cols>
    <col min="1" max="1" width="46.109375" style="5" customWidth="1"/>
    <col min="2" max="2" width="25.6640625" style="5" customWidth="1"/>
    <col min="3" max="3" width="28.33203125" style="5" customWidth="1"/>
    <col min="4" max="4" width="29.44140625" style="5" customWidth="1"/>
    <col min="5" max="5" width="19.5546875" style="5" customWidth="1"/>
    <col min="6" max="6" width="21" style="5" customWidth="1"/>
    <col min="7" max="7" width="36.33203125" style="5" customWidth="1"/>
    <col min="8" max="8" width="20.5546875" style="5" customWidth="1"/>
    <col min="9" max="9" width="19.6640625" style="5" customWidth="1"/>
    <col min="10" max="10" width="22" style="5" customWidth="1"/>
    <col min="11" max="11" width="18.6640625" style="5" customWidth="1"/>
    <col min="12" max="12" width="16" style="46" customWidth="1"/>
    <col min="13" max="13" width="18.6640625" style="46" customWidth="1"/>
    <col min="14" max="14" width="14.109375" style="46" customWidth="1"/>
    <col min="15" max="15" width="14.88671875" style="46" customWidth="1"/>
    <col min="16" max="16" width="11.44140625" style="5"/>
    <col min="17" max="17" width="2.88671875" style="5" customWidth="1"/>
    <col min="18" max="16384" width="11.44140625" style="5"/>
  </cols>
  <sheetData>
    <row r="2" spans="1:21" ht="15.6" x14ac:dyDescent="0.3">
      <c r="A2" s="6" t="s">
        <v>36</v>
      </c>
      <c r="B2" s="6" t="s">
        <v>1</v>
      </c>
      <c r="C2" s="6">
        <v>45078</v>
      </c>
      <c r="D2" s="7" t="s">
        <v>37</v>
      </c>
      <c r="E2" s="7" t="s">
        <v>38</v>
      </c>
      <c r="F2" s="7" t="s">
        <v>39</v>
      </c>
      <c r="G2" s="7" t="s">
        <v>40</v>
      </c>
      <c r="H2" s="6">
        <v>45107</v>
      </c>
      <c r="I2" s="7" t="s">
        <v>41</v>
      </c>
      <c r="K2" s="45"/>
      <c r="L2" s="45" t="s">
        <v>42</v>
      </c>
      <c r="M2" s="45" t="s">
        <v>43</v>
      </c>
      <c r="N2" s="45" t="s">
        <v>44</v>
      </c>
      <c r="O2" s="45" t="s">
        <v>45</v>
      </c>
    </row>
    <row r="3" spans="1:21" x14ac:dyDescent="0.3">
      <c r="A3" s="58" t="str">
        <f>K3</f>
        <v>BCI</v>
      </c>
      <c r="B3" s="59" t="s">
        <v>46</v>
      </c>
      <c r="C3" s="61">
        <v>14703145</v>
      </c>
      <c r="D3" s="61">
        <f>+L3</f>
        <v>0</v>
      </c>
      <c r="E3" s="61">
        <f>+N3</f>
        <v>35235</v>
      </c>
      <c r="F3" s="61">
        <f>+M3</f>
        <v>25049328</v>
      </c>
      <c r="G3" s="61">
        <f t="shared" ref="G3:G19" si="0">+O3</f>
        <v>17622093</v>
      </c>
      <c r="H3" s="61">
        <v>7240675</v>
      </c>
      <c r="I3" s="61">
        <f>+C3+D3-E3-F3+G3</f>
        <v>7240675</v>
      </c>
      <c r="J3" s="9">
        <f>I3-H3</f>
        <v>0</v>
      </c>
      <c r="K3" s="45" t="s">
        <v>24</v>
      </c>
      <c r="L3" s="181">
        <v>0</v>
      </c>
      <c r="M3" s="181">
        <v>25049328</v>
      </c>
      <c r="N3" s="181">
        <v>35235</v>
      </c>
      <c r="O3" s="181">
        <v>17622093</v>
      </c>
      <c r="R3"/>
      <c r="S3"/>
      <c r="T3"/>
      <c r="U3"/>
    </row>
    <row r="4" spans="1:21" x14ac:dyDescent="0.3">
      <c r="A4" s="58" t="str">
        <f t="shared" ref="A4:A19" si="1">K4</f>
        <v>BCI-Sous Compte</v>
      </c>
      <c r="B4" s="59" t="s">
        <v>46</v>
      </c>
      <c r="C4" s="61">
        <v>499301</v>
      </c>
      <c r="D4" s="61">
        <f>+L4</f>
        <v>19049328</v>
      </c>
      <c r="E4" s="61">
        <f t="shared" ref="E4:E10" si="2">+N4</f>
        <v>3906424</v>
      </c>
      <c r="F4" s="61">
        <f t="shared" ref="F4:F10" si="3">+M4</f>
        <v>2000000</v>
      </c>
      <c r="G4" s="61">
        <f t="shared" si="0"/>
        <v>0</v>
      </c>
      <c r="H4" s="61">
        <v>13642205</v>
      </c>
      <c r="I4" s="61">
        <f t="shared" ref="I4:I10" si="4">+C4+D4-E4-F4+G4</f>
        <v>13642205</v>
      </c>
      <c r="J4" s="9">
        <f t="shared" ref="J4:J19" si="5">I4-H4</f>
        <v>0</v>
      </c>
      <c r="K4" s="45" t="s">
        <v>148</v>
      </c>
      <c r="L4" s="181">
        <v>19049328</v>
      </c>
      <c r="M4" s="181">
        <v>2000000</v>
      </c>
      <c r="N4" s="181">
        <v>3906424</v>
      </c>
      <c r="O4" s="181">
        <v>0</v>
      </c>
      <c r="R4"/>
      <c r="S4"/>
      <c r="T4"/>
      <c r="U4"/>
    </row>
    <row r="5" spans="1:21" x14ac:dyDescent="0.3">
      <c r="A5" s="58" t="str">
        <f t="shared" si="1"/>
        <v>Caisse</v>
      </c>
      <c r="B5" s="59" t="s">
        <v>25</v>
      </c>
      <c r="C5" s="61">
        <v>275723</v>
      </c>
      <c r="D5" s="61">
        <f t="shared" ref="D5:D10" si="6">+L5</f>
        <v>8454305</v>
      </c>
      <c r="E5" s="61">
        <f t="shared" si="2"/>
        <v>2771320</v>
      </c>
      <c r="F5" s="61">
        <f t="shared" si="3"/>
        <v>5159824</v>
      </c>
      <c r="G5" s="61">
        <f t="shared" si="0"/>
        <v>0</v>
      </c>
      <c r="H5" s="61">
        <v>798884</v>
      </c>
      <c r="I5" s="61">
        <f t="shared" si="4"/>
        <v>798884</v>
      </c>
      <c r="J5" s="9">
        <f t="shared" si="5"/>
        <v>0</v>
      </c>
      <c r="K5" s="45" t="s">
        <v>25</v>
      </c>
      <c r="L5" s="181">
        <v>8454305</v>
      </c>
      <c r="M5" s="181">
        <v>5159824</v>
      </c>
      <c r="N5" s="181">
        <v>2771320</v>
      </c>
      <c r="O5" s="181">
        <v>0</v>
      </c>
      <c r="R5"/>
      <c r="S5"/>
      <c r="T5"/>
      <c r="U5"/>
    </row>
    <row r="6" spans="1:21" x14ac:dyDescent="0.3">
      <c r="A6" s="58" t="str">
        <f t="shared" si="1"/>
        <v>Crépin</v>
      </c>
      <c r="B6" s="59" t="s">
        <v>154</v>
      </c>
      <c r="C6" s="61">
        <v>240620</v>
      </c>
      <c r="D6" s="61">
        <f t="shared" si="6"/>
        <v>555500</v>
      </c>
      <c r="E6" s="61">
        <f t="shared" si="2"/>
        <v>492100</v>
      </c>
      <c r="F6" s="61">
        <f t="shared" si="3"/>
        <v>0</v>
      </c>
      <c r="G6" s="61">
        <f t="shared" si="0"/>
        <v>0</v>
      </c>
      <c r="H6" s="61">
        <v>304020</v>
      </c>
      <c r="I6" s="61">
        <f t="shared" si="4"/>
        <v>304020</v>
      </c>
      <c r="J6" s="9">
        <f t="shared" si="5"/>
        <v>0</v>
      </c>
      <c r="K6" s="45" t="s">
        <v>47</v>
      </c>
      <c r="L6" s="181">
        <v>555500</v>
      </c>
      <c r="M6" s="181">
        <v>0</v>
      </c>
      <c r="N6" s="181">
        <v>492100</v>
      </c>
      <c r="O6" s="181">
        <v>0</v>
      </c>
      <c r="R6"/>
      <c r="S6"/>
      <c r="T6"/>
      <c r="U6"/>
    </row>
    <row r="7" spans="1:21" x14ac:dyDescent="0.3">
      <c r="A7" s="58" t="str">
        <f t="shared" si="1"/>
        <v>D58</v>
      </c>
      <c r="B7" s="59" t="s">
        <v>4</v>
      </c>
      <c r="C7" s="61">
        <v>14700</v>
      </c>
      <c r="D7" s="61">
        <f t="shared" si="6"/>
        <v>402500</v>
      </c>
      <c r="E7" s="61">
        <f t="shared" si="2"/>
        <v>363400</v>
      </c>
      <c r="F7" s="61">
        <f t="shared" si="3"/>
        <v>0</v>
      </c>
      <c r="G7" s="61">
        <f t="shared" si="0"/>
        <v>0</v>
      </c>
      <c r="H7" s="61">
        <v>53800</v>
      </c>
      <c r="I7" s="61">
        <f t="shared" si="4"/>
        <v>53800</v>
      </c>
      <c r="J7" s="9">
        <f t="shared" si="5"/>
        <v>0</v>
      </c>
      <c r="K7" s="45" t="s">
        <v>270</v>
      </c>
      <c r="L7" s="181">
        <v>402500</v>
      </c>
      <c r="M7" s="181">
        <v>0</v>
      </c>
      <c r="N7" s="181">
        <v>363400</v>
      </c>
      <c r="O7" s="181">
        <v>0</v>
      </c>
      <c r="R7"/>
      <c r="S7"/>
      <c r="T7"/>
      <c r="U7"/>
    </row>
    <row r="8" spans="1:21" x14ac:dyDescent="0.3">
      <c r="A8" s="58" t="str">
        <f t="shared" si="1"/>
        <v>Donald</v>
      </c>
      <c r="B8" s="59" t="s">
        <v>154</v>
      </c>
      <c r="C8" s="61">
        <v>111990</v>
      </c>
      <c r="D8" s="61">
        <f t="shared" si="6"/>
        <v>705000</v>
      </c>
      <c r="E8" s="61">
        <f t="shared" si="2"/>
        <v>557355</v>
      </c>
      <c r="F8" s="61">
        <f t="shared" si="3"/>
        <v>23500</v>
      </c>
      <c r="G8" s="61">
        <f t="shared" si="0"/>
        <v>0</v>
      </c>
      <c r="H8" s="61">
        <v>236135</v>
      </c>
      <c r="I8" s="61">
        <f t="shared" si="4"/>
        <v>236135</v>
      </c>
      <c r="J8" s="9">
        <f t="shared" si="5"/>
        <v>0</v>
      </c>
      <c r="K8" s="45" t="s">
        <v>256</v>
      </c>
      <c r="L8" s="181">
        <v>705000</v>
      </c>
      <c r="M8" s="181">
        <v>23500</v>
      </c>
      <c r="N8" s="181">
        <v>557355</v>
      </c>
      <c r="O8" s="181">
        <v>0</v>
      </c>
      <c r="R8"/>
      <c r="S8"/>
      <c r="T8"/>
      <c r="U8"/>
    </row>
    <row r="9" spans="1:21" x14ac:dyDescent="0.3">
      <c r="A9" s="58" t="str">
        <f t="shared" si="1"/>
        <v>Dovi</v>
      </c>
      <c r="B9" s="59" t="s">
        <v>2</v>
      </c>
      <c r="C9" s="61">
        <v>0</v>
      </c>
      <c r="D9" s="61">
        <f t="shared" si="6"/>
        <v>234000</v>
      </c>
      <c r="E9" s="61">
        <f t="shared" si="2"/>
        <v>158000</v>
      </c>
      <c r="F9" s="61">
        <f t="shared" si="3"/>
        <v>0</v>
      </c>
      <c r="G9" s="61">
        <f t="shared" si="0"/>
        <v>0</v>
      </c>
      <c r="H9" s="61">
        <v>76000</v>
      </c>
      <c r="I9" s="61">
        <f t="shared" si="4"/>
        <v>76000</v>
      </c>
      <c r="J9" s="9">
        <f t="shared" si="5"/>
        <v>0</v>
      </c>
      <c r="K9" s="45" t="s">
        <v>373</v>
      </c>
      <c r="L9" s="181">
        <v>234000</v>
      </c>
      <c r="M9" s="181">
        <v>0</v>
      </c>
      <c r="N9" s="181">
        <v>158000</v>
      </c>
      <c r="O9" s="181">
        <v>0</v>
      </c>
    </row>
    <row r="10" spans="1:21" x14ac:dyDescent="0.3">
      <c r="A10" s="58" t="str">
        <f t="shared" si="1"/>
        <v>Evariste</v>
      </c>
      <c r="B10" s="59" t="s">
        <v>155</v>
      </c>
      <c r="C10" s="61">
        <v>28375</v>
      </c>
      <c r="D10" s="61">
        <f t="shared" si="6"/>
        <v>322000</v>
      </c>
      <c r="E10" s="61">
        <f t="shared" si="2"/>
        <v>271400</v>
      </c>
      <c r="F10" s="61">
        <f t="shared" si="3"/>
        <v>0</v>
      </c>
      <c r="G10" s="61">
        <f t="shared" si="0"/>
        <v>0</v>
      </c>
      <c r="H10" s="61">
        <v>78975</v>
      </c>
      <c r="I10" s="61">
        <f t="shared" si="4"/>
        <v>78975</v>
      </c>
      <c r="J10" s="9">
        <f t="shared" si="5"/>
        <v>0</v>
      </c>
      <c r="K10" s="45" t="s">
        <v>31</v>
      </c>
      <c r="L10" s="181">
        <v>322000</v>
      </c>
      <c r="M10" s="181">
        <v>0</v>
      </c>
      <c r="N10" s="181">
        <v>271400</v>
      </c>
      <c r="O10" s="181">
        <v>0</v>
      </c>
      <c r="R10"/>
      <c r="S10"/>
      <c r="T10"/>
      <c r="U10"/>
    </row>
    <row r="11" spans="1:21" x14ac:dyDescent="0.3">
      <c r="A11" s="58" t="str">
        <f t="shared" si="1"/>
        <v>I55S</v>
      </c>
      <c r="B11" s="116" t="s">
        <v>4</v>
      </c>
      <c r="C11" s="118">
        <v>233614</v>
      </c>
      <c r="D11" s="118">
        <f t="shared" ref="D11:D19" si="7">+L11</f>
        <v>0</v>
      </c>
      <c r="E11" s="118">
        <f>+N11</f>
        <v>0</v>
      </c>
      <c r="F11" s="118">
        <f t="shared" ref="F11:F12" si="8">+M11</f>
        <v>0</v>
      </c>
      <c r="G11" s="118">
        <f t="shared" si="0"/>
        <v>0</v>
      </c>
      <c r="H11" s="118">
        <v>233614</v>
      </c>
      <c r="I11" s="118">
        <f>+C11+D11-E11-F11+G11</f>
        <v>233614</v>
      </c>
      <c r="J11" s="9">
        <f t="shared" si="5"/>
        <v>0</v>
      </c>
      <c r="K11" s="45" t="s">
        <v>84</v>
      </c>
      <c r="L11" s="181">
        <v>0</v>
      </c>
      <c r="M11" s="181">
        <v>0</v>
      </c>
      <c r="N11" s="181">
        <v>0</v>
      </c>
      <c r="O11" s="181">
        <v>0</v>
      </c>
      <c r="R11"/>
      <c r="S11"/>
      <c r="T11"/>
      <c r="U11"/>
    </row>
    <row r="12" spans="1:21" x14ac:dyDescent="0.3">
      <c r="A12" s="58" t="str">
        <f t="shared" si="1"/>
        <v>I73X</v>
      </c>
      <c r="B12" s="116" t="s">
        <v>4</v>
      </c>
      <c r="C12" s="118">
        <v>249769</v>
      </c>
      <c r="D12" s="118">
        <f t="shared" si="7"/>
        <v>0</v>
      </c>
      <c r="E12" s="118">
        <f>+N12</f>
        <v>0</v>
      </c>
      <c r="F12" s="118">
        <f t="shared" si="8"/>
        <v>0</v>
      </c>
      <c r="G12" s="118">
        <f t="shared" si="0"/>
        <v>0</v>
      </c>
      <c r="H12" s="118">
        <v>249769</v>
      </c>
      <c r="I12" s="118">
        <f t="shared" ref="I12:I19" si="9">+C12+D12-E12-F12+G12</f>
        <v>249769</v>
      </c>
      <c r="J12" s="9">
        <f t="shared" si="5"/>
        <v>0</v>
      </c>
      <c r="K12" s="45" t="s">
        <v>83</v>
      </c>
      <c r="L12" s="181">
        <v>0</v>
      </c>
      <c r="M12" s="181">
        <v>0</v>
      </c>
      <c r="N12" s="181">
        <v>0</v>
      </c>
      <c r="O12" s="181">
        <v>0</v>
      </c>
      <c r="R12"/>
      <c r="S12"/>
      <c r="T12"/>
      <c r="U12"/>
    </row>
    <row r="13" spans="1:21" s="188" customFormat="1" ht="15.6" x14ac:dyDescent="0.3">
      <c r="A13" s="58" t="str">
        <f t="shared" si="1"/>
        <v>Grace</v>
      </c>
      <c r="B13" s="59" t="s">
        <v>2</v>
      </c>
      <c r="C13" s="184">
        <v>46550</v>
      </c>
      <c r="D13" s="61">
        <f t="shared" si="7"/>
        <v>829000</v>
      </c>
      <c r="E13" s="61">
        <f t="shared" ref="E13:E19" si="10">+N13</f>
        <v>199900</v>
      </c>
      <c r="F13" s="61">
        <f>+M13</f>
        <v>375000</v>
      </c>
      <c r="G13" s="61">
        <f t="shared" si="0"/>
        <v>0</v>
      </c>
      <c r="H13" s="184">
        <v>300650</v>
      </c>
      <c r="I13" s="184">
        <f t="shared" si="9"/>
        <v>300650</v>
      </c>
      <c r="J13" s="9">
        <f t="shared" si="5"/>
        <v>0</v>
      </c>
      <c r="K13" s="186" t="s">
        <v>143</v>
      </c>
      <c r="L13" s="181">
        <v>829000</v>
      </c>
      <c r="M13" s="181">
        <v>375000</v>
      </c>
      <c r="N13" s="181">
        <v>199900</v>
      </c>
      <c r="O13" s="181">
        <v>0</v>
      </c>
      <c r="R13"/>
      <c r="S13"/>
      <c r="T13"/>
      <c r="U13"/>
    </row>
    <row r="14" spans="1:21" ht="15.6" x14ac:dyDescent="0.3">
      <c r="A14" s="58" t="str">
        <f t="shared" si="1"/>
        <v>Hurielle</v>
      </c>
      <c r="B14" s="98" t="s">
        <v>154</v>
      </c>
      <c r="C14" s="61">
        <v>84605</v>
      </c>
      <c r="D14" s="61">
        <f t="shared" si="7"/>
        <v>38000</v>
      </c>
      <c r="E14" s="61">
        <f t="shared" si="10"/>
        <v>78800</v>
      </c>
      <c r="F14" s="61">
        <f t="shared" ref="F14:F19" si="11">+M14</f>
        <v>43805</v>
      </c>
      <c r="G14" s="61">
        <f t="shared" si="0"/>
        <v>0</v>
      </c>
      <c r="H14" s="184">
        <v>0</v>
      </c>
      <c r="I14" s="184">
        <f>+C14+D14-E14-F14+G14</f>
        <v>0</v>
      </c>
      <c r="J14" s="9">
        <f t="shared" si="5"/>
        <v>0</v>
      </c>
      <c r="K14" s="45" t="s">
        <v>197</v>
      </c>
      <c r="L14" s="181">
        <v>38000</v>
      </c>
      <c r="M14" s="181">
        <v>43805</v>
      </c>
      <c r="N14" s="181">
        <v>78800</v>
      </c>
      <c r="O14" s="181">
        <v>0</v>
      </c>
      <c r="R14"/>
      <c r="S14"/>
      <c r="T14"/>
      <c r="U14"/>
    </row>
    <row r="15" spans="1:21" s="188" customFormat="1" ht="15.6" x14ac:dyDescent="0.3">
      <c r="A15" s="58" t="str">
        <f t="shared" si="1"/>
        <v>Merveille</v>
      </c>
      <c r="B15" s="59" t="s">
        <v>2</v>
      </c>
      <c r="C15" s="184">
        <v>-7600</v>
      </c>
      <c r="D15" s="61">
        <f t="shared" si="7"/>
        <v>529000</v>
      </c>
      <c r="E15" s="61">
        <f t="shared" si="10"/>
        <v>275300</v>
      </c>
      <c r="F15" s="61">
        <f t="shared" si="11"/>
        <v>20500</v>
      </c>
      <c r="G15" s="61">
        <f t="shared" si="0"/>
        <v>0</v>
      </c>
      <c r="H15" s="184">
        <v>225600</v>
      </c>
      <c r="I15" s="184">
        <f t="shared" si="9"/>
        <v>225600</v>
      </c>
      <c r="J15" s="9">
        <f t="shared" si="5"/>
        <v>0</v>
      </c>
      <c r="K15" s="186" t="s">
        <v>93</v>
      </c>
      <c r="L15" s="181">
        <v>529000</v>
      </c>
      <c r="M15" s="181">
        <v>20500</v>
      </c>
      <c r="N15" s="181">
        <v>275300</v>
      </c>
      <c r="O15" s="181">
        <v>0</v>
      </c>
      <c r="R15"/>
      <c r="S15"/>
      <c r="T15"/>
      <c r="U15"/>
    </row>
    <row r="16" spans="1:21" ht="15.6" x14ac:dyDescent="0.3">
      <c r="A16" s="58" t="str">
        <f t="shared" si="1"/>
        <v>Oracle</v>
      </c>
      <c r="B16" s="98" t="s">
        <v>154</v>
      </c>
      <c r="C16" s="61">
        <v>12000</v>
      </c>
      <c r="D16" s="61">
        <f t="shared" si="7"/>
        <v>421000</v>
      </c>
      <c r="E16" s="61">
        <f t="shared" si="10"/>
        <v>367775</v>
      </c>
      <c r="F16" s="61">
        <f t="shared" si="11"/>
        <v>40000</v>
      </c>
      <c r="G16" s="61">
        <f t="shared" si="0"/>
        <v>0</v>
      </c>
      <c r="H16" s="184">
        <v>25225</v>
      </c>
      <c r="I16" s="184">
        <f t="shared" si="9"/>
        <v>25225</v>
      </c>
      <c r="J16" s="9">
        <f t="shared" si="5"/>
        <v>0</v>
      </c>
      <c r="K16" s="45" t="s">
        <v>304</v>
      </c>
      <c r="L16" s="181">
        <v>421000</v>
      </c>
      <c r="M16" s="181">
        <v>40000</v>
      </c>
      <c r="N16" s="181">
        <v>367775</v>
      </c>
      <c r="O16" s="181">
        <v>0</v>
      </c>
      <c r="R16"/>
      <c r="S16"/>
      <c r="T16"/>
      <c r="U16"/>
    </row>
    <row r="17" spans="1:21" ht="15.6" x14ac:dyDescent="0.3">
      <c r="A17" s="58" t="str">
        <f t="shared" si="1"/>
        <v>P29</v>
      </c>
      <c r="B17" s="98" t="s">
        <v>4</v>
      </c>
      <c r="C17" s="61">
        <v>149800</v>
      </c>
      <c r="D17" s="61">
        <f t="shared" si="7"/>
        <v>1048000</v>
      </c>
      <c r="E17" s="61">
        <f t="shared" si="10"/>
        <v>810000</v>
      </c>
      <c r="F17" s="61">
        <f t="shared" si="11"/>
        <v>295000</v>
      </c>
      <c r="G17" s="61">
        <f t="shared" si="0"/>
        <v>0</v>
      </c>
      <c r="H17" s="184">
        <v>92800</v>
      </c>
      <c r="I17" s="184">
        <f t="shared" si="9"/>
        <v>92800</v>
      </c>
      <c r="J17" s="9">
        <f t="shared" si="5"/>
        <v>0</v>
      </c>
      <c r="K17" s="45" t="s">
        <v>29</v>
      </c>
      <c r="L17" s="181">
        <v>1048000</v>
      </c>
      <c r="M17" s="181">
        <v>295000</v>
      </c>
      <c r="N17" s="181">
        <v>810000</v>
      </c>
      <c r="O17" s="181">
        <v>0</v>
      </c>
      <c r="R17"/>
      <c r="S17"/>
      <c r="T17"/>
      <c r="U17"/>
    </row>
    <row r="18" spans="1:21" ht="15.6" x14ac:dyDescent="0.3">
      <c r="A18" s="58" t="str">
        <f t="shared" si="1"/>
        <v>T73</v>
      </c>
      <c r="B18" s="59" t="s">
        <v>4</v>
      </c>
      <c r="C18" s="61">
        <v>354300</v>
      </c>
      <c r="D18" s="61">
        <f t="shared" si="7"/>
        <v>574000</v>
      </c>
      <c r="E18" s="61">
        <f t="shared" si="10"/>
        <v>743100</v>
      </c>
      <c r="F18" s="61">
        <f t="shared" si="11"/>
        <v>150000</v>
      </c>
      <c r="G18" s="61">
        <f t="shared" si="0"/>
        <v>0</v>
      </c>
      <c r="H18" s="184">
        <v>35200</v>
      </c>
      <c r="I18" s="184">
        <f t="shared" si="9"/>
        <v>35200</v>
      </c>
      <c r="J18" s="9">
        <f t="shared" si="5"/>
        <v>0</v>
      </c>
      <c r="K18" s="45" t="s">
        <v>269</v>
      </c>
      <c r="L18" s="181">
        <v>574000</v>
      </c>
      <c r="M18" s="181">
        <v>150000</v>
      </c>
      <c r="N18" s="181">
        <v>743100</v>
      </c>
      <c r="O18" s="181">
        <v>0</v>
      </c>
    </row>
    <row r="19" spans="1:21" ht="15.6" x14ac:dyDescent="0.3">
      <c r="A19" s="58" t="str">
        <f t="shared" si="1"/>
        <v>Tiffany</v>
      </c>
      <c r="B19" s="59" t="s">
        <v>2</v>
      </c>
      <c r="C19" s="61">
        <v>14676</v>
      </c>
      <c r="D19" s="61">
        <f t="shared" si="7"/>
        <v>25324</v>
      </c>
      <c r="E19" s="61">
        <f t="shared" si="10"/>
        <v>10000</v>
      </c>
      <c r="F19" s="61">
        <f t="shared" si="11"/>
        <v>30000</v>
      </c>
      <c r="G19" s="61">
        <f t="shared" si="0"/>
        <v>0</v>
      </c>
      <c r="H19" s="184">
        <v>0</v>
      </c>
      <c r="I19" s="184">
        <f t="shared" si="9"/>
        <v>0</v>
      </c>
      <c r="J19" s="9">
        <f t="shared" si="5"/>
        <v>0</v>
      </c>
      <c r="K19" s="45" t="s">
        <v>113</v>
      </c>
      <c r="L19" s="181">
        <v>25324</v>
      </c>
      <c r="M19" s="181">
        <v>30000</v>
      </c>
      <c r="N19" s="181">
        <v>10000</v>
      </c>
      <c r="O19" s="181">
        <v>0</v>
      </c>
    </row>
    <row r="20" spans="1:21" x14ac:dyDescent="0.3">
      <c r="A20" s="10" t="s">
        <v>50</v>
      </c>
      <c r="B20" s="11"/>
      <c r="C20" s="12">
        <f t="shared" ref="C20:I20" si="12">SUM(C3:C19)</f>
        <v>17011568</v>
      </c>
      <c r="D20" s="57">
        <f t="shared" si="12"/>
        <v>33186957</v>
      </c>
      <c r="E20" s="57">
        <f t="shared" si="12"/>
        <v>11040109</v>
      </c>
      <c r="F20" s="57">
        <f t="shared" si="12"/>
        <v>33186957</v>
      </c>
      <c r="G20" s="57">
        <f t="shared" si="12"/>
        <v>17622093</v>
      </c>
      <c r="H20" s="57">
        <f t="shared" si="12"/>
        <v>23593552</v>
      </c>
      <c r="I20" s="57">
        <f t="shared" si="12"/>
        <v>23593552</v>
      </c>
      <c r="J20" s="9"/>
      <c r="K20" s="3"/>
      <c r="L20" s="47">
        <f>+SUM(L3:L19)</f>
        <v>33186957</v>
      </c>
      <c r="M20" s="47">
        <f>+SUM(M3:M19)</f>
        <v>33186957</v>
      </c>
      <c r="N20" s="47">
        <f>+SUM(N3:N19)</f>
        <v>11040109</v>
      </c>
      <c r="O20" s="47">
        <f>+SUM(O3:O19)</f>
        <v>17622093</v>
      </c>
    </row>
    <row r="21" spans="1:21" x14ac:dyDescent="0.3">
      <c r="A21" s="10"/>
      <c r="B21" s="11"/>
      <c r="C21" s="12"/>
      <c r="D21" s="13"/>
      <c r="E21" s="12"/>
      <c r="F21" s="13"/>
      <c r="G21" s="12"/>
      <c r="H21" s="12"/>
      <c r="I21" s="134" t="b">
        <f>I20=D23</f>
        <v>1</v>
      </c>
      <c r="J21" s="9"/>
      <c r="L21" s="5"/>
      <c r="M21" s="5"/>
      <c r="N21" s="5"/>
      <c r="O21" s="5"/>
    </row>
    <row r="22" spans="1:21" ht="15.6" x14ac:dyDescent="0.3">
      <c r="A22" s="10" t="s">
        <v>322</v>
      </c>
      <c r="B22" s="11" t="s">
        <v>218</v>
      </c>
      <c r="C22" s="12" t="s">
        <v>219</v>
      </c>
      <c r="D22" s="12" t="s">
        <v>323</v>
      </c>
      <c r="E22" s="12" t="s">
        <v>51</v>
      </c>
      <c r="F22" s="12"/>
      <c r="G22" s="12">
        <f>+D20-F20</f>
        <v>0</v>
      </c>
      <c r="H22" s="12"/>
      <c r="I22" s="216"/>
    </row>
    <row r="23" spans="1:21" x14ac:dyDescent="0.3">
      <c r="A23" s="14">
        <f>C20</f>
        <v>17011568</v>
      </c>
      <c r="B23" s="15">
        <f>G20</f>
        <v>17622093</v>
      </c>
      <c r="C23" s="12">
        <f>E20</f>
        <v>11040109</v>
      </c>
      <c r="D23" s="12">
        <f>A23+B23-C23</f>
        <v>23593552</v>
      </c>
      <c r="E23" s="13">
        <f>I20-D23</f>
        <v>0</v>
      </c>
      <c r="F23" s="12"/>
      <c r="G23" s="12"/>
      <c r="H23" s="12"/>
      <c r="I23" s="12"/>
    </row>
    <row r="24" spans="1:21" x14ac:dyDescent="0.3">
      <c r="A24" s="14"/>
      <c r="B24" s="15"/>
      <c r="C24" s="12"/>
      <c r="D24" s="12"/>
      <c r="E24" s="13"/>
      <c r="F24" s="12"/>
      <c r="G24" s="12"/>
      <c r="H24" s="12"/>
      <c r="I24" s="12"/>
    </row>
    <row r="25" spans="1:21" x14ac:dyDescent="0.3">
      <c r="A25" s="16" t="s">
        <v>52</v>
      </c>
      <c r="B25" s="16"/>
      <c r="C25" s="16"/>
      <c r="D25" s="17"/>
      <c r="E25" s="17"/>
      <c r="F25" s="17"/>
      <c r="G25" s="17"/>
      <c r="H25" s="17"/>
      <c r="I25" s="17"/>
    </row>
    <row r="26" spans="1:21" x14ac:dyDescent="0.3">
      <c r="A26" s="18" t="s">
        <v>324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21" x14ac:dyDescent="0.3">
      <c r="A27" s="19"/>
      <c r="B27" s="17"/>
      <c r="C27" s="20"/>
      <c r="D27" s="20"/>
      <c r="E27" s="20"/>
      <c r="F27" s="20"/>
      <c r="G27" s="20"/>
      <c r="H27" s="17"/>
      <c r="I27" s="17"/>
    </row>
    <row r="28" spans="1:21" ht="45" customHeight="1" x14ac:dyDescent="0.3">
      <c r="A28" s="298" t="s">
        <v>53</v>
      </c>
      <c r="B28" s="300" t="s">
        <v>54</v>
      </c>
      <c r="C28" s="302" t="s">
        <v>325</v>
      </c>
      <c r="D28" s="304" t="s">
        <v>55</v>
      </c>
      <c r="E28" s="305"/>
      <c r="F28" s="305"/>
      <c r="G28" s="306"/>
      <c r="H28" s="307" t="s">
        <v>56</v>
      </c>
      <c r="I28" s="309" t="s">
        <v>57</v>
      </c>
      <c r="J28" s="212"/>
    </row>
    <row r="29" spans="1:21" ht="28.5" customHeight="1" x14ac:dyDescent="0.3">
      <c r="A29" s="299"/>
      <c r="B29" s="301"/>
      <c r="C29" s="303"/>
      <c r="D29" s="21" t="s">
        <v>24</v>
      </c>
      <c r="E29" s="21" t="s">
        <v>25</v>
      </c>
      <c r="F29" s="303" t="s">
        <v>123</v>
      </c>
      <c r="G29" s="21" t="s">
        <v>58</v>
      </c>
      <c r="H29" s="308"/>
      <c r="I29" s="310"/>
      <c r="J29" s="311" t="s">
        <v>326</v>
      </c>
      <c r="K29" s="143"/>
    </row>
    <row r="30" spans="1:21" x14ac:dyDescent="0.3">
      <c r="A30" s="23"/>
      <c r="B30" s="24" t="s">
        <v>59</v>
      </c>
      <c r="C30" s="25"/>
      <c r="D30" s="25"/>
      <c r="E30" s="25"/>
      <c r="F30" s="25"/>
      <c r="G30" s="25"/>
      <c r="H30" s="25"/>
      <c r="I30" s="26"/>
      <c r="J30" s="311"/>
      <c r="K30" s="143"/>
    </row>
    <row r="31" spans="1:21" x14ac:dyDescent="0.3">
      <c r="A31" s="122" t="s">
        <v>135</v>
      </c>
      <c r="B31" s="127" t="s">
        <v>47</v>
      </c>
      <c r="C31" s="32">
        <f>+C6</f>
        <v>240620</v>
      </c>
      <c r="D31" s="31"/>
      <c r="E31" s="32">
        <f>+D6</f>
        <v>555500</v>
      </c>
      <c r="F31" s="32"/>
      <c r="G31" s="32"/>
      <c r="H31" s="55">
        <f>+F6</f>
        <v>0</v>
      </c>
      <c r="I31" s="32">
        <f t="shared" ref="I31:I44" si="13">+E6</f>
        <v>492100</v>
      </c>
      <c r="J31" s="30">
        <f t="shared" ref="J31:J35" si="14">+SUM(C31:G31)-(H31+I31)</f>
        <v>304020</v>
      </c>
      <c r="K31" s="144" t="b">
        <f t="shared" ref="K31:K44" si="15">J31=I6</f>
        <v>1</v>
      </c>
    </row>
    <row r="32" spans="1:21" x14ac:dyDescent="0.3">
      <c r="A32" s="122" t="str">
        <f>+A31</f>
        <v>JUIN</v>
      </c>
      <c r="B32" s="127" t="s">
        <v>270</v>
      </c>
      <c r="C32" s="32">
        <f>+C7</f>
        <v>14700</v>
      </c>
      <c r="D32" s="31"/>
      <c r="E32" s="32">
        <f>+D7</f>
        <v>402500</v>
      </c>
      <c r="F32" s="32"/>
      <c r="G32" s="32"/>
      <c r="H32" s="55">
        <f>+F7</f>
        <v>0</v>
      </c>
      <c r="I32" s="32">
        <f t="shared" si="13"/>
        <v>363400</v>
      </c>
      <c r="J32" s="30">
        <f t="shared" si="14"/>
        <v>53800</v>
      </c>
      <c r="K32" s="144" t="b">
        <f t="shared" si="15"/>
        <v>1</v>
      </c>
    </row>
    <row r="33" spans="1:11" x14ac:dyDescent="0.3">
      <c r="A33" s="122" t="str">
        <f t="shared" ref="A33:A38" si="16">+A32</f>
        <v>JUIN</v>
      </c>
      <c r="B33" s="127" t="s">
        <v>256</v>
      </c>
      <c r="C33" s="32">
        <f>+C8</f>
        <v>111990</v>
      </c>
      <c r="D33" s="31"/>
      <c r="E33" s="32">
        <f>+D8</f>
        <v>705000</v>
      </c>
      <c r="F33" s="32"/>
      <c r="G33" s="32"/>
      <c r="H33" s="55">
        <f>+F8</f>
        <v>23500</v>
      </c>
      <c r="I33" s="32">
        <f t="shared" si="13"/>
        <v>557355</v>
      </c>
      <c r="J33" s="30">
        <f t="shared" si="14"/>
        <v>236135</v>
      </c>
      <c r="K33" s="144" t="b">
        <f t="shared" si="15"/>
        <v>1</v>
      </c>
    </row>
    <row r="34" spans="1:11" x14ac:dyDescent="0.3">
      <c r="A34" s="122" t="str">
        <f t="shared" si="16"/>
        <v>JUIN</v>
      </c>
      <c r="B34" s="127" t="s">
        <v>373</v>
      </c>
      <c r="C34" s="32">
        <f>+C9</f>
        <v>0</v>
      </c>
      <c r="D34" s="31"/>
      <c r="E34" s="32">
        <f>+D9</f>
        <v>234000</v>
      </c>
      <c r="F34" s="32"/>
      <c r="G34" s="32"/>
      <c r="H34" s="55">
        <f>+F9</f>
        <v>0</v>
      </c>
      <c r="I34" s="32">
        <f t="shared" si="13"/>
        <v>158000</v>
      </c>
      <c r="J34" s="30">
        <f t="shared" ref="J34" si="17">+SUM(C34:G34)-(H34+I34)</f>
        <v>76000</v>
      </c>
      <c r="K34" s="144" t="b">
        <f t="shared" si="15"/>
        <v>1</v>
      </c>
    </row>
    <row r="35" spans="1:11" x14ac:dyDescent="0.3">
      <c r="A35" s="122" t="str">
        <f t="shared" si="16"/>
        <v>JUIN</v>
      </c>
      <c r="B35" s="127" t="s">
        <v>31</v>
      </c>
      <c r="C35" s="32">
        <f t="shared" ref="C35" si="18">+C10</f>
        <v>28375</v>
      </c>
      <c r="D35" s="31"/>
      <c r="E35" s="32">
        <f t="shared" ref="E35" si="19">+D10</f>
        <v>322000</v>
      </c>
      <c r="F35" s="32"/>
      <c r="G35" s="32"/>
      <c r="H35" s="55">
        <f t="shared" ref="H35" si="20">+F10</f>
        <v>0</v>
      </c>
      <c r="I35" s="32">
        <f t="shared" si="13"/>
        <v>271400</v>
      </c>
      <c r="J35" s="30">
        <f t="shared" si="14"/>
        <v>78975</v>
      </c>
      <c r="K35" s="144" t="b">
        <f t="shared" si="15"/>
        <v>1</v>
      </c>
    </row>
    <row r="36" spans="1:11" x14ac:dyDescent="0.3">
      <c r="A36" s="122" t="str">
        <f t="shared" si="16"/>
        <v>JUIN</v>
      </c>
      <c r="B36" s="129" t="s">
        <v>84</v>
      </c>
      <c r="C36" s="120">
        <f t="shared" ref="C36:C44" si="21">+C11</f>
        <v>233614</v>
      </c>
      <c r="D36" s="123"/>
      <c r="E36" s="120">
        <f t="shared" ref="E36:E44" si="22">+D11</f>
        <v>0</v>
      </c>
      <c r="F36" s="137"/>
      <c r="G36" s="137"/>
      <c r="H36" s="155">
        <f t="shared" ref="H36:H44" si="23">+F11</f>
        <v>0</v>
      </c>
      <c r="I36" s="120">
        <f t="shared" si="13"/>
        <v>0</v>
      </c>
      <c r="J36" s="121">
        <f>+SUM(C36:G36)-(H36+I36)</f>
        <v>233614</v>
      </c>
      <c r="K36" s="144" t="b">
        <f t="shared" si="15"/>
        <v>1</v>
      </c>
    </row>
    <row r="37" spans="1:11" x14ac:dyDescent="0.3">
      <c r="A37" s="122" t="str">
        <f t="shared" si="16"/>
        <v>JUIN</v>
      </c>
      <c r="B37" s="129" t="s">
        <v>83</v>
      </c>
      <c r="C37" s="120">
        <f t="shared" si="21"/>
        <v>249769</v>
      </c>
      <c r="D37" s="123"/>
      <c r="E37" s="120">
        <f t="shared" si="22"/>
        <v>0</v>
      </c>
      <c r="F37" s="137"/>
      <c r="G37" s="137"/>
      <c r="H37" s="155">
        <f t="shared" si="23"/>
        <v>0</v>
      </c>
      <c r="I37" s="120">
        <f t="shared" si="13"/>
        <v>0</v>
      </c>
      <c r="J37" s="121">
        <f t="shared" ref="J37:J44" si="24">+SUM(C37:G37)-(H37+I37)</f>
        <v>249769</v>
      </c>
      <c r="K37" s="144" t="b">
        <f t="shared" si="15"/>
        <v>1</v>
      </c>
    </row>
    <row r="38" spans="1:11" x14ac:dyDescent="0.3">
      <c r="A38" s="122" t="str">
        <f t="shared" si="16"/>
        <v>JUIN</v>
      </c>
      <c r="B38" s="127" t="s">
        <v>143</v>
      </c>
      <c r="C38" s="32">
        <f t="shared" si="21"/>
        <v>46550</v>
      </c>
      <c r="D38" s="31"/>
      <c r="E38" s="32">
        <f t="shared" si="22"/>
        <v>829000</v>
      </c>
      <c r="F38" s="32"/>
      <c r="G38" s="104"/>
      <c r="H38" s="55">
        <f t="shared" si="23"/>
        <v>375000</v>
      </c>
      <c r="I38" s="32">
        <f t="shared" si="13"/>
        <v>199900</v>
      </c>
      <c r="J38" s="30">
        <f t="shared" si="24"/>
        <v>300650</v>
      </c>
      <c r="K38" s="144" t="b">
        <f t="shared" si="15"/>
        <v>1</v>
      </c>
    </row>
    <row r="39" spans="1:11" x14ac:dyDescent="0.3">
      <c r="A39" s="122" t="str">
        <f t="shared" ref="A39:A44" si="25">+A38</f>
        <v>JUIN</v>
      </c>
      <c r="B39" s="127" t="s">
        <v>197</v>
      </c>
      <c r="C39" s="32">
        <f t="shared" si="21"/>
        <v>84605</v>
      </c>
      <c r="D39" s="31"/>
      <c r="E39" s="32">
        <f t="shared" si="22"/>
        <v>38000</v>
      </c>
      <c r="F39" s="32"/>
      <c r="G39" s="104"/>
      <c r="H39" s="55">
        <f t="shared" si="23"/>
        <v>43805</v>
      </c>
      <c r="I39" s="32">
        <f t="shared" si="13"/>
        <v>78800</v>
      </c>
      <c r="J39" s="30">
        <f t="shared" si="24"/>
        <v>0</v>
      </c>
      <c r="K39" s="144" t="b">
        <f t="shared" si="15"/>
        <v>1</v>
      </c>
    </row>
    <row r="40" spans="1:11" x14ac:dyDescent="0.3">
      <c r="A40" s="122" t="str">
        <f t="shared" si="25"/>
        <v>JUIN</v>
      </c>
      <c r="B40" s="127" t="s">
        <v>93</v>
      </c>
      <c r="C40" s="32">
        <f t="shared" si="21"/>
        <v>-7600</v>
      </c>
      <c r="D40" s="31"/>
      <c r="E40" s="32">
        <f t="shared" si="22"/>
        <v>529000</v>
      </c>
      <c r="F40" s="32"/>
      <c r="G40" s="104"/>
      <c r="H40" s="55">
        <f t="shared" si="23"/>
        <v>20500</v>
      </c>
      <c r="I40" s="32">
        <f t="shared" si="13"/>
        <v>275300</v>
      </c>
      <c r="J40" s="30">
        <f t="shared" si="24"/>
        <v>225600</v>
      </c>
      <c r="K40" s="144" t="b">
        <f t="shared" si="15"/>
        <v>1</v>
      </c>
    </row>
    <row r="41" spans="1:11" x14ac:dyDescent="0.3">
      <c r="A41" s="122" t="str">
        <f t="shared" si="25"/>
        <v>JUIN</v>
      </c>
      <c r="B41" s="127" t="s">
        <v>304</v>
      </c>
      <c r="C41" s="32">
        <f t="shared" si="21"/>
        <v>12000</v>
      </c>
      <c r="D41" s="31"/>
      <c r="E41" s="32">
        <f t="shared" si="22"/>
        <v>421000</v>
      </c>
      <c r="F41" s="32"/>
      <c r="G41" s="104"/>
      <c r="H41" s="55">
        <f t="shared" si="23"/>
        <v>40000</v>
      </c>
      <c r="I41" s="32">
        <f t="shared" si="13"/>
        <v>367775</v>
      </c>
      <c r="J41" s="30">
        <f t="shared" si="24"/>
        <v>25225</v>
      </c>
      <c r="K41" s="144" t="b">
        <f t="shared" si="15"/>
        <v>1</v>
      </c>
    </row>
    <row r="42" spans="1:11" x14ac:dyDescent="0.3">
      <c r="A42" s="122" t="str">
        <f t="shared" si="25"/>
        <v>JUIN</v>
      </c>
      <c r="B42" s="127" t="s">
        <v>29</v>
      </c>
      <c r="C42" s="32">
        <f t="shared" si="21"/>
        <v>149800</v>
      </c>
      <c r="D42" s="31"/>
      <c r="E42" s="32">
        <f t="shared" si="22"/>
        <v>1048000</v>
      </c>
      <c r="F42" s="32"/>
      <c r="G42" s="104"/>
      <c r="H42" s="55">
        <f t="shared" si="23"/>
        <v>295000</v>
      </c>
      <c r="I42" s="32">
        <f t="shared" si="13"/>
        <v>810000</v>
      </c>
      <c r="J42" s="30">
        <f t="shared" si="24"/>
        <v>92800</v>
      </c>
      <c r="K42" s="144" t="b">
        <f t="shared" si="15"/>
        <v>1</v>
      </c>
    </row>
    <row r="43" spans="1:11" x14ac:dyDescent="0.3">
      <c r="A43" s="122" t="str">
        <f t="shared" si="25"/>
        <v>JUIN</v>
      </c>
      <c r="B43" s="128" t="s">
        <v>269</v>
      </c>
      <c r="C43" s="32">
        <f t="shared" si="21"/>
        <v>354300</v>
      </c>
      <c r="D43" s="119"/>
      <c r="E43" s="32">
        <f t="shared" si="22"/>
        <v>574000</v>
      </c>
      <c r="F43" s="51"/>
      <c r="G43" s="138"/>
      <c r="H43" s="55">
        <f t="shared" si="23"/>
        <v>150000</v>
      </c>
      <c r="I43" s="32">
        <f t="shared" si="13"/>
        <v>743100</v>
      </c>
      <c r="J43" s="30">
        <f t="shared" si="24"/>
        <v>35200</v>
      </c>
      <c r="K43" s="144" t="b">
        <f t="shared" si="15"/>
        <v>1</v>
      </c>
    </row>
    <row r="44" spans="1:11" x14ac:dyDescent="0.3">
      <c r="A44" s="122" t="str">
        <f t="shared" si="25"/>
        <v>JUIN</v>
      </c>
      <c r="B44" s="128" t="s">
        <v>113</v>
      </c>
      <c r="C44" s="32">
        <f t="shared" si="21"/>
        <v>14676</v>
      </c>
      <c r="D44" s="119"/>
      <c r="E44" s="32">
        <f t="shared" si="22"/>
        <v>25324</v>
      </c>
      <c r="F44" s="51"/>
      <c r="G44" s="138"/>
      <c r="H44" s="55">
        <f t="shared" si="23"/>
        <v>30000</v>
      </c>
      <c r="I44" s="32">
        <f t="shared" si="13"/>
        <v>10000</v>
      </c>
      <c r="J44" s="30">
        <f t="shared" si="24"/>
        <v>0</v>
      </c>
      <c r="K44" s="144" t="b">
        <f t="shared" si="15"/>
        <v>1</v>
      </c>
    </row>
    <row r="45" spans="1:11" x14ac:dyDescent="0.3">
      <c r="A45" s="34" t="s">
        <v>60</v>
      </c>
      <c r="B45" s="35"/>
      <c r="C45" s="35"/>
      <c r="D45" s="35"/>
      <c r="E45" s="35"/>
      <c r="F45" s="35"/>
      <c r="G45" s="35"/>
      <c r="H45" s="35"/>
      <c r="I45" s="35"/>
      <c r="J45" s="36"/>
      <c r="K45" s="143"/>
    </row>
    <row r="46" spans="1:11" x14ac:dyDescent="0.3">
      <c r="A46" s="122" t="str">
        <f>A44</f>
        <v>JUIN</v>
      </c>
      <c r="B46" s="37" t="s">
        <v>61</v>
      </c>
      <c r="C46" s="38">
        <f>+C5</f>
        <v>275723</v>
      </c>
      <c r="D46" s="49"/>
      <c r="E46" s="49">
        <f>D5</f>
        <v>8454305</v>
      </c>
      <c r="F46" s="49"/>
      <c r="G46" s="125"/>
      <c r="H46" s="51">
        <f>+F5</f>
        <v>5159824</v>
      </c>
      <c r="I46" s="126">
        <f>+E5</f>
        <v>2771320</v>
      </c>
      <c r="J46" s="30">
        <f>+SUM(C46:G46)-(H46+I46)</f>
        <v>798884</v>
      </c>
      <c r="K46" s="144" t="b">
        <f>J46=I5</f>
        <v>1</v>
      </c>
    </row>
    <row r="47" spans="1:11" x14ac:dyDescent="0.3">
      <c r="A47" s="43" t="s">
        <v>62</v>
      </c>
      <c r="B47" s="24"/>
      <c r="C47" s="35"/>
      <c r="D47" s="24"/>
      <c r="E47" s="24"/>
      <c r="F47" s="24"/>
      <c r="G47" s="24"/>
      <c r="H47" s="24"/>
      <c r="I47" s="24"/>
      <c r="J47" s="36"/>
      <c r="K47" s="143"/>
    </row>
    <row r="48" spans="1:11" x14ac:dyDescent="0.3">
      <c r="A48" s="122" t="str">
        <f>+A46</f>
        <v>JUIN</v>
      </c>
      <c r="B48" s="37" t="s">
        <v>24</v>
      </c>
      <c r="C48" s="125">
        <f>+C3</f>
        <v>14703145</v>
      </c>
      <c r="D48" s="132">
        <f>+G3</f>
        <v>17622093</v>
      </c>
      <c r="E48" s="49"/>
      <c r="F48" s="49"/>
      <c r="G48" s="49"/>
      <c r="H48" s="51">
        <f>+F3</f>
        <v>25049328</v>
      </c>
      <c r="I48" s="53">
        <f>+E3</f>
        <v>35235</v>
      </c>
      <c r="J48" s="30">
        <f>+SUM(C48:G48)-(H48+I48)</f>
        <v>7240675</v>
      </c>
      <c r="K48" s="144" t="b">
        <f>+J48=I3</f>
        <v>1</v>
      </c>
    </row>
    <row r="49" spans="1:21" x14ac:dyDescent="0.3">
      <c r="A49" s="122" t="str">
        <f t="shared" ref="A49" si="26">+A48</f>
        <v>JUIN</v>
      </c>
      <c r="B49" s="37" t="s">
        <v>64</v>
      </c>
      <c r="C49" s="125">
        <f>+C4</f>
        <v>499301</v>
      </c>
      <c r="D49" s="49">
        <f>+G4</f>
        <v>0</v>
      </c>
      <c r="E49" s="48"/>
      <c r="F49" s="48"/>
      <c r="G49" s="48">
        <f>+D4</f>
        <v>19049328</v>
      </c>
      <c r="H49" s="32">
        <f>+F4</f>
        <v>2000000</v>
      </c>
      <c r="I49" s="50">
        <f>+E4</f>
        <v>3906424</v>
      </c>
      <c r="J49" s="30">
        <f>+SUM(C49:G49)-(H49+I49)</f>
        <v>13642205</v>
      </c>
      <c r="K49" s="144" t="b">
        <f>+J49=I4</f>
        <v>1</v>
      </c>
    </row>
    <row r="50" spans="1:21" ht="15.6" x14ac:dyDescent="0.3">
      <c r="C50" s="141">
        <f>SUM(C31:C49)</f>
        <v>17011568</v>
      </c>
      <c r="I50" s="140">
        <f>SUM(I31:I49)</f>
        <v>11040109</v>
      </c>
      <c r="J50" s="105">
        <f>+SUM(J31:J49)</f>
        <v>23593552</v>
      </c>
      <c r="K50" s="5" t="b">
        <f>J50=I20</f>
        <v>1</v>
      </c>
    </row>
    <row r="51" spans="1:21" ht="15.6" x14ac:dyDescent="0.3">
      <c r="C51" s="141"/>
      <c r="I51" s="140"/>
      <c r="J51" s="105"/>
    </row>
    <row r="52" spans="1:21" ht="15.6" x14ac:dyDescent="0.3">
      <c r="A52" s="160"/>
      <c r="B52" s="160"/>
      <c r="C52" s="161"/>
      <c r="D52" s="160"/>
      <c r="E52" s="160"/>
      <c r="F52" s="160"/>
      <c r="G52" s="160"/>
      <c r="H52" s="160"/>
      <c r="I52" s="162"/>
      <c r="J52" s="163"/>
      <c r="K52" s="160"/>
      <c r="L52" s="164"/>
      <c r="M52" s="164"/>
      <c r="N52" s="164"/>
      <c r="O52" s="164"/>
      <c r="P52" s="160"/>
    </row>
    <row r="55" spans="1:21" ht="15.6" x14ac:dyDescent="0.3">
      <c r="A55" s="6" t="s">
        <v>36</v>
      </c>
      <c r="B55" s="6" t="s">
        <v>1</v>
      </c>
      <c r="C55" s="6">
        <v>45047</v>
      </c>
      <c r="D55" s="7" t="s">
        <v>37</v>
      </c>
      <c r="E55" s="7" t="s">
        <v>38</v>
      </c>
      <c r="F55" s="7" t="s">
        <v>39</v>
      </c>
      <c r="G55" s="7" t="s">
        <v>40</v>
      </c>
      <c r="H55" s="6">
        <v>45076</v>
      </c>
      <c r="I55" s="7" t="s">
        <v>41</v>
      </c>
      <c r="K55" s="45"/>
      <c r="L55" s="45" t="s">
        <v>42</v>
      </c>
      <c r="M55" s="45" t="s">
        <v>43</v>
      </c>
      <c r="N55" s="45" t="s">
        <v>44</v>
      </c>
      <c r="O55" s="45" t="s">
        <v>45</v>
      </c>
    </row>
    <row r="56" spans="1:21" x14ac:dyDescent="0.3">
      <c r="A56" s="58" t="str">
        <f>K56</f>
        <v>BCI</v>
      </c>
      <c r="B56" s="59" t="s">
        <v>46</v>
      </c>
      <c r="C56" s="61">
        <v>17286490</v>
      </c>
      <c r="D56" s="61">
        <f>+L56</f>
        <v>0</v>
      </c>
      <c r="E56" s="61">
        <f>+N56</f>
        <v>583345</v>
      </c>
      <c r="F56" s="61">
        <f>+M56</f>
        <v>2000000</v>
      </c>
      <c r="G56" s="61">
        <f t="shared" ref="G56:G71" si="27">+O56</f>
        <v>0</v>
      </c>
      <c r="H56" s="61">
        <v>14703145</v>
      </c>
      <c r="I56" s="61">
        <f>+C56+D56-E56-F56+G56</f>
        <v>14703145</v>
      </c>
      <c r="J56" s="9">
        <f>I56-H56</f>
        <v>0</v>
      </c>
      <c r="K56" s="45" t="s">
        <v>24</v>
      </c>
      <c r="L56" s="181">
        <v>0</v>
      </c>
      <c r="M56" s="181">
        <v>2000000</v>
      </c>
      <c r="N56" s="181">
        <v>583345</v>
      </c>
      <c r="O56" s="181">
        <v>0</v>
      </c>
      <c r="R56"/>
      <c r="S56"/>
      <c r="T56"/>
      <c r="U56"/>
    </row>
    <row r="57" spans="1:21" x14ac:dyDescent="0.3">
      <c r="A57" s="58" t="str">
        <f t="shared" ref="A57:A71" si="28">K57</f>
        <v>BCI-Sous Compte</v>
      </c>
      <c r="B57" s="59" t="s">
        <v>46</v>
      </c>
      <c r="C57" s="61">
        <v>5202151</v>
      </c>
      <c r="D57" s="61">
        <f t="shared" ref="D57:D71" si="29">+L57</f>
        <v>0</v>
      </c>
      <c r="E57" s="61">
        <f t="shared" ref="E57:E62" si="30">+N57</f>
        <v>4702850</v>
      </c>
      <c r="F57" s="61">
        <f t="shared" ref="F57:F71" si="31">+M57</f>
        <v>0</v>
      </c>
      <c r="G57" s="61">
        <f t="shared" si="27"/>
        <v>0</v>
      </c>
      <c r="H57" s="61">
        <v>499301</v>
      </c>
      <c r="I57" s="61">
        <f>+C57+D57-E57-F57+G57</f>
        <v>499301</v>
      </c>
      <c r="J57" s="9">
        <f t="shared" ref="J57:J64" si="32">I57-H57</f>
        <v>0</v>
      </c>
      <c r="K57" s="45" t="s">
        <v>148</v>
      </c>
      <c r="L57" s="181">
        <v>0</v>
      </c>
      <c r="M57" s="181">
        <v>0</v>
      </c>
      <c r="N57" s="181">
        <v>4702850</v>
      </c>
      <c r="O57" s="181">
        <v>0</v>
      </c>
      <c r="R57"/>
      <c r="S57"/>
      <c r="T57"/>
      <c r="U57"/>
    </row>
    <row r="58" spans="1:21" x14ac:dyDescent="0.3">
      <c r="A58" s="58" t="str">
        <f t="shared" si="28"/>
        <v>Caisse</v>
      </c>
      <c r="B58" s="59" t="s">
        <v>25</v>
      </c>
      <c r="C58" s="61">
        <v>3813317</v>
      </c>
      <c r="D58" s="61">
        <f t="shared" si="29"/>
        <v>2180000</v>
      </c>
      <c r="E58" s="61">
        <f t="shared" si="30"/>
        <v>1411594</v>
      </c>
      <c r="F58" s="61">
        <f t="shared" si="31"/>
        <v>4306000</v>
      </c>
      <c r="G58" s="61">
        <f t="shared" si="27"/>
        <v>0</v>
      </c>
      <c r="H58" s="61">
        <v>275723</v>
      </c>
      <c r="I58" s="61">
        <f>+C58+D58-E58-F58+G58</f>
        <v>275723</v>
      </c>
      <c r="J58" s="102">
        <f t="shared" si="32"/>
        <v>0</v>
      </c>
      <c r="K58" s="45" t="s">
        <v>25</v>
      </c>
      <c r="L58" s="181">
        <v>2180000</v>
      </c>
      <c r="M58" s="181">
        <v>4306000</v>
      </c>
      <c r="N58" s="181">
        <v>1411594</v>
      </c>
      <c r="O58" s="181">
        <v>0</v>
      </c>
      <c r="R58"/>
      <c r="S58"/>
      <c r="T58"/>
      <c r="U58"/>
    </row>
    <row r="59" spans="1:21" x14ac:dyDescent="0.3">
      <c r="A59" s="58" t="str">
        <f t="shared" si="28"/>
        <v>Crépin</v>
      </c>
      <c r="B59" s="59" t="s">
        <v>154</v>
      </c>
      <c r="C59" s="61">
        <v>74020</v>
      </c>
      <c r="D59" s="61">
        <f t="shared" si="29"/>
        <v>905000</v>
      </c>
      <c r="E59" s="61">
        <f t="shared" si="30"/>
        <v>665400</v>
      </c>
      <c r="F59" s="61">
        <f t="shared" si="31"/>
        <v>73000</v>
      </c>
      <c r="G59" s="61">
        <f t="shared" si="27"/>
        <v>0</v>
      </c>
      <c r="H59" s="61">
        <v>240620</v>
      </c>
      <c r="I59" s="61">
        <f>+C59+D59-E59-F59+G59</f>
        <v>240620</v>
      </c>
      <c r="J59" s="9">
        <f t="shared" si="32"/>
        <v>0</v>
      </c>
      <c r="K59" s="45" t="s">
        <v>47</v>
      </c>
      <c r="L59" s="181">
        <v>905000</v>
      </c>
      <c r="M59" s="181">
        <v>73000</v>
      </c>
      <c r="N59" s="181">
        <v>665400</v>
      </c>
      <c r="O59" s="181">
        <v>0</v>
      </c>
      <c r="R59"/>
      <c r="S59"/>
      <c r="T59"/>
      <c r="U59"/>
    </row>
    <row r="60" spans="1:21" x14ac:dyDescent="0.3">
      <c r="A60" s="58" t="str">
        <f t="shared" si="28"/>
        <v>D58</v>
      </c>
      <c r="B60" s="59" t="s">
        <v>4</v>
      </c>
      <c r="C60" s="61">
        <v>0</v>
      </c>
      <c r="D60" s="61">
        <f t="shared" si="29"/>
        <v>384500</v>
      </c>
      <c r="E60" s="61">
        <f t="shared" si="30"/>
        <v>369800</v>
      </c>
      <c r="F60" s="61">
        <f t="shared" si="31"/>
        <v>0</v>
      </c>
      <c r="G60" s="61">
        <f t="shared" si="27"/>
        <v>0</v>
      </c>
      <c r="H60" s="61">
        <v>14700</v>
      </c>
      <c r="I60" s="61">
        <f>+C60+D60-E60-F60+G60</f>
        <v>14700</v>
      </c>
      <c r="J60" s="9">
        <f t="shared" si="32"/>
        <v>0</v>
      </c>
      <c r="K60" s="45" t="s">
        <v>270</v>
      </c>
      <c r="L60" s="181">
        <v>384500</v>
      </c>
      <c r="M60" s="181">
        <v>0</v>
      </c>
      <c r="N60" s="181">
        <v>369800</v>
      </c>
      <c r="O60" s="181">
        <v>0</v>
      </c>
      <c r="R60"/>
      <c r="S60"/>
      <c r="T60"/>
      <c r="U60"/>
    </row>
    <row r="61" spans="1:21" x14ac:dyDescent="0.3">
      <c r="A61" s="58" t="str">
        <f t="shared" si="28"/>
        <v>Donald</v>
      </c>
      <c r="B61" s="59" t="s">
        <v>154</v>
      </c>
      <c r="C61" s="61">
        <v>28350</v>
      </c>
      <c r="D61" s="61">
        <f t="shared" si="29"/>
        <v>722000</v>
      </c>
      <c r="E61" s="61">
        <f t="shared" si="30"/>
        <v>540360</v>
      </c>
      <c r="F61" s="61">
        <f t="shared" si="31"/>
        <v>98000</v>
      </c>
      <c r="G61" s="61">
        <f t="shared" si="27"/>
        <v>0</v>
      </c>
      <c r="H61" s="61">
        <v>111990</v>
      </c>
      <c r="I61" s="61">
        <f t="shared" ref="I61:I62" si="33">+C61+D61-E61-F61+G61</f>
        <v>111990</v>
      </c>
      <c r="J61" s="9">
        <f t="shared" si="32"/>
        <v>0</v>
      </c>
      <c r="K61" s="45" t="s">
        <v>256</v>
      </c>
      <c r="L61" s="181">
        <v>722000</v>
      </c>
      <c r="M61" s="181">
        <v>98000</v>
      </c>
      <c r="N61" s="181">
        <v>540360</v>
      </c>
      <c r="O61" s="181">
        <v>0</v>
      </c>
      <c r="R61"/>
      <c r="S61"/>
      <c r="T61"/>
      <c r="U61"/>
    </row>
    <row r="62" spans="1:21" x14ac:dyDescent="0.3">
      <c r="A62" s="58" t="str">
        <f t="shared" si="28"/>
        <v>Evariste</v>
      </c>
      <c r="B62" s="59" t="s">
        <v>155</v>
      </c>
      <c r="C62" s="61">
        <v>39425</v>
      </c>
      <c r="D62" s="61">
        <f t="shared" si="29"/>
        <v>211000</v>
      </c>
      <c r="E62" s="61">
        <f t="shared" si="30"/>
        <v>222050</v>
      </c>
      <c r="F62" s="61">
        <f t="shared" si="31"/>
        <v>0</v>
      </c>
      <c r="G62" s="61">
        <f t="shared" si="27"/>
        <v>0</v>
      </c>
      <c r="H62" s="61">
        <v>28375</v>
      </c>
      <c r="I62" s="61">
        <f t="shared" si="33"/>
        <v>28375</v>
      </c>
      <c r="J62" s="9">
        <f t="shared" si="32"/>
        <v>0</v>
      </c>
      <c r="K62" s="45" t="s">
        <v>31</v>
      </c>
      <c r="L62" s="181">
        <v>211000</v>
      </c>
      <c r="M62" s="181">
        <v>0</v>
      </c>
      <c r="N62" s="181">
        <v>222050</v>
      </c>
      <c r="O62" s="181">
        <v>0</v>
      </c>
      <c r="R62"/>
      <c r="S62"/>
      <c r="T62"/>
      <c r="U62"/>
    </row>
    <row r="63" spans="1:21" x14ac:dyDescent="0.3">
      <c r="A63" s="58" t="str">
        <f t="shared" si="28"/>
        <v>I55S</v>
      </c>
      <c r="B63" s="116" t="s">
        <v>4</v>
      </c>
      <c r="C63" s="118">
        <v>233614</v>
      </c>
      <c r="D63" s="118">
        <f t="shared" si="29"/>
        <v>0</v>
      </c>
      <c r="E63" s="118">
        <f>+N63</f>
        <v>0</v>
      </c>
      <c r="F63" s="118">
        <f t="shared" si="31"/>
        <v>0</v>
      </c>
      <c r="G63" s="118">
        <f t="shared" si="27"/>
        <v>0</v>
      </c>
      <c r="H63" s="118">
        <v>233614</v>
      </c>
      <c r="I63" s="118">
        <f>+C63+D63-E63-F63+G63</f>
        <v>233614</v>
      </c>
      <c r="J63" s="9">
        <f t="shared" si="32"/>
        <v>0</v>
      </c>
      <c r="K63" s="45" t="s">
        <v>84</v>
      </c>
      <c r="L63" s="181">
        <v>0</v>
      </c>
      <c r="M63" s="181">
        <v>0</v>
      </c>
      <c r="N63" s="181">
        <v>0</v>
      </c>
      <c r="O63" s="181">
        <v>0</v>
      </c>
      <c r="R63"/>
      <c r="S63"/>
      <c r="T63"/>
      <c r="U63"/>
    </row>
    <row r="64" spans="1:21" x14ac:dyDescent="0.3">
      <c r="A64" s="58" t="str">
        <f t="shared" si="28"/>
        <v>I73X</v>
      </c>
      <c r="B64" s="116" t="s">
        <v>4</v>
      </c>
      <c r="C64" s="118">
        <v>249769</v>
      </c>
      <c r="D64" s="118">
        <f t="shared" si="29"/>
        <v>0</v>
      </c>
      <c r="E64" s="118">
        <f>+N64</f>
        <v>0</v>
      </c>
      <c r="F64" s="118">
        <f t="shared" si="31"/>
        <v>0</v>
      </c>
      <c r="G64" s="118">
        <f t="shared" si="27"/>
        <v>0</v>
      </c>
      <c r="H64" s="118">
        <v>249769</v>
      </c>
      <c r="I64" s="118">
        <f t="shared" ref="I64:I69" si="34">+C64+D64-E64-F64+G64</f>
        <v>249769</v>
      </c>
      <c r="J64" s="9">
        <f t="shared" si="32"/>
        <v>0</v>
      </c>
      <c r="K64" s="45" t="s">
        <v>83</v>
      </c>
      <c r="L64" s="181">
        <v>0</v>
      </c>
      <c r="M64" s="181">
        <v>0</v>
      </c>
      <c r="N64" s="181">
        <v>0</v>
      </c>
      <c r="O64" s="181">
        <v>0</v>
      </c>
      <c r="R64"/>
      <c r="S64"/>
      <c r="T64"/>
      <c r="U64"/>
    </row>
    <row r="65" spans="1:21" s="188" customFormat="1" ht="15.6" x14ac:dyDescent="0.3">
      <c r="A65" s="58" t="str">
        <f t="shared" si="28"/>
        <v>Grace</v>
      </c>
      <c r="B65" s="59" t="s">
        <v>2</v>
      </c>
      <c r="C65" s="184">
        <v>55550</v>
      </c>
      <c r="D65" s="61">
        <f t="shared" si="29"/>
        <v>382000</v>
      </c>
      <c r="E65" s="61">
        <f t="shared" ref="E65:E71" si="35">+N65</f>
        <v>91000</v>
      </c>
      <c r="F65" s="61">
        <f t="shared" si="31"/>
        <v>300000</v>
      </c>
      <c r="G65" s="61">
        <f t="shared" si="27"/>
        <v>0</v>
      </c>
      <c r="H65" s="184">
        <v>46550</v>
      </c>
      <c r="I65" s="184">
        <f t="shared" si="34"/>
        <v>46550</v>
      </c>
      <c r="J65" s="185">
        <f>I65-H65</f>
        <v>0</v>
      </c>
      <c r="K65" s="186" t="s">
        <v>143</v>
      </c>
      <c r="L65" s="181">
        <v>382000</v>
      </c>
      <c r="M65" s="181">
        <v>300000</v>
      </c>
      <c r="N65" s="181">
        <v>91000</v>
      </c>
      <c r="O65" s="181">
        <v>0</v>
      </c>
      <c r="R65"/>
      <c r="S65"/>
      <c r="T65"/>
      <c r="U65"/>
    </row>
    <row r="66" spans="1:21" x14ac:dyDescent="0.3">
      <c r="A66" s="58" t="str">
        <f t="shared" si="28"/>
        <v>Hurielle</v>
      </c>
      <c r="B66" s="98" t="s">
        <v>154</v>
      </c>
      <c r="C66" s="61">
        <v>30005</v>
      </c>
      <c r="D66" s="61">
        <f t="shared" si="29"/>
        <v>335000</v>
      </c>
      <c r="E66" s="61">
        <f t="shared" si="35"/>
        <v>280400</v>
      </c>
      <c r="F66" s="61">
        <f t="shared" si="31"/>
        <v>0</v>
      </c>
      <c r="G66" s="61">
        <f t="shared" si="27"/>
        <v>0</v>
      </c>
      <c r="H66" s="61">
        <v>84605</v>
      </c>
      <c r="I66" s="61">
        <f t="shared" si="34"/>
        <v>84605</v>
      </c>
      <c r="J66" s="9">
        <f t="shared" ref="J66" si="36">I66-H66</f>
        <v>0</v>
      </c>
      <c r="K66" s="45" t="s">
        <v>197</v>
      </c>
      <c r="L66" s="181">
        <v>335000</v>
      </c>
      <c r="M66" s="181">
        <v>0</v>
      </c>
      <c r="N66" s="181">
        <v>280400</v>
      </c>
      <c r="O66" s="181">
        <v>0</v>
      </c>
      <c r="R66"/>
      <c r="S66"/>
      <c r="T66"/>
      <c r="U66"/>
    </row>
    <row r="67" spans="1:21" s="188" customFormat="1" ht="15.6" x14ac:dyDescent="0.3">
      <c r="A67" s="58" t="str">
        <f t="shared" si="28"/>
        <v>Merveille</v>
      </c>
      <c r="B67" s="59" t="s">
        <v>2</v>
      </c>
      <c r="C67" s="184">
        <v>20800</v>
      </c>
      <c r="D67" s="61">
        <f t="shared" si="29"/>
        <v>132000</v>
      </c>
      <c r="E67" s="61">
        <f t="shared" si="35"/>
        <v>160400</v>
      </c>
      <c r="F67" s="61">
        <f t="shared" si="31"/>
        <v>0</v>
      </c>
      <c r="G67" s="61">
        <f t="shared" si="27"/>
        <v>0</v>
      </c>
      <c r="H67" s="184">
        <v>-7600</v>
      </c>
      <c r="I67" s="184">
        <f t="shared" si="34"/>
        <v>-7600</v>
      </c>
      <c r="J67" s="185">
        <f>I67-H67</f>
        <v>0</v>
      </c>
      <c r="K67" s="186" t="s">
        <v>93</v>
      </c>
      <c r="L67" s="181">
        <v>132000</v>
      </c>
      <c r="M67" s="181">
        <v>0</v>
      </c>
      <c r="N67" s="181">
        <v>160400</v>
      </c>
      <c r="O67" s="181">
        <v>0</v>
      </c>
      <c r="R67"/>
      <c r="S67"/>
      <c r="T67"/>
      <c r="U67"/>
    </row>
    <row r="68" spans="1:21" x14ac:dyDescent="0.3">
      <c r="A68" s="58" t="s">
        <v>304</v>
      </c>
      <c r="B68" s="98" t="s">
        <v>154</v>
      </c>
      <c r="C68" s="61">
        <v>0</v>
      </c>
      <c r="D68" s="61">
        <f t="shared" si="29"/>
        <v>35000</v>
      </c>
      <c r="E68" s="61">
        <f t="shared" si="35"/>
        <v>23000</v>
      </c>
      <c r="F68" s="61">
        <f t="shared" si="31"/>
        <v>0</v>
      </c>
      <c r="G68" s="61">
        <f t="shared" si="27"/>
        <v>0</v>
      </c>
      <c r="H68" s="61">
        <v>12000</v>
      </c>
      <c r="I68" s="61">
        <f t="shared" ref="I68" si="37">+C68+D68-E68-F68+G68</f>
        <v>12000</v>
      </c>
      <c r="J68" s="9">
        <f t="shared" ref="J68" si="38">I68-H68</f>
        <v>0</v>
      </c>
      <c r="K68" s="45" t="s">
        <v>304</v>
      </c>
      <c r="L68" s="181">
        <v>35000</v>
      </c>
      <c r="M68" s="181">
        <v>0</v>
      </c>
      <c r="N68" s="181">
        <v>23000</v>
      </c>
      <c r="O68" s="181">
        <v>0</v>
      </c>
      <c r="R68"/>
      <c r="S68"/>
      <c r="T68"/>
      <c r="U68"/>
    </row>
    <row r="69" spans="1:21" x14ac:dyDescent="0.3">
      <c r="A69" s="58" t="str">
        <f t="shared" si="28"/>
        <v>P29</v>
      </c>
      <c r="B69" s="98" t="s">
        <v>4</v>
      </c>
      <c r="C69" s="61">
        <v>11000</v>
      </c>
      <c r="D69" s="61">
        <f t="shared" si="29"/>
        <v>653000</v>
      </c>
      <c r="E69" s="61">
        <f t="shared" si="35"/>
        <v>514200</v>
      </c>
      <c r="F69" s="61">
        <f t="shared" si="31"/>
        <v>0</v>
      </c>
      <c r="G69" s="61">
        <f t="shared" si="27"/>
        <v>0</v>
      </c>
      <c r="H69" s="61">
        <v>149800</v>
      </c>
      <c r="I69" s="61">
        <f t="shared" si="34"/>
        <v>149800</v>
      </c>
      <c r="J69" s="9">
        <f t="shared" ref="J69:J70" si="39">I69-H69</f>
        <v>0</v>
      </c>
      <c r="K69" s="45" t="s">
        <v>29</v>
      </c>
      <c r="L69" s="181">
        <v>653000</v>
      </c>
      <c r="M69" s="181">
        <v>0</v>
      </c>
      <c r="N69" s="181">
        <v>514200</v>
      </c>
      <c r="O69" s="181">
        <v>0</v>
      </c>
      <c r="R69"/>
      <c r="S69"/>
      <c r="T69"/>
      <c r="U69"/>
    </row>
    <row r="70" spans="1:21" x14ac:dyDescent="0.3">
      <c r="A70" s="58" t="str">
        <f t="shared" si="28"/>
        <v>T73</v>
      </c>
      <c r="B70" s="59" t="s">
        <v>4</v>
      </c>
      <c r="C70" s="61">
        <v>173700</v>
      </c>
      <c r="D70" s="61">
        <f t="shared" si="29"/>
        <v>837500</v>
      </c>
      <c r="E70" s="61">
        <f t="shared" si="35"/>
        <v>656900</v>
      </c>
      <c r="F70" s="61">
        <f t="shared" si="31"/>
        <v>0</v>
      </c>
      <c r="G70" s="61">
        <f t="shared" si="27"/>
        <v>0</v>
      </c>
      <c r="H70" s="61">
        <v>354300</v>
      </c>
      <c r="I70" s="61">
        <f>+C70+D70-E70-F70+G70</f>
        <v>354300</v>
      </c>
      <c r="J70" s="9">
        <f t="shared" si="39"/>
        <v>0</v>
      </c>
      <c r="K70" s="45" t="s">
        <v>269</v>
      </c>
      <c r="L70" s="181">
        <v>837500</v>
      </c>
      <c r="M70" s="181">
        <v>0</v>
      </c>
      <c r="N70" s="181">
        <v>656900</v>
      </c>
      <c r="O70" s="181">
        <v>0</v>
      </c>
    </row>
    <row r="71" spans="1:21" x14ac:dyDescent="0.3">
      <c r="A71" s="58" t="str">
        <f t="shared" si="28"/>
        <v>Tiffany</v>
      </c>
      <c r="B71" s="59" t="s">
        <v>2</v>
      </c>
      <c r="C71" s="61">
        <v>24676</v>
      </c>
      <c r="D71" s="61">
        <f t="shared" si="29"/>
        <v>0</v>
      </c>
      <c r="E71" s="61">
        <f t="shared" si="35"/>
        <v>10000</v>
      </c>
      <c r="F71" s="61">
        <f t="shared" si="31"/>
        <v>0</v>
      </c>
      <c r="G71" s="61">
        <f t="shared" si="27"/>
        <v>0</v>
      </c>
      <c r="H71" s="61">
        <v>14676</v>
      </c>
      <c r="I71" s="61">
        <f>+C71+D71-E71-F71+G71</f>
        <v>14676</v>
      </c>
      <c r="J71" s="9">
        <f>I71-H71</f>
        <v>0</v>
      </c>
      <c r="K71" s="45" t="s">
        <v>113</v>
      </c>
      <c r="L71" s="181">
        <v>0</v>
      </c>
      <c r="M71" s="181">
        <v>0</v>
      </c>
      <c r="N71" s="181">
        <v>10000</v>
      </c>
      <c r="O71" s="181">
        <v>0</v>
      </c>
    </row>
    <row r="72" spans="1:21" x14ac:dyDescent="0.3">
      <c r="A72" s="10" t="s">
        <v>50</v>
      </c>
      <c r="B72" s="11"/>
      <c r="C72" s="12">
        <f t="shared" ref="C72:I72" si="40">SUM(C56:C71)</f>
        <v>27242867</v>
      </c>
      <c r="D72" s="57">
        <f t="shared" si="40"/>
        <v>6777000</v>
      </c>
      <c r="E72" s="57">
        <f t="shared" si="40"/>
        <v>10231299</v>
      </c>
      <c r="F72" s="57">
        <f t="shared" si="40"/>
        <v>6777000</v>
      </c>
      <c r="G72" s="57">
        <f t="shared" si="40"/>
        <v>0</v>
      </c>
      <c r="H72" s="57">
        <f t="shared" si="40"/>
        <v>17011568</v>
      </c>
      <c r="I72" s="57">
        <f t="shared" si="40"/>
        <v>17011568</v>
      </c>
      <c r="J72" s="9">
        <f>I72-H72</f>
        <v>0</v>
      </c>
      <c r="K72" s="3"/>
      <c r="L72" s="47">
        <f>+SUM(L56:L71)</f>
        <v>6777000</v>
      </c>
      <c r="M72" s="47">
        <f>+SUM(M56:M71)</f>
        <v>6777000</v>
      </c>
      <c r="N72" s="47">
        <f>+SUM(N56:N71)</f>
        <v>10231299</v>
      </c>
      <c r="O72" s="47">
        <f>+SUM(O56:O71)</f>
        <v>0</v>
      </c>
    </row>
    <row r="73" spans="1:21" x14ac:dyDescent="0.3">
      <c r="A73" s="10"/>
      <c r="B73" s="11"/>
      <c r="C73" s="12"/>
      <c r="D73" s="13"/>
      <c r="E73" s="12"/>
      <c r="F73" s="13"/>
      <c r="G73" s="12"/>
      <c r="H73" s="12"/>
      <c r="I73" s="134" t="b">
        <f>I72=D75</f>
        <v>1</v>
      </c>
      <c r="J73" s="9">
        <f>H72-I72</f>
        <v>0</v>
      </c>
      <c r="L73" s="5"/>
      <c r="M73" s="5"/>
      <c r="N73" s="5"/>
      <c r="O73" s="5"/>
    </row>
    <row r="74" spans="1:21" ht="15.6" x14ac:dyDescent="0.3">
      <c r="A74" s="10" t="s">
        <v>297</v>
      </c>
      <c r="B74" s="11" t="s">
        <v>209</v>
      </c>
      <c r="C74" s="12" t="s">
        <v>208</v>
      </c>
      <c r="D74" s="12" t="s">
        <v>298</v>
      </c>
      <c r="E74" s="12" t="s">
        <v>51</v>
      </c>
      <c r="F74" s="12"/>
      <c r="G74" s="12">
        <f>+D72-F72</f>
        <v>0</v>
      </c>
      <c r="H74" s="12"/>
      <c r="I74" s="216"/>
    </row>
    <row r="75" spans="1:21" x14ac:dyDescent="0.3">
      <c r="A75" s="14">
        <f>C72</f>
        <v>27242867</v>
      </c>
      <c r="B75" s="15">
        <f>G72</f>
        <v>0</v>
      </c>
      <c r="C75" s="12">
        <f>E72</f>
        <v>10231299</v>
      </c>
      <c r="D75" s="12">
        <f>A75+B75-C75</f>
        <v>17011568</v>
      </c>
      <c r="E75" s="13">
        <f>I72-D75</f>
        <v>0</v>
      </c>
      <c r="F75" s="12"/>
      <c r="G75" s="12"/>
      <c r="H75" s="12"/>
      <c r="I75" s="12"/>
    </row>
    <row r="76" spans="1:21" x14ac:dyDescent="0.3">
      <c r="A76" s="14"/>
      <c r="B76" s="15"/>
      <c r="C76" s="12"/>
      <c r="D76" s="12"/>
      <c r="E76" s="13"/>
      <c r="F76" s="12"/>
      <c r="G76" s="12"/>
      <c r="H76" s="12"/>
      <c r="I76" s="12"/>
    </row>
    <row r="77" spans="1:21" x14ac:dyDescent="0.3">
      <c r="A77" s="16" t="s">
        <v>52</v>
      </c>
      <c r="B77" s="16"/>
      <c r="C77" s="16"/>
      <c r="D77" s="17"/>
      <c r="E77" s="17"/>
      <c r="F77" s="17"/>
      <c r="G77" s="17"/>
      <c r="H77" s="17"/>
      <c r="I77" s="17"/>
    </row>
    <row r="78" spans="1:21" x14ac:dyDescent="0.3">
      <c r="A78" s="18" t="s">
        <v>299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21" x14ac:dyDescent="0.3">
      <c r="A79" s="19"/>
      <c r="B79" s="17"/>
      <c r="C79" s="20"/>
      <c r="D79" s="20"/>
      <c r="E79" s="20"/>
      <c r="F79" s="20"/>
      <c r="G79" s="20"/>
      <c r="H79" s="17"/>
      <c r="I79" s="17"/>
    </row>
    <row r="80" spans="1:21" ht="45" customHeight="1" x14ac:dyDescent="0.3">
      <c r="A80" s="265" t="s">
        <v>53</v>
      </c>
      <c r="B80" s="267" t="s">
        <v>54</v>
      </c>
      <c r="C80" s="269" t="s">
        <v>300</v>
      </c>
      <c r="D80" s="271" t="s">
        <v>55</v>
      </c>
      <c r="E80" s="272"/>
      <c r="F80" s="272"/>
      <c r="G80" s="273"/>
      <c r="H80" s="274" t="s">
        <v>56</v>
      </c>
      <c r="I80" s="276" t="s">
        <v>57</v>
      </c>
      <c r="J80" s="212"/>
    </row>
    <row r="81" spans="1:11" ht="28.5" customHeight="1" x14ac:dyDescent="0.3">
      <c r="A81" s="266"/>
      <c r="B81" s="268"/>
      <c r="C81" s="270"/>
      <c r="D81" s="21" t="s">
        <v>24</v>
      </c>
      <c r="E81" s="21" t="s">
        <v>25</v>
      </c>
      <c r="F81" s="270" t="s">
        <v>123</v>
      </c>
      <c r="G81" s="21" t="s">
        <v>58</v>
      </c>
      <c r="H81" s="275"/>
      <c r="I81" s="277"/>
      <c r="J81" s="278" t="s">
        <v>301</v>
      </c>
      <c r="K81" s="143"/>
    </row>
    <row r="82" spans="1:11" x14ac:dyDescent="0.3">
      <c r="A82" s="23"/>
      <c r="B82" s="24" t="s">
        <v>59</v>
      </c>
      <c r="C82" s="25"/>
      <c r="D82" s="25"/>
      <c r="E82" s="25"/>
      <c r="F82" s="25"/>
      <c r="G82" s="25"/>
      <c r="H82" s="25"/>
      <c r="I82" s="26"/>
      <c r="J82" s="278"/>
      <c r="K82" s="143"/>
    </row>
    <row r="83" spans="1:11" x14ac:dyDescent="0.3">
      <c r="A83" s="122" t="s">
        <v>131</v>
      </c>
      <c r="B83" s="127" t="s">
        <v>47</v>
      </c>
      <c r="C83" s="32">
        <f>+C59</f>
        <v>74020</v>
      </c>
      <c r="D83" s="31"/>
      <c r="E83" s="32">
        <f>+D59</f>
        <v>905000</v>
      </c>
      <c r="F83" s="32"/>
      <c r="G83" s="32"/>
      <c r="H83" s="55">
        <f>+F59</f>
        <v>73000</v>
      </c>
      <c r="I83" s="32">
        <f>+E59</f>
        <v>665400</v>
      </c>
      <c r="J83" s="30">
        <f t="shared" ref="J83:J86" si="41">+SUM(C83:G83)-(H83+I83)</f>
        <v>240620</v>
      </c>
      <c r="K83" s="144" t="b">
        <f t="shared" ref="K83:K95" si="42">J83=I59</f>
        <v>1</v>
      </c>
    </row>
    <row r="84" spans="1:11" x14ac:dyDescent="0.3">
      <c r="A84" s="122" t="str">
        <f>+A83</f>
        <v>MAI</v>
      </c>
      <c r="B84" s="127" t="s">
        <v>270</v>
      </c>
      <c r="C84" s="32">
        <f t="shared" ref="C84:C86" si="43">+C60</f>
        <v>0</v>
      </c>
      <c r="D84" s="31"/>
      <c r="E84" s="32">
        <f t="shared" ref="E84:E86" si="44">+D60</f>
        <v>384500</v>
      </c>
      <c r="F84" s="32"/>
      <c r="G84" s="32"/>
      <c r="H84" s="55">
        <f t="shared" ref="H84:H86" si="45">+F60</f>
        <v>0</v>
      </c>
      <c r="I84" s="32">
        <f t="shared" ref="I84:I86" si="46">+E60</f>
        <v>369800</v>
      </c>
      <c r="J84" s="30">
        <f t="shared" si="41"/>
        <v>14700</v>
      </c>
      <c r="K84" s="144" t="b">
        <f t="shared" si="42"/>
        <v>1</v>
      </c>
    </row>
    <row r="85" spans="1:11" x14ac:dyDescent="0.3">
      <c r="A85" s="122" t="str">
        <f t="shared" ref="A85:A95" si="47">+A84</f>
        <v>MAI</v>
      </c>
      <c r="B85" s="127" t="s">
        <v>256</v>
      </c>
      <c r="C85" s="32">
        <f t="shared" si="43"/>
        <v>28350</v>
      </c>
      <c r="D85" s="31"/>
      <c r="E85" s="32">
        <f t="shared" si="44"/>
        <v>722000</v>
      </c>
      <c r="F85" s="32"/>
      <c r="G85" s="32"/>
      <c r="H85" s="55">
        <f t="shared" si="45"/>
        <v>98000</v>
      </c>
      <c r="I85" s="32">
        <f t="shared" si="46"/>
        <v>540360</v>
      </c>
      <c r="J85" s="30">
        <f t="shared" si="41"/>
        <v>111990</v>
      </c>
      <c r="K85" s="144" t="b">
        <f t="shared" si="42"/>
        <v>1</v>
      </c>
    </row>
    <row r="86" spans="1:11" x14ac:dyDescent="0.3">
      <c r="A86" s="122" t="str">
        <f t="shared" si="47"/>
        <v>MAI</v>
      </c>
      <c r="B86" s="127" t="s">
        <v>31</v>
      </c>
      <c r="C86" s="32">
        <f t="shared" si="43"/>
        <v>39425</v>
      </c>
      <c r="D86" s="31"/>
      <c r="E86" s="32">
        <f t="shared" si="44"/>
        <v>211000</v>
      </c>
      <c r="F86" s="32"/>
      <c r="G86" s="32"/>
      <c r="H86" s="55">
        <f t="shared" si="45"/>
        <v>0</v>
      </c>
      <c r="I86" s="32">
        <f t="shared" si="46"/>
        <v>222050</v>
      </c>
      <c r="J86" s="30">
        <f t="shared" si="41"/>
        <v>28375</v>
      </c>
      <c r="K86" s="144" t="b">
        <f t="shared" si="42"/>
        <v>1</v>
      </c>
    </row>
    <row r="87" spans="1:11" x14ac:dyDescent="0.3">
      <c r="A87" s="122" t="str">
        <f t="shared" si="47"/>
        <v>MAI</v>
      </c>
      <c r="B87" s="129" t="s">
        <v>84</v>
      </c>
      <c r="C87" s="120">
        <f>+C63</f>
        <v>233614</v>
      </c>
      <c r="D87" s="123"/>
      <c r="E87" s="120">
        <f>+D63</f>
        <v>0</v>
      </c>
      <c r="F87" s="137"/>
      <c r="G87" s="137"/>
      <c r="H87" s="155">
        <f>+F63</f>
        <v>0</v>
      </c>
      <c r="I87" s="120">
        <f t="shared" ref="I87:I92" si="48">+E63</f>
        <v>0</v>
      </c>
      <c r="J87" s="121">
        <f>+SUM(C87:G87)-(H87+I87)</f>
        <v>233614</v>
      </c>
      <c r="K87" s="144" t="b">
        <f t="shared" si="42"/>
        <v>1</v>
      </c>
    </row>
    <row r="88" spans="1:11" x14ac:dyDescent="0.3">
      <c r="A88" s="122" t="str">
        <f t="shared" si="47"/>
        <v>MAI</v>
      </c>
      <c r="B88" s="129" t="s">
        <v>83</v>
      </c>
      <c r="C88" s="120">
        <f>+C64</f>
        <v>249769</v>
      </c>
      <c r="D88" s="123"/>
      <c r="E88" s="120">
        <f>+D64</f>
        <v>0</v>
      </c>
      <c r="F88" s="137"/>
      <c r="G88" s="137"/>
      <c r="H88" s="155">
        <f>+F64</f>
        <v>0</v>
      </c>
      <c r="I88" s="120">
        <f t="shared" si="48"/>
        <v>0</v>
      </c>
      <c r="J88" s="121">
        <f t="shared" ref="J88:J95" si="49">+SUM(C88:G88)-(H88+I88)</f>
        <v>249769</v>
      </c>
      <c r="K88" s="144" t="b">
        <f t="shared" si="42"/>
        <v>1</v>
      </c>
    </row>
    <row r="89" spans="1:11" x14ac:dyDescent="0.3">
      <c r="A89" s="122" t="str">
        <f t="shared" si="47"/>
        <v>MAI</v>
      </c>
      <c r="B89" s="127" t="s">
        <v>143</v>
      </c>
      <c r="C89" s="32">
        <f>+C65</f>
        <v>55550</v>
      </c>
      <c r="D89" s="31"/>
      <c r="E89" s="32">
        <f>+D65</f>
        <v>382000</v>
      </c>
      <c r="F89" s="32"/>
      <c r="G89" s="104"/>
      <c r="H89" s="55">
        <f>+F65</f>
        <v>300000</v>
      </c>
      <c r="I89" s="32">
        <f t="shared" si="48"/>
        <v>91000</v>
      </c>
      <c r="J89" s="30">
        <f t="shared" si="49"/>
        <v>46550</v>
      </c>
      <c r="K89" s="144" t="b">
        <f t="shared" si="42"/>
        <v>1</v>
      </c>
    </row>
    <row r="90" spans="1:11" x14ac:dyDescent="0.3">
      <c r="A90" s="122" t="str">
        <f t="shared" si="47"/>
        <v>MAI</v>
      </c>
      <c r="B90" s="127" t="s">
        <v>197</v>
      </c>
      <c r="C90" s="32">
        <f t="shared" ref="C90:C95" si="50">+C66</f>
        <v>30005</v>
      </c>
      <c r="D90" s="31"/>
      <c r="E90" s="32">
        <f t="shared" ref="E90:E95" si="51">+D66</f>
        <v>335000</v>
      </c>
      <c r="F90" s="32"/>
      <c r="G90" s="104"/>
      <c r="H90" s="55">
        <f t="shared" ref="H90:H95" si="52">+F66</f>
        <v>0</v>
      </c>
      <c r="I90" s="32">
        <f t="shared" si="48"/>
        <v>280400</v>
      </c>
      <c r="J90" s="30">
        <f t="shared" si="49"/>
        <v>84605</v>
      </c>
      <c r="K90" s="144" t="b">
        <f t="shared" si="42"/>
        <v>1</v>
      </c>
    </row>
    <row r="91" spans="1:11" x14ac:dyDescent="0.3">
      <c r="A91" s="122" t="str">
        <f t="shared" si="47"/>
        <v>MAI</v>
      </c>
      <c r="B91" s="127" t="s">
        <v>93</v>
      </c>
      <c r="C91" s="32">
        <f t="shared" si="50"/>
        <v>20800</v>
      </c>
      <c r="D91" s="31"/>
      <c r="E91" s="32">
        <f t="shared" si="51"/>
        <v>132000</v>
      </c>
      <c r="F91" s="32"/>
      <c r="G91" s="104"/>
      <c r="H91" s="55">
        <f t="shared" si="52"/>
        <v>0</v>
      </c>
      <c r="I91" s="32">
        <f t="shared" si="48"/>
        <v>160400</v>
      </c>
      <c r="J91" s="30">
        <f t="shared" si="49"/>
        <v>-7600</v>
      </c>
      <c r="K91" s="144" t="b">
        <f t="shared" si="42"/>
        <v>1</v>
      </c>
    </row>
    <row r="92" spans="1:11" x14ac:dyDescent="0.3">
      <c r="A92" s="122" t="str">
        <f t="shared" si="47"/>
        <v>MAI</v>
      </c>
      <c r="B92" s="127" t="s">
        <v>304</v>
      </c>
      <c r="C92" s="32">
        <f t="shared" si="50"/>
        <v>0</v>
      </c>
      <c r="D92" s="31"/>
      <c r="E92" s="32">
        <f t="shared" si="51"/>
        <v>35000</v>
      </c>
      <c r="F92" s="32"/>
      <c r="G92" s="104"/>
      <c r="H92" s="55">
        <f t="shared" si="52"/>
        <v>0</v>
      </c>
      <c r="I92" s="32">
        <f t="shared" si="48"/>
        <v>23000</v>
      </c>
      <c r="J92" s="30">
        <f t="shared" ref="J92" si="53">+SUM(C92:G92)-(H92+I92)</f>
        <v>12000</v>
      </c>
      <c r="K92" s="144" t="b">
        <f t="shared" si="42"/>
        <v>1</v>
      </c>
    </row>
    <row r="93" spans="1:11" x14ac:dyDescent="0.3">
      <c r="A93" s="122" t="str">
        <f t="shared" si="47"/>
        <v>MAI</v>
      </c>
      <c r="B93" s="127" t="s">
        <v>29</v>
      </c>
      <c r="C93" s="32">
        <f t="shared" si="50"/>
        <v>11000</v>
      </c>
      <c r="D93" s="31"/>
      <c r="E93" s="32">
        <f t="shared" si="51"/>
        <v>653000</v>
      </c>
      <c r="F93" s="32"/>
      <c r="G93" s="104"/>
      <c r="H93" s="55">
        <f t="shared" si="52"/>
        <v>0</v>
      </c>
      <c r="I93" s="32">
        <f t="shared" ref="I93:I95" si="54">+E69</f>
        <v>514200</v>
      </c>
      <c r="J93" s="30">
        <f t="shared" si="49"/>
        <v>149800</v>
      </c>
      <c r="K93" s="144" t="b">
        <f t="shared" si="42"/>
        <v>1</v>
      </c>
    </row>
    <row r="94" spans="1:11" x14ac:dyDescent="0.3">
      <c r="A94" s="122" t="str">
        <f t="shared" si="47"/>
        <v>MAI</v>
      </c>
      <c r="B94" s="128" t="s">
        <v>269</v>
      </c>
      <c r="C94" s="32">
        <f t="shared" si="50"/>
        <v>173700</v>
      </c>
      <c r="D94" s="119"/>
      <c r="E94" s="32">
        <f t="shared" si="51"/>
        <v>837500</v>
      </c>
      <c r="F94" s="51"/>
      <c r="G94" s="138"/>
      <c r="H94" s="55">
        <f t="shared" si="52"/>
        <v>0</v>
      </c>
      <c r="I94" s="32">
        <f t="shared" si="54"/>
        <v>656900</v>
      </c>
      <c r="J94" s="30">
        <f t="shared" si="49"/>
        <v>354300</v>
      </c>
      <c r="K94" s="144" t="b">
        <f t="shared" si="42"/>
        <v>1</v>
      </c>
    </row>
    <row r="95" spans="1:11" x14ac:dyDescent="0.3">
      <c r="A95" s="122" t="str">
        <f t="shared" si="47"/>
        <v>MAI</v>
      </c>
      <c r="B95" s="128" t="s">
        <v>113</v>
      </c>
      <c r="C95" s="32">
        <f t="shared" si="50"/>
        <v>24676</v>
      </c>
      <c r="D95" s="119"/>
      <c r="E95" s="32">
        <f t="shared" si="51"/>
        <v>0</v>
      </c>
      <c r="F95" s="51"/>
      <c r="G95" s="138"/>
      <c r="H95" s="55">
        <f t="shared" si="52"/>
        <v>0</v>
      </c>
      <c r="I95" s="32">
        <f t="shared" si="54"/>
        <v>10000</v>
      </c>
      <c r="J95" s="30">
        <f t="shared" si="49"/>
        <v>14676</v>
      </c>
      <c r="K95" s="144" t="b">
        <f t="shared" si="42"/>
        <v>1</v>
      </c>
    </row>
    <row r="96" spans="1:11" x14ac:dyDescent="0.3">
      <c r="A96" s="34" t="s">
        <v>60</v>
      </c>
      <c r="B96" s="35"/>
      <c r="C96" s="35"/>
      <c r="D96" s="35"/>
      <c r="E96" s="35"/>
      <c r="F96" s="35"/>
      <c r="G96" s="35"/>
      <c r="H96" s="35"/>
      <c r="I96" s="35"/>
      <c r="J96" s="36"/>
      <c r="K96" s="143"/>
    </row>
    <row r="97" spans="1:21" x14ac:dyDescent="0.3">
      <c r="A97" s="122" t="str">
        <f>A95</f>
        <v>MAI</v>
      </c>
      <c r="B97" s="37" t="s">
        <v>61</v>
      </c>
      <c r="C97" s="38">
        <f>+C58</f>
        <v>3813317</v>
      </c>
      <c r="D97" s="49"/>
      <c r="E97" s="49">
        <f>D58</f>
        <v>2180000</v>
      </c>
      <c r="F97" s="49"/>
      <c r="G97" s="125"/>
      <c r="H97" s="51">
        <f>+F58</f>
        <v>4306000</v>
      </c>
      <c r="I97" s="126">
        <f>+E58</f>
        <v>1411594</v>
      </c>
      <c r="J97" s="30">
        <f>+SUM(C97:G97)-(H97+I97)</f>
        <v>275723</v>
      </c>
      <c r="K97" s="144" t="b">
        <f>J97=I58</f>
        <v>1</v>
      </c>
    </row>
    <row r="98" spans="1:21" x14ac:dyDescent="0.3">
      <c r="A98" s="43" t="s">
        <v>62</v>
      </c>
      <c r="B98" s="24"/>
      <c r="C98" s="35"/>
      <c r="D98" s="24"/>
      <c r="E98" s="24"/>
      <c r="F98" s="24"/>
      <c r="G98" s="24"/>
      <c r="H98" s="24"/>
      <c r="I98" s="24"/>
      <c r="J98" s="36"/>
      <c r="K98" s="143"/>
    </row>
    <row r="99" spans="1:21" x14ac:dyDescent="0.3">
      <c r="A99" s="122" t="str">
        <f>+A97</f>
        <v>MAI</v>
      </c>
      <c r="B99" s="37" t="s">
        <v>24</v>
      </c>
      <c r="C99" s="125">
        <f>+C56</f>
        <v>17286490</v>
      </c>
      <c r="D99" s="132">
        <f>+G56</f>
        <v>0</v>
      </c>
      <c r="E99" s="49"/>
      <c r="F99" s="49"/>
      <c r="G99" s="49"/>
      <c r="H99" s="51">
        <f>+F56</f>
        <v>2000000</v>
      </c>
      <c r="I99" s="53">
        <f>+E56</f>
        <v>583345</v>
      </c>
      <c r="J99" s="30">
        <f>+SUM(C99:G99)-(H99+I99)</f>
        <v>14703145</v>
      </c>
      <c r="K99" s="144" t="b">
        <f>+J99=I56</f>
        <v>1</v>
      </c>
    </row>
    <row r="100" spans="1:21" x14ac:dyDescent="0.3">
      <c r="A100" s="122" t="str">
        <f t="shared" ref="A100" si="55">+A99</f>
        <v>MAI</v>
      </c>
      <c r="B100" s="37" t="s">
        <v>64</v>
      </c>
      <c r="C100" s="125">
        <f>+C57</f>
        <v>5202151</v>
      </c>
      <c r="D100" s="49">
        <f>+G57</f>
        <v>0</v>
      </c>
      <c r="E100" s="48"/>
      <c r="F100" s="48"/>
      <c r="G100" s="48"/>
      <c r="H100" s="32">
        <f>+F57</f>
        <v>0</v>
      </c>
      <c r="I100" s="50">
        <f>+E57</f>
        <v>4702850</v>
      </c>
      <c r="J100" s="30">
        <f>SUM(C100:G100)-(H100+I100)</f>
        <v>499301</v>
      </c>
      <c r="K100" s="144" t="b">
        <f>+J100=I57</f>
        <v>1</v>
      </c>
    </row>
    <row r="101" spans="1:21" ht="15.6" x14ac:dyDescent="0.3">
      <c r="C101" s="141">
        <f>SUM(C83:C100)</f>
        <v>27242867</v>
      </c>
      <c r="I101" s="140">
        <f>SUM(I83:I100)</f>
        <v>10231299</v>
      </c>
      <c r="J101" s="105">
        <f>+SUM(J83:J100)</f>
        <v>17011568</v>
      </c>
      <c r="K101" s="5" t="b">
        <f>J101=I72</f>
        <v>1</v>
      </c>
    </row>
    <row r="102" spans="1:21" ht="15.6" x14ac:dyDescent="0.3">
      <c r="C102" s="141"/>
      <c r="I102" s="140"/>
      <c r="J102" s="105"/>
    </row>
    <row r="103" spans="1:21" ht="15.6" x14ac:dyDescent="0.3">
      <c r="A103" s="160"/>
      <c r="B103" s="160"/>
      <c r="C103" s="161"/>
      <c r="D103" s="160"/>
      <c r="E103" s="160"/>
      <c r="F103" s="160"/>
      <c r="G103" s="160"/>
      <c r="H103" s="160"/>
      <c r="I103" s="162"/>
      <c r="J103" s="163"/>
      <c r="K103" s="160"/>
      <c r="L103" s="164"/>
      <c r="M103" s="164"/>
      <c r="N103" s="164"/>
      <c r="O103" s="164"/>
      <c r="P103" s="160"/>
    </row>
    <row r="106" spans="1:21" ht="15.6" x14ac:dyDescent="0.3">
      <c r="A106" s="6" t="s">
        <v>36</v>
      </c>
      <c r="B106" s="6" t="s">
        <v>1</v>
      </c>
      <c r="C106" s="6">
        <v>45017</v>
      </c>
      <c r="D106" s="7" t="s">
        <v>37</v>
      </c>
      <c r="E106" s="7" t="s">
        <v>38</v>
      </c>
      <c r="F106" s="7" t="s">
        <v>39</v>
      </c>
      <c r="G106" s="7" t="s">
        <v>40</v>
      </c>
      <c r="H106" s="6">
        <v>45046</v>
      </c>
      <c r="I106" s="7" t="s">
        <v>41</v>
      </c>
      <c r="K106" s="45"/>
      <c r="L106" s="45" t="s">
        <v>42</v>
      </c>
      <c r="M106" s="45" t="s">
        <v>43</v>
      </c>
      <c r="N106" s="45" t="s">
        <v>44</v>
      </c>
      <c r="O106" s="45" t="s">
        <v>45</v>
      </c>
    </row>
    <row r="107" spans="1:21" x14ac:dyDescent="0.3">
      <c r="A107" s="58" t="str">
        <f>K107</f>
        <v>BCI</v>
      </c>
      <c r="B107" s="59" t="s">
        <v>46</v>
      </c>
      <c r="C107" s="61">
        <v>19719835</v>
      </c>
      <c r="D107" s="61">
        <f>+L107</f>
        <v>0</v>
      </c>
      <c r="E107" s="61">
        <f>+N107</f>
        <v>433345</v>
      </c>
      <c r="F107" s="61">
        <f>+M107</f>
        <v>2000000</v>
      </c>
      <c r="G107" s="61">
        <f t="shared" ref="G107:G121" si="56">+O107</f>
        <v>0</v>
      </c>
      <c r="H107" s="61">
        <v>17286490</v>
      </c>
      <c r="I107" s="61">
        <f>+C107+D107-E107-F107+G107</f>
        <v>17286490</v>
      </c>
      <c r="J107" s="9">
        <f>I107-H107</f>
        <v>0</v>
      </c>
      <c r="K107" s="45" t="s">
        <v>24</v>
      </c>
      <c r="L107" s="181"/>
      <c r="M107" s="181">
        <v>2000000</v>
      </c>
      <c r="N107" s="181">
        <v>433345</v>
      </c>
      <c r="O107" s="181"/>
      <c r="R107"/>
      <c r="S107"/>
      <c r="T107"/>
      <c r="U107"/>
    </row>
    <row r="108" spans="1:21" x14ac:dyDescent="0.3">
      <c r="A108" s="58" t="str">
        <f t="shared" ref="A108:A121" si="57">K108</f>
        <v>BCI-Sous Compte</v>
      </c>
      <c r="B108" s="59" t="s">
        <v>46</v>
      </c>
      <c r="C108" s="61">
        <v>14616884</v>
      </c>
      <c r="D108" s="61">
        <f t="shared" ref="D108:D119" si="58">+L108</f>
        <v>0</v>
      </c>
      <c r="E108" s="61">
        <f t="shared" ref="E108:E113" si="59">+N108</f>
        <v>5414733</v>
      </c>
      <c r="F108" s="61">
        <f t="shared" ref="F108:F116" si="60">+M108</f>
        <v>4000000</v>
      </c>
      <c r="G108" s="61">
        <f t="shared" si="56"/>
        <v>0</v>
      </c>
      <c r="H108" s="61">
        <v>5202151</v>
      </c>
      <c r="I108" s="61">
        <f>+C108+D108-E108-F108+G108</f>
        <v>5202151</v>
      </c>
      <c r="J108" s="9">
        <f t="shared" ref="J108:J115" si="61">I108-H108</f>
        <v>0</v>
      </c>
      <c r="K108" s="45" t="s">
        <v>148</v>
      </c>
      <c r="L108" s="181"/>
      <c r="M108" s="181">
        <v>4000000</v>
      </c>
      <c r="N108" s="181">
        <v>5414733</v>
      </c>
      <c r="O108" s="181"/>
      <c r="R108"/>
      <c r="S108"/>
      <c r="T108"/>
      <c r="U108"/>
    </row>
    <row r="109" spans="1:21" x14ac:dyDescent="0.3">
      <c r="A109" s="58" t="str">
        <f t="shared" si="57"/>
        <v>Caisse</v>
      </c>
      <c r="B109" s="59" t="s">
        <v>25</v>
      </c>
      <c r="C109" s="61">
        <v>410707</v>
      </c>
      <c r="D109" s="61">
        <f t="shared" si="58"/>
        <v>6276700</v>
      </c>
      <c r="E109" s="61">
        <f t="shared" si="59"/>
        <v>1365190</v>
      </c>
      <c r="F109" s="61">
        <f t="shared" si="60"/>
        <v>1508900</v>
      </c>
      <c r="G109" s="61">
        <f t="shared" si="56"/>
        <v>0</v>
      </c>
      <c r="H109" s="61">
        <v>3813317</v>
      </c>
      <c r="I109" s="61">
        <f>+C109+D109-E109-F109+G109</f>
        <v>3813317</v>
      </c>
      <c r="J109" s="102">
        <f t="shared" si="61"/>
        <v>0</v>
      </c>
      <c r="K109" s="45" t="s">
        <v>25</v>
      </c>
      <c r="L109" s="181">
        <v>6276700</v>
      </c>
      <c r="M109" s="181">
        <v>1508900</v>
      </c>
      <c r="N109" s="181">
        <v>1365190</v>
      </c>
      <c r="O109" s="181"/>
      <c r="R109"/>
      <c r="S109"/>
      <c r="T109"/>
      <c r="U109"/>
    </row>
    <row r="110" spans="1:21" x14ac:dyDescent="0.3">
      <c r="A110" s="58" t="str">
        <f t="shared" si="57"/>
        <v>Crépin</v>
      </c>
      <c r="B110" s="59" t="s">
        <v>154</v>
      </c>
      <c r="C110" s="61">
        <v>206020</v>
      </c>
      <c r="D110" s="61">
        <f t="shared" si="58"/>
        <v>292000</v>
      </c>
      <c r="E110" s="61">
        <f t="shared" si="59"/>
        <v>424000</v>
      </c>
      <c r="F110" s="61">
        <f t="shared" si="60"/>
        <v>0</v>
      </c>
      <c r="G110" s="61">
        <f t="shared" si="56"/>
        <v>0</v>
      </c>
      <c r="H110" s="61">
        <v>74020</v>
      </c>
      <c r="I110" s="61">
        <f>+C110+D110-E110-F110+G110</f>
        <v>74020</v>
      </c>
      <c r="J110" s="9">
        <f t="shared" si="61"/>
        <v>0</v>
      </c>
      <c r="K110" s="45" t="s">
        <v>47</v>
      </c>
      <c r="L110" s="181">
        <v>292000</v>
      </c>
      <c r="M110" s="181">
        <v>0</v>
      </c>
      <c r="N110" s="181">
        <v>424000</v>
      </c>
      <c r="O110" s="181"/>
      <c r="R110"/>
      <c r="S110"/>
      <c r="T110"/>
      <c r="U110"/>
    </row>
    <row r="111" spans="1:21" x14ac:dyDescent="0.3">
      <c r="A111" s="58" t="str">
        <f t="shared" si="57"/>
        <v>D58</v>
      </c>
      <c r="B111" s="59" t="s">
        <v>4</v>
      </c>
      <c r="C111" s="61">
        <v>105100</v>
      </c>
      <c r="D111" s="61">
        <f t="shared" si="58"/>
        <v>34900</v>
      </c>
      <c r="E111" s="61">
        <f t="shared" si="59"/>
        <v>140000</v>
      </c>
      <c r="F111" s="61">
        <f t="shared" si="60"/>
        <v>0</v>
      </c>
      <c r="G111" s="61">
        <f t="shared" si="56"/>
        <v>0</v>
      </c>
      <c r="H111" s="61">
        <v>0</v>
      </c>
      <c r="I111" s="61">
        <f>+C111+D111-E111-F111+G111</f>
        <v>0</v>
      </c>
      <c r="J111" s="9">
        <f t="shared" si="61"/>
        <v>0</v>
      </c>
      <c r="K111" s="45" t="s">
        <v>270</v>
      </c>
      <c r="L111" s="181">
        <v>34900</v>
      </c>
      <c r="M111" s="181">
        <v>0</v>
      </c>
      <c r="N111" s="181">
        <v>140000</v>
      </c>
      <c r="O111" s="181"/>
      <c r="R111"/>
      <c r="S111"/>
      <c r="T111"/>
      <c r="U111"/>
    </row>
    <row r="112" spans="1:21" x14ac:dyDescent="0.3">
      <c r="A112" s="58" t="str">
        <f t="shared" si="57"/>
        <v>Donald</v>
      </c>
      <c r="B112" s="59" t="s">
        <v>154</v>
      </c>
      <c r="C112" s="61">
        <v>19350</v>
      </c>
      <c r="D112" s="61">
        <f t="shared" si="58"/>
        <v>150000</v>
      </c>
      <c r="E112" s="61">
        <f t="shared" si="59"/>
        <v>141000</v>
      </c>
      <c r="F112" s="61">
        <f t="shared" si="60"/>
        <v>0</v>
      </c>
      <c r="G112" s="61">
        <f t="shared" si="56"/>
        <v>0</v>
      </c>
      <c r="H112" s="61">
        <v>28350</v>
      </c>
      <c r="I112" s="61">
        <f t="shared" ref="I112:I113" si="62">+C112+D112-E112-F112+G112</f>
        <v>28350</v>
      </c>
      <c r="J112" s="9">
        <f t="shared" si="61"/>
        <v>0</v>
      </c>
      <c r="K112" s="45" t="s">
        <v>256</v>
      </c>
      <c r="L112" s="181">
        <v>150000</v>
      </c>
      <c r="M112" s="181">
        <v>0</v>
      </c>
      <c r="N112" s="181">
        <v>141000</v>
      </c>
      <c r="O112" s="181"/>
      <c r="R112"/>
      <c r="S112"/>
      <c r="T112"/>
      <c r="U112"/>
    </row>
    <row r="113" spans="1:21" x14ac:dyDescent="0.3">
      <c r="A113" s="58" t="str">
        <f t="shared" si="57"/>
        <v>Evariste</v>
      </c>
      <c r="B113" s="59" t="s">
        <v>155</v>
      </c>
      <c r="C113" s="61">
        <v>25425</v>
      </c>
      <c r="D113" s="61">
        <f t="shared" si="58"/>
        <v>150000</v>
      </c>
      <c r="E113" s="61">
        <f t="shared" si="59"/>
        <v>136000</v>
      </c>
      <c r="F113" s="61">
        <f t="shared" si="60"/>
        <v>0</v>
      </c>
      <c r="G113" s="61">
        <f t="shared" si="56"/>
        <v>0</v>
      </c>
      <c r="H113" s="61">
        <v>39425</v>
      </c>
      <c r="I113" s="61">
        <f t="shared" si="62"/>
        <v>39425</v>
      </c>
      <c r="J113" s="9">
        <f t="shared" si="61"/>
        <v>0</v>
      </c>
      <c r="K113" s="45" t="s">
        <v>31</v>
      </c>
      <c r="L113" s="181">
        <v>150000</v>
      </c>
      <c r="M113" s="181">
        <v>0</v>
      </c>
      <c r="N113" s="181">
        <v>136000</v>
      </c>
      <c r="O113" s="181"/>
      <c r="R113"/>
      <c r="S113"/>
      <c r="T113"/>
      <c r="U113"/>
    </row>
    <row r="114" spans="1:21" x14ac:dyDescent="0.3">
      <c r="A114" s="58" t="str">
        <f t="shared" si="57"/>
        <v>I55S</v>
      </c>
      <c r="B114" s="116" t="s">
        <v>4</v>
      </c>
      <c r="C114" s="118">
        <v>233614</v>
      </c>
      <c r="D114" s="118">
        <f t="shared" si="58"/>
        <v>0</v>
      </c>
      <c r="E114" s="118">
        <f>+N114</f>
        <v>0</v>
      </c>
      <c r="F114" s="118">
        <f t="shared" si="60"/>
        <v>0</v>
      </c>
      <c r="G114" s="118">
        <f t="shared" si="56"/>
        <v>0</v>
      </c>
      <c r="H114" s="118">
        <v>233614</v>
      </c>
      <c r="I114" s="118">
        <f>+C114+D114-E114-F114+G114</f>
        <v>233614</v>
      </c>
      <c r="J114" s="9">
        <f t="shared" si="61"/>
        <v>0</v>
      </c>
      <c r="K114" s="45" t="s">
        <v>84</v>
      </c>
      <c r="L114" s="181"/>
      <c r="M114" s="181"/>
      <c r="N114" s="181"/>
      <c r="O114" s="181"/>
      <c r="R114"/>
      <c r="S114"/>
      <c r="T114"/>
      <c r="U114"/>
    </row>
    <row r="115" spans="1:21" x14ac:dyDescent="0.3">
      <c r="A115" s="58" t="str">
        <f t="shared" si="57"/>
        <v>I73X</v>
      </c>
      <c r="B115" s="116" t="s">
        <v>4</v>
      </c>
      <c r="C115" s="118">
        <v>249769</v>
      </c>
      <c r="D115" s="118">
        <f t="shared" si="58"/>
        <v>0</v>
      </c>
      <c r="E115" s="118">
        <f>+N115</f>
        <v>0</v>
      </c>
      <c r="F115" s="118">
        <f t="shared" si="60"/>
        <v>0</v>
      </c>
      <c r="G115" s="118">
        <f t="shared" si="56"/>
        <v>0</v>
      </c>
      <c r="H115" s="118">
        <v>249769</v>
      </c>
      <c r="I115" s="118">
        <f t="shared" ref="I115:I119" si="63">+C115+D115-E115-F115+G115</f>
        <v>249769</v>
      </c>
      <c r="J115" s="9">
        <f t="shared" si="61"/>
        <v>0</v>
      </c>
      <c r="K115" s="45" t="s">
        <v>83</v>
      </c>
      <c r="L115" s="181"/>
      <c r="M115" s="181"/>
      <c r="N115" s="181"/>
      <c r="O115" s="181"/>
      <c r="R115"/>
      <c r="S115"/>
      <c r="T115"/>
      <c r="U115"/>
    </row>
    <row r="116" spans="1:21" s="188" customFormat="1" ht="15.6" x14ac:dyDescent="0.3">
      <c r="A116" s="58" t="str">
        <f t="shared" si="57"/>
        <v>Grace</v>
      </c>
      <c r="B116" s="59" t="s">
        <v>2</v>
      </c>
      <c r="C116" s="184">
        <v>166600</v>
      </c>
      <c r="D116" s="61">
        <f t="shared" si="58"/>
        <v>150000</v>
      </c>
      <c r="E116" s="61">
        <f t="shared" ref="E116" si="64">+N116</f>
        <v>141050</v>
      </c>
      <c r="F116" s="61">
        <f t="shared" si="60"/>
        <v>120000</v>
      </c>
      <c r="G116" s="61">
        <f t="shared" si="56"/>
        <v>0</v>
      </c>
      <c r="H116" s="184">
        <v>55550</v>
      </c>
      <c r="I116" s="184">
        <f t="shared" si="63"/>
        <v>55550</v>
      </c>
      <c r="J116" s="185">
        <f>I116-H116</f>
        <v>0</v>
      </c>
      <c r="K116" s="186" t="s">
        <v>143</v>
      </c>
      <c r="L116" s="181">
        <v>150000</v>
      </c>
      <c r="M116" s="181">
        <v>120000</v>
      </c>
      <c r="N116" s="181">
        <v>141050</v>
      </c>
      <c r="O116" s="181"/>
      <c r="R116"/>
      <c r="S116"/>
      <c r="T116"/>
      <c r="U116"/>
    </row>
    <row r="117" spans="1:21" x14ac:dyDescent="0.3">
      <c r="A117" s="58" t="str">
        <f t="shared" si="57"/>
        <v>Hurielle</v>
      </c>
      <c r="B117" s="98" t="s">
        <v>154</v>
      </c>
      <c r="C117" s="61">
        <v>28005</v>
      </c>
      <c r="D117" s="61">
        <f t="shared" si="58"/>
        <v>150000</v>
      </c>
      <c r="E117" s="61">
        <f>+N117</f>
        <v>133000</v>
      </c>
      <c r="F117" s="61">
        <f>+M117</f>
        <v>15000</v>
      </c>
      <c r="G117" s="61">
        <f t="shared" si="56"/>
        <v>0</v>
      </c>
      <c r="H117" s="61">
        <v>30005</v>
      </c>
      <c r="I117" s="61">
        <f t="shared" si="63"/>
        <v>30005</v>
      </c>
      <c r="J117" s="9">
        <f t="shared" ref="J117" si="65">I117-H117</f>
        <v>0</v>
      </c>
      <c r="K117" s="45" t="s">
        <v>197</v>
      </c>
      <c r="L117" s="181">
        <v>150000</v>
      </c>
      <c r="M117" s="181">
        <v>15000</v>
      </c>
      <c r="N117" s="181">
        <v>133000</v>
      </c>
      <c r="O117" s="181"/>
      <c r="R117"/>
      <c r="S117"/>
      <c r="T117"/>
      <c r="U117"/>
    </row>
    <row r="118" spans="1:21" s="188" customFormat="1" ht="15.6" x14ac:dyDescent="0.3">
      <c r="A118" s="58" t="str">
        <f t="shared" si="57"/>
        <v>Merveille</v>
      </c>
      <c r="B118" s="59" t="s">
        <v>2</v>
      </c>
      <c r="C118" s="184">
        <v>18800</v>
      </c>
      <c r="D118" s="61">
        <f t="shared" si="58"/>
        <v>150000</v>
      </c>
      <c r="E118" s="61">
        <f t="shared" ref="E118:E121" si="66">+N118</f>
        <v>148000</v>
      </c>
      <c r="F118" s="61">
        <f t="shared" ref="F118:F121" si="67">+M118</f>
        <v>0</v>
      </c>
      <c r="G118" s="61">
        <f t="shared" si="56"/>
        <v>0</v>
      </c>
      <c r="H118" s="184">
        <v>20800</v>
      </c>
      <c r="I118" s="184">
        <f t="shared" si="63"/>
        <v>20800</v>
      </c>
      <c r="J118" s="185">
        <f>I118-H118</f>
        <v>0</v>
      </c>
      <c r="K118" s="186" t="s">
        <v>93</v>
      </c>
      <c r="L118" s="181">
        <v>150000</v>
      </c>
      <c r="M118" s="181">
        <v>0</v>
      </c>
      <c r="N118" s="181">
        <v>148000</v>
      </c>
      <c r="O118" s="181"/>
      <c r="R118"/>
      <c r="S118"/>
      <c r="T118"/>
      <c r="U118"/>
    </row>
    <row r="119" spans="1:21" x14ac:dyDescent="0.3">
      <c r="A119" s="58" t="str">
        <f t="shared" si="57"/>
        <v>P29</v>
      </c>
      <c r="B119" s="98" t="s">
        <v>4</v>
      </c>
      <c r="C119" s="61">
        <v>236000</v>
      </c>
      <c r="D119" s="61">
        <f t="shared" si="58"/>
        <v>270000</v>
      </c>
      <c r="E119" s="61">
        <f t="shared" si="66"/>
        <v>388300</v>
      </c>
      <c r="F119" s="61">
        <f t="shared" si="67"/>
        <v>106700</v>
      </c>
      <c r="G119" s="61">
        <f t="shared" si="56"/>
        <v>0</v>
      </c>
      <c r="H119" s="61">
        <v>11000</v>
      </c>
      <c r="I119" s="61">
        <f t="shared" si="63"/>
        <v>11000</v>
      </c>
      <c r="J119" s="9">
        <f t="shared" ref="J119:J120" si="68">I119-H119</f>
        <v>0</v>
      </c>
      <c r="K119" s="45" t="s">
        <v>29</v>
      </c>
      <c r="L119" s="181">
        <v>270000</v>
      </c>
      <c r="M119" s="181">
        <v>106700</v>
      </c>
      <c r="N119" s="181">
        <v>388300</v>
      </c>
      <c r="O119" s="181"/>
      <c r="R119"/>
      <c r="S119"/>
      <c r="T119"/>
      <c r="U119"/>
    </row>
    <row r="120" spans="1:21" x14ac:dyDescent="0.3">
      <c r="A120" s="58" t="str">
        <f t="shared" si="57"/>
        <v>T73</v>
      </c>
      <c r="B120" s="59" t="s">
        <v>4</v>
      </c>
      <c r="C120" s="61">
        <v>311700</v>
      </c>
      <c r="D120" s="61">
        <f>+L120</f>
        <v>30000</v>
      </c>
      <c r="E120" s="61">
        <f t="shared" si="66"/>
        <v>133000</v>
      </c>
      <c r="F120" s="61">
        <f t="shared" si="67"/>
        <v>35000</v>
      </c>
      <c r="G120" s="61">
        <f t="shared" si="56"/>
        <v>0</v>
      </c>
      <c r="H120" s="61">
        <v>173700</v>
      </c>
      <c r="I120" s="61">
        <f>+C120+D120-E120-F120+G120</f>
        <v>173700</v>
      </c>
      <c r="J120" s="9">
        <f t="shared" si="68"/>
        <v>0</v>
      </c>
      <c r="K120" s="45" t="s">
        <v>269</v>
      </c>
      <c r="L120" s="181">
        <v>30000</v>
      </c>
      <c r="M120" s="181">
        <v>35000</v>
      </c>
      <c r="N120" s="181">
        <v>133000</v>
      </c>
      <c r="O120" s="181"/>
    </row>
    <row r="121" spans="1:21" x14ac:dyDescent="0.3">
      <c r="A121" s="58" t="str">
        <f t="shared" si="57"/>
        <v>Tiffany</v>
      </c>
      <c r="B121" s="59" t="s">
        <v>2</v>
      </c>
      <c r="C121" s="61">
        <v>16676</v>
      </c>
      <c r="D121" s="61">
        <f t="shared" ref="D121" si="69">+L121</f>
        <v>132000</v>
      </c>
      <c r="E121" s="61">
        <f t="shared" si="66"/>
        <v>124000</v>
      </c>
      <c r="F121" s="61">
        <f t="shared" si="67"/>
        <v>0</v>
      </c>
      <c r="G121" s="61">
        <f t="shared" si="56"/>
        <v>0</v>
      </c>
      <c r="H121" s="61">
        <v>24676</v>
      </c>
      <c r="I121" s="61">
        <f>+C121+D121-E121-F121+G121</f>
        <v>24676</v>
      </c>
      <c r="J121" s="9">
        <f>I121-H121</f>
        <v>0</v>
      </c>
      <c r="K121" s="45" t="s">
        <v>113</v>
      </c>
      <c r="L121" s="181">
        <v>132000</v>
      </c>
      <c r="M121" s="181">
        <v>0</v>
      </c>
      <c r="N121" s="181">
        <v>124000</v>
      </c>
      <c r="O121" s="181"/>
    </row>
    <row r="122" spans="1:21" x14ac:dyDescent="0.3">
      <c r="A122" s="10" t="s">
        <v>50</v>
      </c>
      <c r="B122" s="11"/>
      <c r="C122" s="12">
        <f t="shared" ref="C122:I122" si="70">SUM(C107:C121)</f>
        <v>36364485</v>
      </c>
      <c r="D122" s="57">
        <f t="shared" si="70"/>
        <v>7785600</v>
      </c>
      <c r="E122" s="57">
        <f t="shared" si="70"/>
        <v>9121618</v>
      </c>
      <c r="F122" s="57">
        <f t="shared" si="70"/>
        <v>7785600</v>
      </c>
      <c r="G122" s="57">
        <f t="shared" si="70"/>
        <v>0</v>
      </c>
      <c r="H122" s="57">
        <f t="shared" si="70"/>
        <v>27242867</v>
      </c>
      <c r="I122" s="57">
        <f t="shared" si="70"/>
        <v>27242867</v>
      </c>
      <c r="J122" s="9">
        <f>I122-H122</f>
        <v>0</v>
      </c>
      <c r="K122" s="3"/>
      <c r="L122" s="47">
        <f>+SUM(L107:L121)</f>
        <v>7785600</v>
      </c>
      <c r="M122" s="47">
        <f>+SUM(M107:M121)</f>
        <v>7785600</v>
      </c>
      <c r="N122" s="47">
        <f>+SUM(N107:N121)</f>
        <v>9121618</v>
      </c>
      <c r="O122" s="47">
        <f>+SUM(O107:O121)</f>
        <v>0</v>
      </c>
    </row>
    <row r="123" spans="1:21" x14ac:dyDescent="0.3">
      <c r="A123" s="10"/>
      <c r="B123" s="11"/>
      <c r="C123" s="12"/>
      <c r="D123" s="13"/>
      <c r="E123" s="12"/>
      <c r="F123" s="13"/>
      <c r="G123" s="12"/>
      <c r="H123" s="12"/>
      <c r="I123" s="134" t="b">
        <f>I122=D125</f>
        <v>1</v>
      </c>
      <c r="J123" s="9">
        <f>H122-I122</f>
        <v>0</v>
      </c>
      <c r="L123" s="5"/>
      <c r="M123" s="5"/>
      <c r="N123" s="5"/>
      <c r="O123" s="5"/>
    </row>
    <row r="124" spans="1:21" ht="15.6" x14ac:dyDescent="0.3">
      <c r="A124" s="10" t="s">
        <v>291</v>
      </c>
      <c r="B124" s="11" t="s">
        <v>202</v>
      </c>
      <c r="C124" s="12" t="s">
        <v>203</v>
      </c>
      <c r="D124" s="12" t="s">
        <v>292</v>
      </c>
      <c r="E124" s="12" t="s">
        <v>51</v>
      </c>
      <c r="F124" s="12"/>
      <c r="G124" s="12">
        <f>+D122-F122</f>
        <v>0</v>
      </c>
      <c r="H124" s="12"/>
      <c r="I124" s="216"/>
    </row>
    <row r="125" spans="1:21" x14ac:dyDescent="0.3">
      <c r="A125" s="14">
        <f>C122</f>
        <v>36364485</v>
      </c>
      <c r="B125" s="15">
        <f>G122</f>
        <v>0</v>
      </c>
      <c r="C125" s="12">
        <f>E122</f>
        <v>9121618</v>
      </c>
      <c r="D125" s="12">
        <f>A125+B125-C125</f>
        <v>27242867</v>
      </c>
      <c r="E125" s="13">
        <f>I122-D125</f>
        <v>0</v>
      </c>
      <c r="F125" s="12"/>
      <c r="G125" s="12"/>
      <c r="H125" s="12"/>
      <c r="I125" s="12"/>
    </row>
    <row r="126" spans="1:21" x14ac:dyDescent="0.3">
      <c r="A126" s="14"/>
      <c r="B126" s="15"/>
      <c r="C126" s="12"/>
      <c r="D126" s="12"/>
      <c r="E126" s="13"/>
      <c r="F126" s="12"/>
      <c r="G126" s="12"/>
      <c r="H126" s="12"/>
      <c r="I126" s="12"/>
    </row>
    <row r="127" spans="1:21" x14ac:dyDescent="0.3">
      <c r="A127" s="16" t="s">
        <v>52</v>
      </c>
      <c r="B127" s="16"/>
      <c r="C127" s="16"/>
      <c r="D127" s="17"/>
      <c r="E127" s="17"/>
      <c r="F127" s="17"/>
      <c r="G127" s="17"/>
      <c r="H127" s="17"/>
      <c r="I127" s="17"/>
    </row>
    <row r="128" spans="1:21" x14ac:dyDescent="0.3">
      <c r="A128" s="18" t="s">
        <v>293</v>
      </c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1" x14ac:dyDescent="0.3">
      <c r="A129" s="19"/>
      <c r="B129" s="17"/>
      <c r="C129" s="20"/>
      <c r="D129" s="20"/>
      <c r="E129" s="20"/>
      <c r="F129" s="20"/>
      <c r="G129" s="20"/>
      <c r="H129" s="17"/>
      <c r="I129" s="17"/>
    </row>
    <row r="130" spans="1:11" ht="45" customHeight="1" x14ac:dyDescent="0.3">
      <c r="A130" s="169" t="s">
        <v>53</v>
      </c>
      <c r="B130" s="171" t="s">
        <v>54</v>
      </c>
      <c r="C130" s="173" t="s">
        <v>294</v>
      </c>
      <c r="D130" s="174" t="s">
        <v>55</v>
      </c>
      <c r="E130" s="175"/>
      <c r="F130" s="175"/>
      <c r="G130" s="176"/>
      <c r="H130" s="177" t="s">
        <v>56</v>
      </c>
      <c r="I130" s="165" t="s">
        <v>57</v>
      </c>
      <c r="J130" s="212"/>
    </row>
    <row r="131" spans="1:11" ht="28.5" customHeight="1" x14ac:dyDescent="0.3">
      <c r="A131" s="170"/>
      <c r="B131" s="172"/>
      <c r="C131" s="22"/>
      <c r="D131" s="21" t="s">
        <v>24</v>
      </c>
      <c r="E131" s="21" t="s">
        <v>25</v>
      </c>
      <c r="F131" s="22" t="s">
        <v>123</v>
      </c>
      <c r="G131" s="21" t="s">
        <v>58</v>
      </c>
      <c r="H131" s="178"/>
      <c r="I131" s="166"/>
      <c r="J131" s="168" t="s">
        <v>295</v>
      </c>
      <c r="K131" s="143"/>
    </row>
    <row r="132" spans="1:11" x14ac:dyDescent="0.3">
      <c r="A132" s="23"/>
      <c r="B132" s="24" t="s">
        <v>59</v>
      </c>
      <c r="C132" s="25"/>
      <c r="D132" s="25"/>
      <c r="E132" s="25"/>
      <c r="F132" s="25"/>
      <c r="G132" s="25"/>
      <c r="H132" s="25"/>
      <c r="I132" s="26"/>
      <c r="J132" s="168"/>
      <c r="K132" s="143"/>
    </row>
    <row r="133" spans="1:11" x14ac:dyDescent="0.3">
      <c r="A133" s="122" t="s">
        <v>127</v>
      </c>
      <c r="B133" s="127" t="s">
        <v>47</v>
      </c>
      <c r="C133" s="32">
        <f>+C110</f>
        <v>206020</v>
      </c>
      <c r="D133" s="31"/>
      <c r="E133" s="32">
        <f>+D110</f>
        <v>292000</v>
      </c>
      <c r="F133" s="32"/>
      <c r="G133" s="32"/>
      <c r="H133" s="55">
        <f>+F110</f>
        <v>0</v>
      </c>
      <c r="I133" s="32">
        <f>+E110</f>
        <v>424000</v>
      </c>
      <c r="J133" s="30">
        <f t="shared" ref="J133:J136" si="71">+SUM(C133:G133)-(H133+I133)</f>
        <v>74020</v>
      </c>
      <c r="K133" s="144" t="b">
        <f t="shared" ref="K133:K144" si="72">J133=I110</f>
        <v>1</v>
      </c>
    </row>
    <row r="134" spans="1:11" x14ac:dyDescent="0.3">
      <c r="A134" s="122" t="str">
        <f>+A133</f>
        <v>AVRIL</v>
      </c>
      <c r="B134" s="127" t="s">
        <v>270</v>
      </c>
      <c r="C134" s="32">
        <f t="shared" ref="C134:C136" si="73">+C111</f>
        <v>105100</v>
      </c>
      <c r="D134" s="31"/>
      <c r="E134" s="32">
        <f t="shared" ref="E134:E136" si="74">+D111</f>
        <v>34900</v>
      </c>
      <c r="F134" s="32"/>
      <c r="G134" s="32"/>
      <c r="H134" s="55">
        <f t="shared" ref="H134:H136" si="75">+F111</f>
        <v>0</v>
      </c>
      <c r="I134" s="32">
        <f t="shared" ref="I134:I136" si="76">+E111</f>
        <v>140000</v>
      </c>
      <c r="J134" s="30">
        <f t="shared" si="71"/>
        <v>0</v>
      </c>
      <c r="K134" s="144" t="b">
        <f t="shared" si="72"/>
        <v>1</v>
      </c>
    </row>
    <row r="135" spans="1:11" x14ac:dyDescent="0.3">
      <c r="A135" s="122" t="str">
        <f t="shared" ref="A135:A144" si="77">+A134</f>
        <v>AVRIL</v>
      </c>
      <c r="B135" s="127" t="s">
        <v>256</v>
      </c>
      <c r="C135" s="32">
        <f t="shared" si="73"/>
        <v>19350</v>
      </c>
      <c r="D135" s="31"/>
      <c r="E135" s="32">
        <f t="shared" si="74"/>
        <v>150000</v>
      </c>
      <c r="F135" s="32"/>
      <c r="G135" s="32"/>
      <c r="H135" s="55">
        <f t="shared" si="75"/>
        <v>0</v>
      </c>
      <c r="I135" s="32">
        <f t="shared" si="76"/>
        <v>141000</v>
      </c>
      <c r="J135" s="30">
        <f t="shared" si="71"/>
        <v>28350</v>
      </c>
      <c r="K135" s="144" t="b">
        <f t="shared" si="72"/>
        <v>1</v>
      </c>
    </row>
    <row r="136" spans="1:11" x14ac:dyDescent="0.3">
      <c r="A136" s="122" t="str">
        <f t="shared" si="77"/>
        <v>AVRIL</v>
      </c>
      <c r="B136" s="127" t="s">
        <v>31</v>
      </c>
      <c r="C136" s="32">
        <f t="shared" si="73"/>
        <v>25425</v>
      </c>
      <c r="D136" s="31"/>
      <c r="E136" s="32">
        <f t="shared" si="74"/>
        <v>150000</v>
      </c>
      <c r="F136" s="32"/>
      <c r="G136" s="32"/>
      <c r="H136" s="55">
        <f t="shared" si="75"/>
        <v>0</v>
      </c>
      <c r="I136" s="32">
        <f t="shared" si="76"/>
        <v>136000</v>
      </c>
      <c r="J136" s="30">
        <f t="shared" si="71"/>
        <v>39425</v>
      </c>
      <c r="K136" s="144" t="b">
        <f t="shared" si="72"/>
        <v>1</v>
      </c>
    </row>
    <row r="137" spans="1:11" x14ac:dyDescent="0.3">
      <c r="A137" s="122" t="str">
        <f t="shared" si="77"/>
        <v>AVRIL</v>
      </c>
      <c r="B137" s="129" t="s">
        <v>84</v>
      </c>
      <c r="C137" s="120">
        <f>+C114</f>
        <v>233614</v>
      </c>
      <c r="D137" s="123"/>
      <c r="E137" s="120">
        <f>+D114</f>
        <v>0</v>
      </c>
      <c r="F137" s="137"/>
      <c r="G137" s="137"/>
      <c r="H137" s="155">
        <f>+F114</f>
        <v>0</v>
      </c>
      <c r="I137" s="120">
        <f>+E114</f>
        <v>0</v>
      </c>
      <c r="J137" s="121">
        <f>+SUM(C137:G137)-(H137+I137)</f>
        <v>233614</v>
      </c>
      <c r="K137" s="144" t="b">
        <f t="shared" si="72"/>
        <v>1</v>
      </c>
    </row>
    <row r="138" spans="1:11" x14ac:dyDescent="0.3">
      <c r="A138" s="122" t="str">
        <f t="shared" si="77"/>
        <v>AVRIL</v>
      </c>
      <c r="B138" s="129" t="s">
        <v>83</v>
      </c>
      <c r="C138" s="120">
        <f>+C115</f>
        <v>249769</v>
      </c>
      <c r="D138" s="123"/>
      <c r="E138" s="120">
        <f>+D115</f>
        <v>0</v>
      </c>
      <c r="F138" s="137"/>
      <c r="G138" s="137"/>
      <c r="H138" s="155">
        <f>+F115</f>
        <v>0</v>
      </c>
      <c r="I138" s="120">
        <f>+E115</f>
        <v>0</v>
      </c>
      <c r="J138" s="121">
        <f t="shared" ref="J138:J144" si="78">+SUM(C138:G138)-(H138+I138)</f>
        <v>249769</v>
      </c>
      <c r="K138" s="144" t="b">
        <f t="shared" si="72"/>
        <v>1</v>
      </c>
    </row>
    <row r="139" spans="1:11" x14ac:dyDescent="0.3">
      <c r="A139" s="122" t="str">
        <f t="shared" si="77"/>
        <v>AVRIL</v>
      </c>
      <c r="B139" s="127" t="s">
        <v>143</v>
      </c>
      <c r="C139" s="32">
        <f>+C116</f>
        <v>166600</v>
      </c>
      <c r="D139" s="31"/>
      <c r="E139" s="32">
        <f>+D116</f>
        <v>150000</v>
      </c>
      <c r="F139" s="32"/>
      <c r="G139" s="104"/>
      <c r="H139" s="55">
        <f>+F116</f>
        <v>120000</v>
      </c>
      <c r="I139" s="32">
        <f>+E116</f>
        <v>141050</v>
      </c>
      <c r="J139" s="30">
        <f t="shared" si="78"/>
        <v>55550</v>
      </c>
      <c r="K139" s="144" t="b">
        <f t="shared" si="72"/>
        <v>1</v>
      </c>
    </row>
    <row r="140" spans="1:11" x14ac:dyDescent="0.3">
      <c r="A140" s="122" t="str">
        <f t="shared" si="77"/>
        <v>AVRIL</v>
      </c>
      <c r="B140" s="127" t="s">
        <v>197</v>
      </c>
      <c r="C140" s="32">
        <f>+C117</f>
        <v>28005</v>
      </c>
      <c r="D140" s="31"/>
      <c r="E140" s="32">
        <f>+D117</f>
        <v>150000</v>
      </c>
      <c r="F140" s="32"/>
      <c r="G140" s="104"/>
      <c r="H140" s="55">
        <f>+F117</f>
        <v>15000</v>
      </c>
      <c r="I140" s="32">
        <f>+E117</f>
        <v>133000</v>
      </c>
      <c r="J140" s="30">
        <f t="shared" si="78"/>
        <v>30005</v>
      </c>
      <c r="K140" s="144" t="b">
        <f t="shared" si="72"/>
        <v>1</v>
      </c>
    </row>
    <row r="141" spans="1:11" x14ac:dyDescent="0.3">
      <c r="A141" s="122" t="str">
        <f>A140</f>
        <v>AVRIL</v>
      </c>
      <c r="B141" s="127" t="s">
        <v>93</v>
      </c>
      <c r="C141" s="32">
        <f t="shared" ref="C141:C144" si="79">+C118</f>
        <v>18800</v>
      </c>
      <c r="D141" s="31"/>
      <c r="E141" s="32">
        <f t="shared" ref="E141:E144" si="80">+D118</f>
        <v>150000</v>
      </c>
      <c r="F141" s="32"/>
      <c r="G141" s="104"/>
      <c r="H141" s="55">
        <f t="shared" ref="H141:H144" si="81">+F118</f>
        <v>0</v>
      </c>
      <c r="I141" s="32">
        <f t="shared" ref="I141:I144" si="82">+E118</f>
        <v>148000</v>
      </c>
      <c r="J141" s="30">
        <f t="shared" si="78"/>
        <v>20800</v>
      </c>
      <c r="K141" s="144" t="b">
        <f t="shared" si="72"/>
        <v>1</v>
      </c>
    </row>
    <row r="142" spans="1:11" x14ac:dyDescent="0.3">
      <c r="A142" s="122" t="str">
        <f t="shared" si="77"/>
        <v>AVRIL</v>
      </c>
      <c r="B142" s="127" t="s">
        <v>29</v>
      </c>
      <c r="C142" s="32">
        <f t="shared" si="79"/>
        <v>236000</v>
      </c>
      <c r="D142" s="31"/>
      <c r="E142" s="32">
        <f t="shared" si="80"/>
        <v>270000</v>
      </c>
      <c r="F142" s="32"/>
      <c r="G142" s="104"/>
      <c r="H142" s="55">
        <f t="shared" si="81"/>
        <v>106700</v>
      </c>
      <c r="I142" s="32">
        <f t="shared" si="82"/>
        <v>388300</v>
      </c>
      <c r="J142" s="30">
        <f t="shared" si="78"/>
        <v>11000</v>
      </c>
      <c r="K142" s="144" t="b">
        <f t="shared" si="72"/>
        <v>1</v>
      </c>
    </row>
    <row r="143" spans="1:11" x14ac:dyDescent="0.3">
      <c r="A143" s="122" t="str">
        <f t="shared" si="77"/>
        <v>AVRIL</v>
      </c>
      <c r="B143" s="128" t="s">
        <v>269</v>
      </c>
      <c r="C143" s="32">
        <f t="shared" si="79"/>
        <v>311700</v>
      </c>
      <c r="D143" s="119"/>
      <c r="E143" s="32">
        <f t="shared" si="80"/>
        <v>30000</v>
      </c>
      <c r="F143" s="51"/>
      <c r="G143" s="138"/>
      <c r="H143" s="55">
        <f t="shared" si="81"/>
        <v>35000</v>
      </c>
      <c r="I143" s="32">
        <f t="shared" si="82"/>
        <v>133000</v>
      </c>
      <c r="J143" s="30">
        <f t="shared" si="78"/>
        <v>173700</v>
      </c>
      <c r="K143" s="144" t="b">
        <f t="shared" si="72"/>
        <v>1</v>
      </c>
    </row>
    <row r="144" spans="1:11" x14ac:dyDescent="0.3">
      <c r="A144" s="122" t="str">
        <f t="shared" si="77"/>
        <v>AVRIL</v>
      </c>
      <c r="B144" s="128" t="s">
        <v>113</v>
      </c>
      <c r="C144" s="32">
        <f t="shared" si="79"/>
        <v>16676</v>
      </c>
      <c r="D144" s="119"/>
      <c r="E144" s="32">
        <f t="shared" si="80"/>
        <v>132000</v>
      </c>
      <c r="F144" s="51"/>
      <c r="G144" s="138"/>
      <c r="H144" s="55">
        <f t="shared" si="81"/>
        <v>0</v>
      </c>
      <c r="I144" s="32">
        <f t="shared" si="82"/>
        <v>124000</v>
      </c>
      <c r="J144" s="30">
        <f t="shared" si="78"/>
        <v>24676</v>
      </c>
      <c r="K144" s="144" t="b">
        <f t="shared" si="72"/>
        <v>1</v>
      </c>
    </row>
    <row r="145" spans="1:21" x14ac:dyDescent="0.3">
      <c r="A145" s="34" t="s">
        <v>60</v>
      </c>
      <c r="B145" s="35"/>
      <c r="C145" s="35"/>
      <c r="D145" s="35"/>
      <c r="E145" s="35"/>
      <c r="F145" s="35"/>
      <c r="G145" s="35"/>
      <c r="H145" s="35"/>
      <c r="I145" s="35"/>
      <c r="J145" s="36"/>
      <c r="K145" s="143"/>
    </row>
    <row r="146" spans="1:21" x14ac:dyDescent="0.3">
      <c r="A146" s="122" t="str">
        <f>A144</f>
        <v>AVRIL</v>
      </c>
      <c r="B146" s="37" t="s">
        <v>61</v>
      </c>
      <c r="C146" s="38">
        <f>+C109</f>
        <v>410707</v>
      </c>
      <c r="D146" s="49"/>
      <c r="E146" s="49">
        <f>D109</f>
        <v>6276700</v>
      </c>
      <c r="F146" s="49"/>
      <c r="G146" s="125"/>
      <c r="H146" s="51">
        <f>+F109</f>
        <v>1508900</v>
      </c>
      <c r="I146" s="126">
        <f>+E109</f>
        <v>1365190</v>
      </c>
      <c r="J146" s="30">
        <f>+SUM(C146:G146)-(H146+I146)</f>
        <v>3813317</v>
      </c>
      <c r="K146" s="144" t="b">
        <f>J146=I109</f>
        <v>1</v>
      </c>
    </row>
    <row r="147" spans="1:21" x14ac:dyDescent="0.3">
      <c r="A147" s="43" t="s">
        <v>62</v>
      </c>
      <c r="B147" s="24"/>
      <c r="C147" s="35"/>
      <c r="D147" s="24"/>
      <c r="E147" s="24"/>
      <c r="F147" s="24"/>
      <c r="G147" s="24"/>
      <c r="H147" s="24"/>
      <c r="I147" s="24"/>
      <c r="J147" s="36"/>
      <c r="K147" s="143"/>
    </row>
    <row r="148" spans="1:21" x14ac:dyDescent="0.3">
      <c r="A148" s="122" t="str">
        <f>+A146</f>
        <v>AVRIL</v>
      </c>
      <c r="B148" s="37" t="s">
        <v>24</v>
      </c>
      <c r="C148" s="125">
        <f>+C107</f>
        <v>19719835</v>
      </c>
      <c r="D148" s="132">
        <f>+G107</f>
        <v>0</v>
      </c>
      <c r="E148" s="49"/>
      <c r="F148" s="49"/>
      <c r="G148" s="49"/>
      <c r="H148" s="51">
        <f>+F107</f>
        <v>2000000</v>
      </c>
      <c r="I148" s="53">
        <f>+E107</f>
        <v>433345</v>
      </c>
      <c r="J148" s="30">
        <f>+SUM(C148:G148)-(H148+I148)</f>
        <v>17286490</v>
      </c>
      <c r="K148" s="144" t="b">
        <f>+J148=I107</f>
        <v>1</v>
      </c>
    </row>
    <row r="149" spans="1:21" x14ac:dyDescent="0.3">
      <c r="A149" s="122" t="str">
        <f t="shared" ref="A149" si="83">+A148</f>
        <v>AVRIL</v>
      </c>
      <c r="B149" s="37" t="s">
        <v>64</v>
      </c>
      <c r="C149" s="125">
        <f>+C108</f>
        <v>14616884</v>
      </c>
      <c r="D149" s="49">
        <f>+G108</f>
        <v>0</v>
      </c>
      <c r="E149" s="48"/>
      <c r="F149" s="48"/>
      <c r="G149" s="48"/>
      <c r="H149" s="32">
        <f>+F108</f>
        <v>4000000</v>
      </c>
      <c r="I149" s="50">
        <f>+E108</f>
        <v>5414733</v>
      </c>
      <c r="J149" s="30">
        <f>SUM(C149:G149)-(H149+I149)</f>
        <v>5202151</v>
      </c>
      <c r="K149" s="144" t="b">
        <f>+J149=I108</f>
        <v>1</v>
      </c>
    </row>
    <row r="150" spans="1:21" ht="15.6" x14ac:dyDescent="0.3">
      <c r="C150" s="141">
        <f>SUM(C133:C149)</f>
        <v>36364485</v>
      </c>
      <c r="I150" s="140">
        <f>SUM(I133:I149)</f>
        <v>9121618</v>
      </c>
      <c r="J150" s="105">
        <f>+SUM(J133:J149)</f>
        <v>27242867</v>
      </c>
      <c r="K150" s="5" t="b">
        <f>J150=I122</f>
        <v>1</v>
      </c>
    </row>
    <row r="151" spans="1:21" ht="15.6" x14ac:dyDescent="0.3">
      <c r="C151" s="141"/>
      <c r="I151" s="140"/>
      <c r="J151" s="105"/>
    </row>
    <row r="152" spans="1:21" ht="15.6" x14ac:dyDescent="0.3">
      <c r="A152" s="160"/>
      <c r="B152" s="160"/>
      <c r="C152" s="161"/>
      <c r="D152" s="160"/>
      <c r="E152" s="160"/>
      <c r="F152" s="160"/>
      <c r="G152" s="160"/>
      <c r="H152" s="160"/>
      <c r="I152" s="162"/>
      <c r="J152" s="163"/>
      <c r="K152" s="160"/>
      <c r="L152" s="164"/>
      <c r="M152" s="164"/>
      <c r="N152" s="164"/>
      <c r="O152" s="164"/>
      <c r="P152" s="160"/>
    </row>
    <row r="154" spans="1:21" ht="15.6" x14ac:dyDescent="0.3">
      <c r="A154" s="6" t="s">
        <v>36</v>
      </c>
      <c r="B154" s="6" t="s">
        <v>1</v>
      </c>
      <c r="C154" s="6">
        <v>44986</v>
      </c>
      <c r="D154" s="7" t="s">
        <v>37</v>
      </c>
      <c r="E154" s="7" t="s">
        <v>38</v>
      </c>
      <c r="F154" s="7" t="s">
        <v>39</v>
      </c>
      <c r="G154" s="7" t="s">
        <v>40</v>
      </c>
      <c r="H154" s="6">
        <v>45016</v>
      </c>
      <c r="I154" s="7" t="s">
        <v>41</v>
      </c>
      <c r="K154" s="45"/>
      <c r="L154" s="45" t="s">
        <v>42</v>
      </c>
      <c r="M154" s="45" t="s">
        <v>43</v>
      </c>
      <c r="N154" s="45" t="s">
        <v>44</v>
      </c>
      <c r="O154" s="45" t="s">
        <v>45</v>
      </c>
    </row>
    <row r="155" spans="1:21" x14ac:dyDescent="0.3">
      <c r="A155" s="58" t="str">
        <f>K155</f>
        <v>BCI</v>
      </c>
      <c r="B155" s="59" t="s">
        <v>46</v>
      </c>
      <c r="C155" s="61">
        <v>4918207</v>
      </c>
      <c r="D155" s="61">
        <f>+L155</f>
        <v>0</v>
      </c>
      <c r="E155" s="61">
        <f>+N155</f>
        <v>693345</v>
      </c>
      <c r="F155" s="61">
        <f>+M155</f>
        <v>2000000</v>
      </c>
      <c r="G155" s="61">
        <f t="shared" ref="G155:G169" si="84">+O155</f>
        <v>17494973</v>
      </c>
      <c r="H155" s="61">
        <v>19719835</v>
      </c>
      <c r="I155" s="61">
        <f>+C155+D155-E155-F155+G155</f>
        <v>19719835</v>
      </c>
      <c r="J155" s="9">
        <f>I155-H155</f>
        <v>0</v>
      </c>
      <c r="K155" s="45" t="s">
        <v>24</v>
      </c>
      <c r="L155" s="181"/>
      <c r="M155" s="181">
        <v>2000000</v>
      </c>
      <c r="N155" s="181">
        <v>693345</v>
      </c>
      <c r="O155" s="181">
        <v>17494973</v>
      </c>
      <c r="R155"/>
      <c r="S155"/>
      <c r="T155"/>
      <c r="U155"/>
    </row>
    <row r="156" spans="1:21" x14ac:dyDescent="0.3">
      <c r="A156" s="58" t="str">
        <f t="shared" ref="A156:A169" si="85">K156</f>
        <v>BCI-Sous Compte</v>
      </c>
      <c r="B156" s="59" t="s">
        <v>46</v>
      </c>
      <c r="C156" s="61">
        <v>2231034</v>
      </c>
      <c r="D156" s="61">
        <f t="shared" ref="D156:D167" si="86">+L156</f>
        <v>0</v>
      </c>
      <c r="E156" s="61">
        <f t="shared" ref="E156:E161" si="87">+N156</f>
        <v>2724801</v>
      </c>
      <c r="F156" s="61">
        <f t="shared" ref="F156:F164" si="88">+M156</f>
        <v>4000000</v>
      </c>
      <c r="G156" s="61">
        <f t="shared" si="84"/>
        <v>19110651</v>
      </c>
      <c r="H156" s="61">
        <v>14616884</v>
      </c>
      <c r="I156" s="61">
        <f>+C156+D156-E156-F156+G156</f>
        <v>14616884</v>
      </c>
      <c r="J156" s="9">
        <f t="shared" ref="J156:J163" si="89">I156-H156</f>
        <v>0</v>
      </c>
      <c r="K156" s="45" t="s">
        <v>148</v>
      </c>
      <c r="L156" s="181"/>
      <c r="M156" s="181">
        <v>4000000</v>
      </c>
      <c r="N156" s="181">
        <v>2724801</v>
      </c>
      <c r="O156" s="181">
        <v>19110651</v>
      </c>
      <c r="R156"/>
      <c r="S156"/>
      <c r="T156"/>
      <c r="U156"/>
    </row>
    <row r="157" spans="1:21" x14ac:dyDescent="0.3">
      <c r="A157" s="58" t="str">
        <f t="shared" si="85"/>
        <v>Caisse</v>
      </c>
      <c r="B157" s="59" t="s">
        <v>25</v>
      </c>
      <c r="C157" s="61">
        <v>925495</v>
      </c>
      <c r="D157" s="61">
        <f t="shared" si="86"/>
        <v>6008000</v>
      </c>
      <c r="E157" s="61">
        <f t="shared" si="87"/>
        <v>2280788</v>
      </c>
      <c r="F157" s="61">
        <f t="shared" si="88"/>
        <v>4242000</v>
      </c>
      <c r="G157" s="61">
        <f t="shared" si="84"/>
        <v>0</v>
      </c>
      <c r="H157" s="61">
        <v>410707</v>
      </c>
      <c r="I157" s="61">
        <f>+C157+D157-E157-F157+G157</f>
        <v>410707</v>
      </c>
      <c r="J157" s="102">
        <f t="shared" si="89"/>
        <v>0</v>
      </c>
      <c r="K157" s="45" t="s">
        <v>25</v>
      </c>
      <c r="L157" s="181">
        <v>6008000</v>
      </c>
      <c r="M157" s="181">
        <v>4242000</v>
      </c>
      <c r="N157" s="181">
        <v>2280788</v>
      </c>
      <c r="O157" s="181"/>
      <c r="R157"/>
      <c r="S157"/>
      <c r="T157"/>
      <c r="U157"/>
    </row>
    <row r="158" spans="1:21" x14ac:dyDescent="0.3">
      <c r="A158" s="58" t="str">
        <f t="shared" si="85"/>
        <v>Crépin</v>
      </c>
      <c r="B158" s="59" t="s">
        <v>154</v>
      </c>
      <c r="C158" s="61">
        <v>46045</v>
      </c>
      <c r="D158" s="61">
        <f t="shared" si="86"/>
        <v>1304000</v>
      </c>
      <c r="E158" s="61">
        <f t="shared" si="87"/>
        <v>1144025</v>
      </c>
      <c r="F158" s="61">
        <f t="shared" si="88"/>
        <v>0</v>
      </c>
      <c r="G158" s="61">
        <f t="shared" si="84"/>
        <v>0</v>
      </c>
      <c r="H158" s="61">
        <v>206020</v>
      </c>
      <c r="I158" s="61">
        <f>+C158+D158-E158-F158+G158</f>
        <v>206020</v>
      </c>
      <c r="J158" s="9">
        <f t="shared" si="89"/>
        <v>0</v>
      </c>
      <c r="K158" s="45" t="s">
        <v>47</v>
      </c>
      <c r="L158" s="181">
        <v>1304000</v>
      </c>
      <c r="M158" s="181">
        <v>0</v>
      </c>
      <c r="N158" s="181">
        <v>1144025</v>
      </c>
      <c r="O158" s="181"/>
      <c r="R158"/>
      <c r="S158"/>
      <c r="T158"/>
      <c r="U158"/>
    </row>
    <row r="159" spans="1:21" x14ac:dyDescent="0.3">
      <c r="A159" s="58" t="str">
        <f t="shared" si="85"/>
        <v>D58</v>
      </c>
      <c r="B159" s="59" t="s">
        <v>4</v>
      </c>
      <c r="C159" s="61">
        <v>107500</v>
      </c>
      <c r="D159" s="61">
        <f t="shared" si="86"/>
        <v>692000</v>
      </c>
      <c r="E159" s="61">
        <f t="shared" si="87"/>
        <v>694400</v>
      </c>
      <c r="F159" s="61">
        <f t="shared" si="88"/>
        <v>0</v>
      </c>
      <c r="G159" s="61">
        <f t="shared" si="84"/>
        <v>0</v>
      </c>
      <c r="H159" s="61">
        <v>105100</v>
      </c>
      <c r="I159" s="61">
        <f>+C159+D159-E159-F159+G159</f>
        <v>105100</v>
      </c>
      <c r="J159" s="9">
        <f t="shared" si="89"/>
        <v>0</v>
      </c>
      <c r="K159" s="45" t="s">
        <v>270</v>
      </c>
      <c r="L159" s="181">
        <v>692000</v>
      </c>
      <c r="M159" s="181">
        <v>0</v>
      </c>
      <c r="N159" s="181">
        <v>694400</v>
      </c>
      <c r="O159" s="181"/>
      <c r="R159"/>
      <c r="S159"/>
      <c r="T159"/>
      <c r="U159"/>
    </row>
    <row r="160" spans="1:21" x14ac:dyDescent="0.3">
      <c r="A160" s="58" t="str">
        <f t="shared" si="85"/>
        <v>Donald</v>
      </c>
      <c r="B160" s="59" t="s">
        <v>154</v>
      </c>
      <c r="C160" s="61">
        <v>8650</v>
      </c>
      <c r="D160" s="61">
        <f t="shared" si="86"/>
        <v>130000</v>
      </c>
      <c r="E160" s="61">
        <f t="shared" si="87"/>
        <v>119300</v>
      </c>
      <c r="F160" s="61">
        <f t="shared" si="88"/>
        <v>0</v>
      </c>
      <c r="G160" s="61">
        <f t="shared" si="84"/>
        <v>0</v>
      </c>
      <c r="H160" s="61">
        <v>19350</v>
      </c>
      <c r="I160" s="61">
        <f t="shared" ref="I160:I161" si="90">+C160+D160-E160-F160+G160</f>
        <v>19350</v>
      </c>
      <c r="J160" s="9">
        <f t="shared" si="89"/>
        <v>0</v>
      </c>
      <c r="K160" s="45" t="s">
        <v>256</v>
      </c>
      <c r="L160" s="181">
        <v>130000</v>
      </c>
      <c r="M160" s="181">
        <v>0</v>
      </c>
      <c r="N160" s="181">
        <v>119300</v>
      </c>
      <c r="O160" s="181"/>
      <c r="R160"/>
      <c r="S160"/>
      <c r="T160"/>
      <c r="U160"/>
    </row>
    <row r="161" spans="1:21" x14ac:dyDescent="0.3">
      <c r="A161" s="58" t="str">
        <f t="shared" si="85"/>
        <v>Evariste</v>
      </c>
      <c r="B161" s="59" t="s">
        <v>155</v>
      </c>
      <c r="C161" s="61">
        <v>18325</v>
      </c>
      <c r="D161" s="61">
        <f t="shared" si="86"/>
        <v>164000</v>
      </c>
      <c r="E161" s="61">
        <f t="shared" si="87"/>
        <v>156900</v>
      </c>
      <c r="F161" s="61">
        <f t="shared" si="88"/>
        <v>0</v>
      </c>
      <c r="G161" s="61">
        <f t="shared" si="84"/>
        <v>0</v>
      </c>
      <c r="H161" s="61">
        <v>25425</v>
      </c>
      <c r="I161" s="61">
        <f t="shared" si="90"/>
        <v>25425</v>
      </c>
      <c r="J161" s="9">
        <f t="shared" si="89"/>
        <v>0</v>
      </c>
      <c r="K161" s="45" t="s">
        <v>31</v>
      </c>
      <c r="L161" s="181">
        <v>164000</v>
      </c>
      <c r="M161" s="181">
        <v>0</v>
      </c>
      <c r="N161" s="181">
        <v>156900</v>
      </c>
      <c r="O161" s="181"/>
      <c r="R161"/>
      <c r="S161"/>
      <c r="T161"/>
      <c r="U161"/>
    </row>
    <row r="162" spans="1:21" x14ac:dyDescent="0.3">
      <c r="A162" s="58" t="str">
        <f t="shared" si="85"/>
        <v>I55S</v>
      </c>
      <c r="B162" s="116" t="s">
        <v>4</v>
      </c>
      <c r="C162" s="118">
        <v>233614</v>
      </c>
      <c r="D162" s="118">
        <f t="shared" si="86"/>
        <v>0</v>
      </c>
      <c r="E162" s="118">
        <f>+N162</f>
        <v>0</v>
      </c>
      <c r="F162" s="118">
        <f t="shared" si="88"/>
        <v>0</v>
      </c>
      <c r="G162" s="118">
        <f t="shared" si="84"/>
        <v>0</v>
      </c>
      <c r="H162" s="118">
        <v>233614</v>
      </c>
      <c r="I162" s="118">
        <f>+C162+D162-E162-F162+G162</f>
        <v>233614</v>
      </c>
      <c r="J162" s="9">
        <f t="shared" si="89"/>
        <v>0</v>
      </c>
      <c r="K162" s="45" t="s">
        <v>84</v>
      </c>
      <c r="L162" s="181"/>
      <c r="M162" s="181"/>
      <c r="N162" s="181"/>
      <c r="O162" s="181"/>
      <c r="R162"/>
      <c r="S162"/>
      <c r="T162"/>
      <c r="U162"/>
    </row>
    <row r="163" spans="1:21" x14ac:dyDescent="0.3">
      <c r="A163" s="58" t="str">
        <f t="shared" si="85"/>
        <v>I73X</v>
      </c>
      <c r="B163" s="116" t="s">
        <v>4</v>
      </c>
      <c r="C163" s="118">
        <v>249769</v>
      </c>
      <c r="D163" s="118">
        <f t="shared" si="86"/>
        <v>0</v>
      </c>
      <c r="E163" s="118">
        <f>+N163</f>
        <v>0</v>
      </c>
      <c r="F163" s="118">
        <f t="shared" si="88"/>
        <v>0</v>
      </c>
      <c r="G163" s="118">
        <f t="shared" si="84"/>
        <v>0</v>
      </c>
      <c r="H163" s="118">
        <v>249769</v>
      </c>
      <c r="I163" s="118">
        <f t="shared" ref="I163:I167" si="91">+C163+D163-E163-F163+G163</f>
        <v>249769</v>
      </c>
      <c r="J163" s="9">
        <f t="shared" si="89"/>
        <v>0</v>
      </c>
      <c r="K163" s="45" t="s">
        <v>83</v>
      </c>
      <c r="L163" s="181"/>
      <c r="M163" s="181"/>
      <c r="N163" s="181"/>
      <c r="O163" s="181"/>
      <c r="R163"/>
      <c r="S163"/>
      <c r="T163"/>
      <c r="U163"/>
    </row>
    <row r="164" spans="1:21" s="188" customFormat="1" ht="15.6" x14ac:dyDescent="0.3">
      <c r="A164" s="58" t="str">
        <f t="shared" si="85"/>
        <v>Grace</v>
      </c>
      <c r="B164" s="59" t="s">
        <v>2</v>
      </c>
      <c r="C164" s="184">
        <v>11250</v>
      </c>
      <c r="D164" s="61">
        <f t="shared" si="86"/>
        <v>363000</v>
      </c>
      <c r="E164" s="61">
        <f t="shared" ref="E164" si="92">+N164</f>
        <v>182650</v>
      </c>
      <c r="F164" s="61">
        <f t="shared" si="88"/>
        <v>25000</v>
      </c>
      <c r="G164" s="61">
        <f t="shared" si="84"/>
        <v>0</v>
      </c>
      <c r="H164" s="184">
        <v>166600</v>
      </c>
      <c r="I164" s="184">
        <f t="shared" si="91"/>
        <v>166600</v>
      </c>
      <c r="J164" s="185">
        <f>I164-H164</f>
        <v>0</v>
      </c>
      <c r="K164" s="186" t="s">
        <v>143</v>
      </c>
      <c r="L164" s="181">
        <v>363000</v>
      </c>
      <c r="M164" s="181">
        <v>25000</v>
      </c>
      <c r="N164" s="181">
        <v>182650</v>
      </c>
      <c r="O164" s="181"/>
      <c r="R164"/>
      <c r="S164"/>
      <c r="T164"/>
      <c r="U164"/>
    </row>
    <row r="165" spans="1:21" x14ac:dyDescent="0.3">
      <c r="A165" s="58" t="str">
        <f t="shared" si="85"/>
        <v>Hurielle</v>
      </c>
      <c r="B165" s="98" t="s">
        <v>154</v>
      </c>
      <c r="C165" s="61">
        <v>39355</v>
      </c>
      <c r="D165" s="61">
        <f t="shared" si="86"/>
        <v>185000</v>
      </c>
      <c r="E165" s="61">
        <f>+N165</f>
        <v>188350</v>
      </c>
      <c r="F165" s="61">
        <f>+M165</f>
        <v>8000</v>
      </c>
      <c r="G165" s="61">
        <f t="shared" si="84"/>
        <v>0</v>
      </c>
      <c r="H165" s="61">
        <v>28005</v>
      </c>
      <c r="I165" s="61">
        <f t="shared" si="91"/>
        <v>28005</v>
      </c>
      <c r="J165" s="9">
        <f t="shared" ref="J165" si="93">I165-H165</f>
        <v>0</v>
      </c>
      <c r="K165" s="45" t="s">
        <v>197</v>
      </c>
      <c r="L165" s="181">
        <v>185000</v>
      </c>
      <c r="M165" s="181">
        <v>8000</v>
      </c>
      <c r="N165" s="181">
        <v>188350</v>
      </c>
      <c r="O165" s="181"/>
      <c r="R165"/>
      <c r="S165"/>
      <c r="T165"/>
      <c r="U165"/>
    </row>
    <row r="166" spans="1:21" s="188" customFormat="1" ht="15.6" x14ac:dyDescent="0.3">
      <c r="A166" s="58" t="str">
        <f t="shared" si="85"/>
        <v>Merveille</v>
      </c>
      <c r="B166" s="59" t="s">
        <v>2</v>
      </c>
      <c r="C166" s="184">
        <v>14300</v>
      </c>
      <c r="D166" s="61">
        <f t="shared" si="86"/>
        <v>35000</v>
      </c>
      <c r="E166" s="61">
        <f t="shared" ref="E166:E169" si="94">+N166</f>
        <v>30500</v>
      </c>
      <c r="F166" s="61">
        <f t="shared" ref="F166:F169" si="95">+M166</f>
        <v>0</v>
      </c>
      <c r="G166" s="61">
        <f t="shared" si="84"/>
        <v>0</v>
      </c>
      <c r="H166" s="184">
        <v>18800</v>
      </c>
      <c r="I166" s="184">
        <f t="shared" si="91"/>
        <v>18800</v>
      </c>
      <c r="J166" s="185">
        <f>I166-H166</f>
        <v>0</v>
      </c>
      <c r="K166" s="186" t="s">
        <v>93</v>
      </c>
      <c r="L166" s="181">
        <v>35000</v>
      </c>
      <c r="M166" s="181">
        <v>0</v>
      </c>
      <c r="N166" s="181">
        <v>30500</v>
      </c>
      <c r="O166" s="181"/>
      <c r="R166"/>
      <c r="S166"/>
      <c r="T166"/>
      <c r="U166"/>
    </row>
    <row r="167" spans="1:21" x14ac:dyDescent="0.3">
      <c r="A167" s="58" t="str">
        <f t="shared" si="85"/>
        <v>P29</v>
      </c>
      <c r="B167" s="98" t="s">
        <v>4</v>
      </c>
      <c r="C167" s="61">
        <v>100600</v>
      </c>
      <c r="D167" s="61">
        <f t="shared" si="86"/>
        <v>589000</v>
      </c>
      <c r="E167" s="61">
        <f t="shared" si="94"/>
        <v>453600</v>
      </c>
      <c r="F167" s="61">
        <f t="shared" si="95"/>
        <v>0</v>
      </c>
      <c r="G167" s="61">
        <f t="shared" si="84"/>
        <v>0</v>
      </c>
      <c r="H167" s="61">
        <v>236000</v>
      </c>
      <c r="I167" s="61">
        <f t="shared" si="91"/>
        <v>236000</v>
      </c>
      <c r="J167" s="9">
        <f t="shared" ref="J167:J168" si="96">I167-H167</f>
        <v>0</v>
      </c>
      <c r="K167" s="45" t="s">
        <v>29</v>
      </c>
      <c r="L167" s="181">
        <v>589000</v>
      </c>
      <c r="M167" s="181">
        <v>0</v>
      </c>
      <c r="N167" s="181">
        <v>453600</v>
      </c>
      <c r="O167" s="181"/>
      <c r="R167"/>
      <c r="S167"/>
      <c r="T167"/>
      <c r="U167"/>
    </row>
    <row r="168" spans="1:21" x14ac:dyDescent="0.3">
      <c r="A168" s="58" t="str">
        <f t="shared" si="85"/>
        <v>T73</v>
      </c>
      <c r="B168" s="59" t="s">
        <v>4</v>
      </c>
      <c r="C168" s="61">
        <v>208300</v>
      </c>
      <c r="D168" s="61">
        <f>+L168</f>
        <v>805000</v>
      </c>
      <c r="E168" s="61">
        <f t="shared" si="94"/>
        <v>701600</v>
      </c>
      <c r="F168" s="61">
        <f t="shared" si="95"/>
        <v>0</v>
      </c>
      <c r="G168" s="61">
        <f t="shared" si="84"/>
        <v>0</v>
      </c>
      <c r="H168" s="61">
        <v>311700</v>
      </c>
      <c r="I168" s="61">
        <f>+C168+D168-E168-F168+G168</f>
        <v>311700</v>
      </c>
      <c r="J168" s="9">
        <f t="shared" si="96"/>
        <v>0</v>
      </c>
      <c r="K168" s="45" t="s">
        <v>269</v>
      </c>
      <c r="L168" s="181">
        <v>805000</v>
      </c>
      <c r="M168" s="181">
        <v>0</v>
      </c>
      <c r="N168" s="181">
        <v>701600</v>
      </c>
      <c r="O168" s="181"/>
    </row>
    <row r="169" spans="1:21" x14ac:dyDescent="0.3">
      <c r="A169" s="58" t="str">
        <f t="shared" si="85"/>
        <v>Tiffany</v>
      </c>
      <c r="B169" s="59" t="s">
        <v>2</v>
      </c>
      <c r="C169" s="61">
        <v>26676</v>
      </c>
      <c r="D169" s="61">
        <f t="shared" ref="D169" si="97">+L169</f>
        <v>0</v>
      </c>
      <c r="E169" s="61">
        <f t="shared" si="94"/>
        <v>10000</v>
      </c>
      <c r="F169" s="61">
        <f t="shared" si="95"/>
        <v>0</v>
      </c>
      <c r="G169" s="61">
        <f t="shared" si="84"/>
        <v>0</v>
      </c>
      <c r="H169" s="61">
        <v>16676</v>
      </c>
      <c r="I169" s="61">
        <f>+C169+D169-E169-F169+G169</f>
        <v>16676</v>
      </c>
      <c r="J169" s="9">
        <f>I169-H169</f>
        <v>0</v>
      </c>
      <c r="K169" s="45" t="s">
        <v>113</v>
      </c>
      <c r="L169" s="181">
        <v>0</v>
      </c>
      <c r="M169" s="181">
        <v>0</v>
      </c>
      <c r="N169" s="181">
        <v>10000</v>
      </c>
      <c r="O169" s="181"/>
    </row>
    <row r="170" spans="1:21" x14ac:dyDescent="0.3">
      <c r="A170" s="10" t="s">
        <v>50</v>
      </c>
      <c r="B170" s="11"/>
      <c r="C170" s="12">
        <f t="shared" ref="C170:I170" si="98">SUM(C155:C169)</f>
        <v>9139120</v>
      </c>
      <c r="D170" s="57">
        <f t="shared" si="98"/>
        <v>10275000</v>
      </c>
      <c r="E170" s="57">
        <f t="shared" si="98"/>
        <v>9380259</v>
      </c>
      <c r="F170" s="57">
        <f t="shared" si="98"/>
        <v>10275000</v>
      </c>
      <c r="G170" s="57">
        <f t="shared" si="98"/>
        <v>36605624</v>
      </c>
      <c r="H170" s="57">
        <f t="shared" si="98"/>
        <v>36364485</v>
      </c>
      <c r="I170" s="57">
        <f t="shared" si="98"/>
        <v>36364485</v>
      </c>
      <c r="J170" s="9">
        <f>I170-H170</f>
        <v>0</v>
      </c>
      <c r="K170" s="3"/>
      <c r="L170" s="47">
        <f>+SUM(L155:L169)</f>
        <v>10275000</v>
      </c>
      <c r="M170" s="47">
        <f>+SUM(M155:M169)</f>
        <v>10275000</v>
      </c>
      <c r="N170" s="47">
        <f>+SUM(N155:N169)</f>
        <v>9380259</v>
      </c>
      <c r="O170" s="47">
        <f>+SUM(O155:O169)</f>
        <v>36605624</v>
      </c>
    </row>
    <row r="171" spans="1:21" x14ac:dyDescent="0.3">
      <c r="A171" s="10"/>
      <c r="B171" s="11"/>
      <c r="C171" s="12"/>
      <c r="D171" s="13"/>
      <c r="E171" s="12"/>
      <c r="F171" s="13"/>
      <c r="G171" s="12"/>
      <c r="H171" s="12"/>
      <c r="I171" s="134" t="b">
        <f>I170=D173</f>
        <v>1</v>
      </c>
      <c r="J171" s="9">
        <f>H170-I170</f>
        <v>0</v>
      </c>
      <c r="L171" s="5"/>
      <c r="M171" s="5"/>
      <c r="N171" s="5"/>
      <c r="O171" s="5"/>
    </row>
    <row r="172" spans="1:21" ht="15.6" x14ac:dyDescent="0.3">
      <c r="A172" s="10" t="s">
        <v>283</v>
      </c>
      <c r="B172" s="11" t="s">
        <v>190</v>
      </c>
      <c r="C172" s="12" t="s">
        <v>284</v>
      </c>
      <c r="D172" s="12" t="s">
        <v>285</v>
      </c>
      <c r="E172" s="12" t="s">
        <v>51</v>
      </c>
      <c r="F172" s="12"/>
      <c r="G172" s="12">
        <f>+D170-F170</f>
        <v>0</v>
      </c>
      <c r="H172" s="12"/>
      <c r="I172" s="216"/>
    </row>
    <row r="173" spans="1:21" x14ac:dyDescent="0.3">
      <c r="A173" s="14">
        <f>C170</f>
        <v>9139120</v>
      </c>
      <c r="B173" s="15">
        <f>G170</f>
        <v>36605624</v>
      </c>
      <c r="C173" s="12">
        <f>E170</f>
        <v>9380259</v>
      </c>
      <c r="D173" s="12">
        <f>A173+B173-C173</f>
        <v>36364485</v>
      </c>
      <c r="E173" s="13">
        <f>I170-D173</f>
        <v>0</v>
      </c>
      <c r="F173" s="12"/>
      <c r="G173" s="12"/>
      <c r="H173" s="12"/>
      <c r="I173" s="12"/>
    </row>
    <row r="174" spans="1:21" x14ac:dyDescent="0.3">
      <c r="A174" s="14"/>
      <c r="B174" s="15"/>
      <c r="C174" s="12"/>
      <c r="D174" s="12"/>
      <c r="E174" s="13"/>
      <c r="F174" s="12"/>
      <c r="G174" s="12"/>
      <c r="H174" s="12"/>
      <c r="I174" s="12"/>
    </row>
    <row r="175" spans="1:21" x14ac:dyDescent="0.3">
      <c r="A175" s="16" t="s">
        <v>52</v>
      </c>
      <c r="B175" s="16"/>
      <c r="C175" s="16"/>
      <c r="D175" s="17"/>
      <c r="E175" s="17"/>
      <c r="F175" s="17"/>
      <c r="G175" s="17"/>
      <c r="H175" s="17"/>
      <c r="I175" s="17"/>
    </row>
    <row r="176" spans="1:21" x14ac:dyDescent="0.3">
      <c r="A176" s="18" t="s">
        <v>286</v>
      </c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1" x14ac:dyDescent="0.3">
      <c r="A177" s="19"/>
      <c r="B177" s="17"/>
      <c r="C177" s="20"/>
      <c r="D177" s="20"/>
      <c r="E177" s="20"/>
      <c r="F177" s="20"/>
      <c r="G177" s="20"/>
      <c r="H177" s="17"/>
      <c r="I177" s="17"/>
    </row>
    <row r="178" spans="1:11" ht="45" customHeight="1" x14ac:dyDescent="0.3">
      <c r="A178" s="169" t="s">
        <v>53</v>
      </c>
      <c r="B178" s="171" t="s">
        <v>54</v>
      </c>
      <c r="C178" s="173" t="s">
        <v>287</v>
      </c>
      <c r="D178" s="174" t="s">
        <v>55</v>
      </c>
      <c r="E178" s="175"/>
      <c r="F178" s="175"/>
      <c r="G178" s="176"/>
      <c r="H178" s="177" t="s">
        <v>56</v>
      </c>
      <c r="I178" s="165" t="s">
        <v>57</v>
      </c>
      <c r="J178" s="212"/>
    </row>
    <row r="179" spans="1:11" ht="28.5" customHeight="1" x14ac:dyDescent="0.3">
      <c r="A179" s="170"/>
      <c r="B179" s="172"/>
      <c r="C179" s="22"/>
      <c r="D179" s="21" t="s">
        <v>24</v>
      </c>
      <c r="E179" s="21" t="s">
        <v>25</v>
      </c>
      <c r="F179" s="22" t="s">
        <v>123</v>
      </c>
      <c r="G179" s="21" t="s">
        <v>58</v>
      </c>
      <c r="H179" s="178"/>
      <c r="I179" s="166"/>
      <c r="J179" s="168" t="s">
        <v>288</v>
      </c>
      <c r="K179" s="143"/>
    </row>
    <row r="180" spans="1:11" x14ac:dyDescent="0.3">
      <c r="A180" s="23"/>
      <c r="B180" s="24" t="s">
        <v>59</v>
      </c>
      <c r="C180" s="25"/>
      <c r="D180" s="25"/>
      <c r="E180" s="25"/>
      <c r="F180" s="25"/>
      <c r="G180" s="25"/>
      <c r="H180" s="25"/>
      <c r="I180" s="26"/>
      <c r="J180" s="168"/>
      <c r="K180" s="143"/>
    </row>
    <row r="181" spans="1:11" x14ac:dyDescent="0.3">
      <c r="A181" s="122" t="s">
        <v>120</v>
      </c>
      <c r="B181" s="127" t="s">
        <v>47</v>
      </c>
      <c r="C181" s="32">
        <f>+C158</f>
        <v>46045</v>
      </c>
      <c r="D181" s="31"/>
      <c r="E181" s="32">
        <f>+D158</f>
        <v>1304000</v>
      </c>
      <c r="F181" s="32"/>
      <c r="G181" s="32"/>
      <c r="H181" s="55">
        <f>+F158</f>
        <v>0</v>
      </c>
      <c r="I181" s="32">
        <f>+E158</f>
        <v>1144025</v>
      </c>
      <c r="J181" s="30">
        <f t="shared" ref="J181:J184" si="99">+SUM(C181:G181)-(H181+I181)</f>
        <v>206020</v>
      </c>
      <c r="K181" s="144" t="b">
        <f t="shared" ref="K181:K192" si="100">J181=I158</f>
        <v>1</v>
      </c>
    </row>
    <row r="182" spans="1:11" x14ac:dyDescent="0.3">
      <c r="A182" s="122" t="str">
        <f>+A181</f>
        <v>MARS</v>
      </c>
      <c r="B182" s="127" t="s">
        <v>270</v>
      </c>
      <c r="C182" s="32">
        <f t="shared" ref="C182:C184" si="101">+C159</f>
        <v>107500</v>
      </c>
      <c r="D182" s="31"/>
      <c r="E182" s="32">
        <f t="shared" ref="E182:E184" si="102">+D159</f>
        <v>692000</v>
      </c>
      <c r="F182" s="32"/>
      <c r="G182" s="32"/>
      <c r="H182" s="55">
        <f t="shared" ref="H182:H184" si="103">+F159</f>
        <v>0</v>
      </c>
      <c r="I182" s="32">
        <f t="shared" ref="I182:I184" si="104">+E159</f>
        <v>694400</v>
      </c>
      <c r="J182" s="30">
        <f t="shared" si="99"/>
        <v>105100</v>
      </c>
      <c r="K182" s="144" t="b">
        <f t="shared" si="100"/>
        <v>1</v>
      </c>
    </row>
    <row r="183" spans="1:11" x14ac:dyDescent="0.3">
      <c r="A183" s="122" t="str">
        <f t="shared" ref="A183:A192" si="105">+A182</f>
        <v>MARS</v>
      </c>
      <c r="B183" s="127" t="s">
        <v>256</v>
      </c>
      <c r="C183" s="32">
        <f t="shared" si="101"/>
        <v>8650</v>
      </c>
      <c r="D183" s="31"/>
      <c r="E183" s="32">
        <f t="shared" si="102"/>
        <v>130000</v>
      </c>
      <c r="F183" s="32"/>
      <c r="G183" s="32"/>
      <c r="H183" s="55">
        <f t="shared" si="103"/>
        <v>0</v>
      </c>
      <c r="I183" s="32">
        <f t="shared" si="104"/>
        <v>119300</v>
      </c>
      <c r="J183" s="30">
        <f t="shared" si="99"/>
        <v>19350</v>
      </c>
      <c r="K183" s="144" t="b">
        <f t="shared" si="100"/>
        <v>1</v>
      </c>
    </row>
    <row r="184" spans="1:11" x14ac:dyDescent="0.3">
      <c r="A184" s="122" t="str">
        <f t="shared" si="105"/>
        <v>MARS</v>
      </c>
      <c r="B184" s="127" t="s">
        <v>31</v>
      </c>
      <c r="C184" s="32">
        <f t="shared" si="101"/>
        <v>18325</v>
      </c>
      <c r="D184" s="31"/>
      <c r="E184" s="32">
        <f t="shared" si="102"/>
        <v>164000</v>
      </c>
      <c r="F184" s="32"/>
      <c r="G184" s="32"/>
      <c r="H184" s="55">
        <f t="shared" si="103"/>
        <v>0</v>
      </c>
      <c r="I184" s="32">
        <f t="shared" si="104"/>
        <v>156900</v>
      </c>
      <c r="J184" s="30">
        <f t="shared" si="99"/>
        <v>25425</v>
      </c>
      <c r="K184" s="144" t="b">
        <f t="shared" si="100"/>
        <v>1</v>
      </c>
    </row>
    <row r="185" spans="1:11" x14ac:dyDescent="0.3">
      <c r="A185" s="122" t="str">
        <f t="shared" si="105"/>
        <v>MARS</v>
      </c>
      <c r="B185" s="129" t="s">
        <v>84</v>
      </c>
      <c r="C185" s="120">
        <f>+C162</f>
        <v>233614</v>
      </c>
      <c r="D185" s="123"/>
      <c r="E185" s="120">
        <f>+D162</f>
        <v>0</v>
      </c>
      <c r="F185" s="137"/>
      <c r="G185" s="137"/>
      <c r="H185" s="155">
        <f>+F162</f>
        <v>0</v>
      </c>
      <c r="I185" s="120">
        <f>+E162</f>
        <v>0</v>
      </c>
      <c r="J185" s="121">
        <f>+SUM(C185:G185)-(H185+I185)</f>
        <v>233614</v>
      </c>
      <c r="K185" s="144" t="b">
        <f t="shared" si="100"/>
        <v>1</v>
      </c>
    </row>
    <row r="186" spans="1:11" x14ac:dyDescent="0.3">
      <c r="A186" s="122" t="str">
        <f t="shared" si="105"/>
        <v>MARS</v>
      </c>
      <c r="B186" s="129" t="s">
        <v>83</v>
      </c>
      <c r="C186" s="120">
        <f>+C163</f>
        <v>249769</v>
      </c>
      <c r="D186" s="123"/>
      <c r="E186" s="120">
        <f>+D163</f>
        <v>0</v>
      </c>
      <c r="F186" s="137"/>
      <c r="G186" s="137"/>
      <c r="H186" s="155">
        <f>+F163</f>
        <v>0</v>
      </c>
      <c r="I186" s="120">
        <f>+E163</f>
        <v>0</v>
      </c>
      <c r="J186" s="121">
        <f t="shared" ref="J186:J192" si="106">+SUM(C186:G186)-(H186+I186)</f>
        <v>249769</v>
      </c>
      <c r="K186" s="144" t="b">
        <f t="shared" si="100"/>
        <v>1</v>
      </c>
    </row>
    <row r="187" spans="1:11" x14ac:dyDescent="0.3">
      <c r="A187" s="122" t="str">
        <f t="shared" si="105"/>
        <v>MARS</v>
      </c>
      <c r="B187" s="127" t="s">
        <v>143</v>
      </c>
      <c r="C187" s="32">
        <f>+C164</f>
        <v>11250</v>
      </c>
      <c r="D187" s="31"/>
      <c r="E187" s="32">
        <f>+D164</f>
        <v>363000</v>
      </c>
      <c r="F187" s="32"/>
      <c r="G187" s="104"/>
      <c r="H187" s="55">
        <f>+F164</f>
        <v>25000</v>
      </c>
      <c r="I187" s="32">
        <f>+E164</f>
        <v>182650</v>
      </c>
      <c r="J187" s="30">
        <f t="shared" si="106"/>
        <v>166600</v>
      </c>
      <c r="K187" s="144" t="b">
        <f t="shared" si="100"/>
        <v>1</v>
      </c>
    </row>
    <row r="188" spans="1:11" x14ac:dyDescent="0.3">
      <c r="A188" s="122" t="str">
        <f t="shared" si="105"/>
        <v>MARS</v>
      </c>
      <c r="B188" s="127" t="s">
        <v>197</v>
      </c>
      <c r="C188" s="32">
        <f>+C165</f>
        <v>39355</v>
      </c>
      <c r="D188" s="31"/>
      <c r="E188" s="32">
        <f>+D165</f>
        <v>185000</v>
      </c>
      <c r="F188" s="32"/>
      <c r="G188" s="104"/>
      <c r="H188" s="55">
        <f>+F165</f>
        <v>8000</v>
      </c>
      <c r="I188" s="32">
        <f>+E165</f>
        <v>188350</v>
      </c>
      <c r="J188" s="30">
        <f t="shared" si="106"/>
        <v>28005</v>
      </c>
      <c r="K188" s="144" t="b">
        <f t="shared" si="100"/>
        <v>1</v>
      </c>
    </row>
    <row r="189" spans="1:11" x14ac:dyDescent="0.3">
      <c r="A189" s="122" t="str">
        <f>A188</f>
        <v>MARS</v>
      </c>
      <c r="B189" s="127" t="s">
        <v>93</v>
      </c>
      <c r="C189" s="32">
        <f t="shared" ref="C189:C192" si="107">+C166</f>
        <v>14300</v>
      </c>
      <c r="D189" s="31"/>
      <c r="E189" s="32">
        <f t="shared" ref="E189:E192" si="108">+D166</f>
        <v>35000</v>
      </c>
      <c r="F189" s="32"/>
      <c r="G189" s="104"/>
      <c r="H189" s="55">
        <f t="shared" ref="H189:H192" si="109">+F166</f>
        <v>0</v>
      </c>
      <c r="I189" s="32">
        <f t="shared" ref="I189:I192" si="110">+E166</f>
        <v>30500</v>
      </c>
      <c r="J189" s="30">
        <f t="shared" si="106"/>
        <v>18800</v>
      </c>
      <c r="K189" s="144" t="b">
        <f t="shared" si="100"/>
        <v>1</v>
      </c>
    </row>
    <row r="190" spans="1:11" x14ac:dyDescent="0.3">
      <c r="A190" s="122" t="str">
        <f t="shared" si="105"/>
        <v>MARS</v>
      </c>
      <c r="B190" s="127" t="s">
        <v>29</v>
      </c>
      <c r="C190" s="32">
        <f t="shared" si="107"/>
        <v>100600</v>
      </c>
      <c r="D190" s="31"/>
      <c r="E190" s="32">
        <f t="shared" si="108"/>
        <v>589000</v>
      </c>
      <c r="F190" s="32"/>
      <c r="G190" s="104"/>
      <c r="H190" s="55">
        <f t="shared" si="109"/>
        <v>0</v>
      </c>
      <c r="I190" s="32">
        <f t="shared" si="110"/>
        <v>453600</v>
      </c>
      <c r="J190" s="30">
        <f t="shared" si="106"/>
        <v>236000</v>
      </c>
      <c r="K190" s="144" t="b">
        <f t="shared" si="100"/>
        <v>1</v>
      </c>
    </row>
    <row r="191" spans="1:11" x14ac:dyDescent="0.3">
      <c r="A191" s="122" t="str">
        <f t="shared" si="105"/>
        <v>MARS</v>
      </c>
      <c r="B191" s="128" t="s">
        <v>269</v>
      </c>
      <c r="C191" s="32">
        <f t="shared" si="107"/>
        <v>208300</v>
      </c>
      <c r="D191" s="119"/>
      <c r="E191" s="32">
        <f t="shared" si="108"/>
        <v>805000</v>
      </c>
      <c r="F191" s="51"/>
      <c r="G191" s="138"/>
      <c r="H191" s="55">
        <f t="shared" si="109"/>
        <v>0</v>
      </c>
      <c r="I191" s="32">
        <f t="shared" si="110"/>
        <v>701600</v>
      </c>
      <c r="J191" s="30">
        <f t="shared" si="106"/>
        <v>311700</v>
      </c>
      <c r="K191" s="144" t="b">
        <f t="shared" si="100"/>
        <v>1</v>
      </c>
    </row>
    <row r="192" spans="1:11" x14ac:dyDescent="0.3">
      <c r="A192" s="122" t="str">
        <f t="shared" si="105"/>
        <v>MARS</v>
      </c>
      <c r="B192" s="128" t="s">
        <v>113</v>
      </c>
      <c r="C192" s="32">
        <f t="shared" si="107"/>
        <v>26676</v>
      </c>
      <c r="D192" s="119"/>
      <c r="E192" s="32">
        <f t="shared" si="108"/>
        <v>0</v>
      </c>
      <c r="F192" s="51"/>
      <c r="G192" s="138"/>
      <c r="H192" s="55">
        <f t="shared" si="109"/>
        <v>0</v>
      </c>
      <c r="I192" s="32">
        <f t="shared" si="110"/>
        <v>10000</v>
      </c>
      <c r="J192" s="30">
        <f t="shared" si="106"/>
        <v>16676</v>
      </c>
      <c r="K192" s="144" t="b">
        <f t="shared" si="100"/>
        <v>1</v>
      </c>
    </row>
    <row r="193" spans="1:16" x14ac:dyDescent="0.3">
      <c r="A193" s="34" t="s">
        <v>60</v>
      </c>
      <c r="B193" s="35"/>
      <c r="C193" s="35"/>
      <c r="D193" s="35"/>
      <c r="E193" s="35"/>
      <c r="F193" s="35"/>
      <c r="G193" s="35"/>
      <c r="H193" s="35"/>
      <c r="I193" s="35"/>
      <c r="J193" s="36"/>
      <c r="K193" s="143"/>
    </row>
    <row r="194" spans="1:16" x14ac:dyDescent="0.3">
      <c r="A194" s="122" t="str">
        <f>A192</f>
        <v>MARS</v>
      </c>
      <c r="B194" s="37" t="s">
        <v>61</v>
      </c>
      <c r="C194" s="38">
        <f>+C157</f>
        <v>925495</v>
      </c>
      <c r="D194" s="49"/>
      <c r="E194" s="49">
        <f>D157</f>
        <v>6008000</v>
      </c>
      <c r="F194" s="49"/>
      <c r="G194" s="125"/>
      <c r="H194" s="51">
        <f>+F157</f>
        <v>4242000</v>
      </c>
      <c r="I194" s="126">
        <f>+E157</f>
        <v>2280788</v>
      </c>
      <c r="J194" s="30">
        <f>+SUM(C194:G194)-(H194+I194)</f>
        <v>410707</v>
      </c>
      <c r="K194" s="144" t="b">
        <f>J194=I157</f>
        <v>1</v>
      </c>
    </row>
    <row r="195" spans="1:16" x14ac:dyDescent="0.3">
      <c r="A195" s="43" t="s">
        <v>62</v>
      </c>
      <c r="B195" s="24"/>
      <c r="C195" s="35"/>
      <c r="D195" s="24"/>
      <c r="E195" s="24"/>
      <c r="F195" s="24"/>
      <c r="G195" s="24"/>
      <c r="H195" s="24"/>
      <c r="I195" s="24"/>
      <c r="J195" s="36"/>
      <c r="K195" s="143"/>
    </row>
    <row r="196" spans="1:16" x14ac:dyDescent="0.3">
      <c r="A196" s="122" t="str">
        <f>+A194</f>
        <v>MARS</v>
      </c>
      <c r="B196" s="37" t="s">
        <v>24</v>
      </c>
      <c r="C196" s="125">
        <f>+C155</f>
        <v>4918207</v>
      </c>
      <c r="D196" s="132">
        <f>+G155</f>
        <v>17494973</v>
      </c>
      <c r="E196" s="49"/>
      <c r="F196" s="49"/>
      <c r="G196" s="49"/>
      <c r="H196" s="51">
        <f>+F155</f>
        <v>2000000</v>
      </c>
      <c r="I196" s="53">
        <f>+E155</f>
        <v>693345</v>
      </c>
      <c r="J196" s="30">
        <f>+SUM(C196:G196)-(H196+I196)</f>
        <v>19719835</v>
      </c>
      <c r="K196" s="144" t="b">
        <f>+J196=I155</f>
        <v>1</v>
      </c>
    </row>
    <row r="197" spans="1:16" x14ac:dyDescent="0.3">
      <c r="A197" s="122" t="str">
        <f t="shared" ref="A197" si="111">+A196</f>
        <v>MARS</v>
      </c>
      <c r="B197" s="37" t="s">
        <v>64</v>
      </c>
      <c r="C197" s="125">
        <f>+C156</f>
        <v>2231034</v>
      </c>
      <c r="D197" s="49">
        <f>+G156</f>
        <v>19110651</v>
      </c>
      <c r="E197" s="48"/>
      <c r="F197" s="48"/>
      <c r="G197" s="48"/>
      <c r="H197" s="32">
        <f>+F156</f>
        <v>4000000</v>
      </c>
      <c r="I197" s="50">
        <f>+E156</f>
        <v>2724801</v>
      </c>
      <c r="J197" s="30">
        <f>SUM(C197:G197)-(H197+I197)</f>
        <v>14616884</v>
      </c>
      <c r="K197" s="144" t="b">
        <f>+J197=I156</f>
        <v>1</v>
      </c>
    </row>
    <row r="198" spans="1:16" ht="15.6" x14ac:dyDescent="0.3">
      <c r="C198" s="141">
        <f>SUM(C181:C197)</f>
        <v>9139120</v>
      </c>
      <c r="I198" s="140">
        <f>SUM(I181:I197)</f>
        <v>9380259</v>
      </c>
      <c r="J198" s="105">
        <f>+SUM(J181:J197)</f>
        <v>36364485</v>
      </c>
      <c r="K198" s="5" t="b">
        <f>J198=I170</f>
        <v>1</v>
      </c>
    </row>
    <row r="199" spans="1:16" ht="15.6" x14ac:dyDescent="0.3">
      <c r="C199" s="141"/>
      <c r="I199" s="140"/>
      <c r="J199" s="105"/>
    </row>
    <row r="200" spans="1:16" ht="15.6" x14ac:dyDescent="0.3">
      <c r="A200" s="160"/>
      <c r="B200" s="160"/>
      <c r="C200" s="161"/>
      <c r="D200" s="160"/>
      <c r="E200" s="160"/>
      <c r="F200" s="160"/>
      <c r="G200" s="160"/>
      <c r="H200" s="160"/>
      <c r="I200" s="162"/>
      <c r="J200" s="163"/>
      <c r="K200" s="160"/>
      <c r="L200" s="164"/>
      <c r="M200" s="164"/>
      <c r="N200" s="164"/>
      <c r="O200" s="164"/>
      <c r="P200" s="160"/>
    </row>
    <row r="201" spans="1:16" ht="15.75" customHeight="1" x14ac:dyDescent="0.3"/>
    <row r="202" spans="1:16" ht="15.6" x14ac:dyDescent="0.3">
      <c r="A202" s="6" t="s">
        <v>36</v>
      </c>
      <c r="B202" s="6" t="s">
        <v>1</v>
      </c>
      <c r="C202" s="6">
        <v>44958</v>
      </c>
      <c r="D202" s="7" t="s">
        <v>37</v>
      </c>
      <c r="E202" s="7" t="s">
        <v>38</v>
      </c>
      <c r="F202" s="7" t="s">
        <v>39</v>
      </c>
      <c r="G202" s="7" t="s">
        <v>40</v>
      </c>
      <c r="H202" s="6">
        <v>44985</v>
      </c>
      <c r="I202" s="7" t="s">
        <v>41</v>
      </c>
      <c r="K202" s="45"/>
      <c r="L202" s="45" t="s">
        <v>42</v>
      </c>
      <c r="M202" s="45" t="s">
        <v>43</v>
      </c>
      <c r="N202" s="45" t="s">
        <v>44</v>
      </c>
      <c r="O202" s="45" t="s">
        <v>45</v>
      </c>
    </row>
    <row r="203" spans="1:16" x14ac:dyDescent="0.3">
      <c r="A203" s="58" t="str">
        <f>K203</f>
        <v>BCI</v>
      </c>
      <c r="B203" s="59" t="s">
        <v>46</v>
      </c>
      <c r="C203" s="61">
        <v>9351552</v>
      </c>
      <c r="D203" s="61">
        <f>+L203</f>
        <v>0</v>
      </c>
      <c r="E203" s="61">
        <f>+N203</f>
        <v>433345</v>
      </c>
      <c r="F203" s="61">
        <f>+M203</f>
        <v>4000000</v>
      </c>
      <c r="G203" s="61">
        <f t="shared" ref="G203:G213" si="112">+O203</f>
        <v>0</v>
      </c>
      <c r="H203" s="61">
        <v>4918207</v>
      </c>
      <c r="I203" s="61">
        <f>+C203+D203-E203-F203+G203</f>
        <v>4918207</v>
      </c>
      <c r="J203" s="9">
        <f>I203-H203</f>
        <v>0</v>
      </c>
      <c r="K203" s="45" t="s">
        <v>24</v>
      </c>
      <c r="L203" s="47">
        <v>0</v>
      </c>
      <c r="M203" s="47">
        <v>4000000</v>
      </c>
      <c r="N203" s="47">
        <v>433345</v>
      </c>
      <c r="O203" s="47">
        <v>0</v>
      </c>
    </row>
    <row r="204" spans="1:16" x14ac:dyDescent="0.3">
      <c r="A204" s="58" t="str">
        <f t="shared" ref="A204:A217" si="113">K204</f>
        <v>BCI-Sous Compte</v>
      </c>
      <c r="B204" s="59" t="s">
        <v>46</v>
      </c>
      <c r="C204" s="61">
        <v>6338553</v>
      </c>
      <c r="D204" s="61">
        <f t="shared" ref="D204:D215" si="114">+L204</f>
        <v>0</v>
      </c>
      <c r="E204" s="61">
        <f t="shared" ref="E204:E209" si="115">+N204</f>
        <v>4107519</v>
      </c>
      <c r="F204" s="61">
        <f t="shared" ref="F204:F212" si="116">+M204</f>
        <v>0</v>
      </c>
      <c r="G204" s="61">
        <f t="shared" si="112"/>
        <v>0</v>
      </c>
      <c r="H204" s="61">
        <v>2231034</v>
      </c>
      <c r="I204" s="61">
        <f>+C204+D204-E204-F204+G204</f>
        <v>2231034</v>
      </c>
      <c r="J204" s="9">
        <f t="shared" ref="J204:J211" si="117">I204-H204</f>
        <v>0</v>
      </c>
      <c r="K204" s="45" t="s">
        <v>148</v>
      </c>
      <c r="L204" s="46">
        <v>0</v>
      </c>
      <c r="M204" s="47">
        <v>0</v>
      </c>
      <c r="N204" s="47">
        <v>4107519</v>
      </c>
      <c r="O204" s="47">
        <v>0</v>
      </c>
    </row>
    <row r="205" spans="1:16" x14ac:dyDescent="0.3">
      <c r="A205" s="58" t="str">
        <f t="shared" si="113"/>
        <v>Caisse</v>
      </c>
      <c r="B205" s="59" t="s">
        <v>25</v>
      </c>
      <c r="C205" s="61">
        <v>899588</v>
      </c>
      <c r="D205" s="61">
        <f t="shared" si="114"/>
        <v>4313500</v>
      </c>
      <c r="E205" s="61">
        <f t="shared" si="115"/>
        <v>1771593</v>
      </c>
      <c r="F205" s="61">
        <f t="shared" si="116"/>
        <v>2516000</v>
      </c>
      <c r="G205" s="61">
        <f t="shared" si="112"/>
        <v>0</v>
      </c>
      <c r="H205" s="61">
        <v>925495</v>
      </c>
      <c r="I205" s="61">
        <f>+C205+D205-E205-F205+G205</f>
        <v>925495</v>
      </c>
      <c r="J205" s="102">
        <f t="shared" si="117"/>
        <v>0</v>
      </c>
      <c r="K205" s="45" t="s">
        <v>25</v>
      </c>
      <c r="L205" s="47">
        <v>4313500</v>
      </c>
      <c r="M205" s="47">
        <v>2516000</v>
      </c>
      <c r="N205" s="47">
        <v>1771593</v>
      </c>
      <c r="O205" s="47">
        <v>0</v>
      </c>
    </row>
    <row r="206" spans="1:16" x14ac:dyDescent="0.3">
      <c r="A206" s="58" t="str">
        <f t="shared" si="113"/>
        <v>Crépin</v>
      </c>
      <c r="B206" s="59" t="s">
        <v>154</v>
      </c>
      <c r="C206" s="61">
        <v>89205</v>
      </c>
      <c r="D206" s="61">
        <f t="shared" si="114"/>
        <v>337000</v>
      </c>
      <c r="E206" s="61">
        <f t="shared" si="115"/>
        <v>350160</v>
      </c>
      <c r="F206" s="61">
        <f t="shared" si="116"/>
        <v>30000</v>
      </c>
      <c r="G206" s="61">
        <f t="shared" si="112"/>
        <v>0</v>
      </c>
      <c r="H206" s="61">
        <v>46045</v>
      </c>
      <c r="I206" s="61">
        <f>+C206+D206-E206-F206+G206</f>
        <v>46045</v>
      </c>
      <c r="J206" s="9">
        <f t="shared" si="117"/>
        <v>0</v>
      </c>
      <c r="K206" s="45" t="s">
        <v>47</v>
      </c>
      <c r="L206" s="47">
        <v>337000</v>
      </c>
      <c r="M206" s="47">
        <v>30000</v>
      </c>
      <c r="N206" s="47">
        <v>350160</v>
      </c>
      <c r="O206" s="47">
        <v>0</v>
      </c>
    </row>
    <row r="207" spans="1:16" x14ac:dyDescent="0.3">
      <c r="A207" s="58" t="str">
        <f t="shared" si="113"/>
        <v>D58</v>
      </c>
      <c r="B207" s="59" t="s">
        <v>4</v>
      </c>
      <c r="C207" s="61">
        <v>18500</v>
      </c>
      <c r="D207" s="61">
        <f t="shared" si="114"/>
        <v>287000</v>
      </c>
      <c r="E207" s="61">
        <f t="shared" si="115"/>
        <v>198000</v>
      </c>
      <c r="F207" s="61">
        <f t="shared" si="116"/>
        <v>0</v>
      </c>
      <c r="G207" s="61">
        <f t="shared" si="112"/>
        <v>0</v>
      </c>
      <c r="H207" s="61">
        <v>107500</v>
      </c>
      <c r="I207" s="61">
        <f>+C207+D207-E207-F207+G207</f>
        <v>107500</v>
      </c>
      <c r="J207" s="9">
        <f t="shared" si="117"/>
        <v>0</v>
      </c>
      <c r="K207" s="45" t="s">
        <v>270</v>
      </c>
      <c r="L207" s="47">
        <v>287000</v>
      </c>
      <c r="M207" s="47">
        <v>0</v>
      </c>
      <c r="N207" s="47">
        <v>198000</v>
      </c>
      <c r="O207" s="47">
        <v>0</v>
      </c>
    </row>
    <row r="208" spans="1:16" x14ac:dyDescent="0.3">
      <c r="A208" s="58" t="str">
        <f t="shared" si="113"/>
        <v>Donald</v>
      </c>
      <c r="B208" s="59" t="s">
        <v>154</v>
      </c>
      <c r="C208" s="61">
        <v>10650</v>
      </c>
      <c r="D208" s="61">
        <f t="shared" si="114"/>
        <v>30000</v>
      </c>
      <c r="E208" s="61">
        <f t="shared" si="115"/>
        <v>32000</v>
      </c>
      <c r="F208" s="61">
        <f t="shared" si="116"/>
        <v>0</v>
      </c>
      <c r="G208" s="61">
        <f t="shared" si="112"/>
        <v>0</v>
      </c>
      <c r="H208" s="61">
        <v>8650</v>
      </c>
      <c r="I208" s="61">
        <f t="shared" ref="I208:I209" si="118">+C208+D208-E208-F208+G208</f>
        <v>8650</v>
      </c>
      <c r="J208" s="9">
        <f t="shared" si="117"/>
        <v>0</v>
      </c>
      <c r="K208" s="45" t="s">
        <v>256</v>
      </c>
      <c r="L208" s="47">
        <v>30000</v>
      </c>
      <c r="M208" s="47">
        <v>0</v>
      </c>
      <c r="N208" s="47">
        <v>32000</v>
      </c>
      <c r="O208" s="47">
        <v>0</v>
      </c>
    </row>
    <row r="209" spans="1:15" x14ac:dyDescent="0.3">
      <c r="A209" s="58" t="str">
        <f t="shared" si="113"/>
        <v>Evariste</v>
      </c>
      <c r="B209" s="59" t="s">
        <v>155</v>
      </c>
      <c r="C209" s="61">
        <v>8325</v>
      </c>
      <c r="D209" s="61">
        <f t="shared" si="114"/>
        <v>295000</v>
      </c>
      <c r="E209" s="61">
        <f t="shared" si="115"/>
        <v>135000</v>
      </c>
      <c r="F209" s="61">
        <f t="shared" si="116"/>
        <v>150000</v>
      </c>
      <c r="G209" s="61">
        <f t="shared" si="112"/>
        <v>0</v>
      </c>
      <c r="H209" s="61">
        <v>18325</v>
      </c>
      <c r="I209" s="61">
        <f t="shared" si="118"/>
        <v>18325</v>
      </c>
      <c r="J209" s="9">
        <f t="shared" si="117"/>
        <v>0</v>
      </c>
      <c r="K209" s="45" t="s">
        <v>31</v>
      </c>
      <c r="L209" s="47">
        <v>295000</v>
      </c>
      <c r="M209" s="47">
        <v>150000</v>
      </c>
      <c r="N209" s="47">
        <v>135000</v>
      </c>
      <c r="O209" s="47">
        <v>0</v>
      </c>
    </row>
    <row r="210" spans="1:15" x14ac:dyDescent="0.3">
      <c r="A210" s="58" t="str">
        <f t="shared" si="113"/>
        <v>I55S</v>
      </c>
      <c r="B210" s="116" t="s">
        <v>4</v>
      </c>
      <c r="C210" s="118">
        <v>233614</v>
      </c>
      <c r="D210" s="118">
        <f t="shared" si="114"/>
        <v>0</v>
      </c>
      <c r="E210" s="118">
        <f>+N210</f>
        <v>0</v>
      </c>
      <c r="F210" s="118">
        <f t="shared" si="116"/>
        <v>0</v>
      </c>
      <c r="G210" s="118">
        <f t="shared" si="112"/>
        <v>0</v>
      </c>
      <c r="H210" s="118">
        <v>233614</v>
      </c>
      <c r="I210" s="118">
        <f>+C210+D210-E210-F210+G210</f>
        <v>233614</v>
      </c>
      <c r="J210" s="9">
        <f t="shared" si="117"/>
        <v>0</v>
      </c>
      <c r="K210" s="45" t="s">
        <v>84</v>
      </c>
      <c r="L210" s="47">
        <v>0</v>
      </c>
      <c r="M210" s="47">
        <v>0</v>
      </c>
      <c r="N210" s="47">
        <v>0</v>
      </c>
      <c r="O210" s="47">
        <v>0</v>
      </c>
    </row>
    <row r="211" spans="1:15" x14ac:dyDescent="0.3">
      <c r="A211" s="58" t="str">
        <f t="shared" si="113"/>
        <v>I73X</v>
      </c>
      <c r="B211" s="116" t="s">
        <v>4</v>
      </c>
      <c r="C211" s="118">
        <v>249769</v>
      </c>
      <c r="D211" s="118">
        <f t="shared" si="114"/>
        <v>0</v>
      </c>
      <c r="E211" s="118">
        <f>+N211</f>
        <v>0</v>
      </c>
      <c r="F211" s="118">
        <f t="shared" si="116"/>
        <v>0</v>
      </c>
      <c r="G211" s="118">
        <f t="shared" si="112"/>
        <v>0</v>
      </c>
      <c r="H211" s="118">
        <v>249769</v>
      </c>
      <c r="I211" s="118">
        <f t="shared" ref="I211:I213" si="119">+C211+D211-E211-F211+G211</f>
        <v>249769</v>
      </c>
      <c r="J211" s="9">
        <f t="shared" si="117"/>
        <v>0</v>
      </c>
      <c r="K211" s="45" t="s">
        <v>83</v>
      </c>
      <c r="L211" s="47">
        <v>0</v>
      </c>
      <c r="M211" s="47">
        <v>0</v>
      </c>
      <c r="N211" s="47">
        <v>0</v>
      </c>
      <c r="O211" s="47">
        <v>0</v>
      </c>
    </row>
    <row r="212" spans="1:15" s="188" customFormat="1" ht="15.6" x14ac:dyDescent="0.3">
      <c r="A212" s="58" t="str">
        <f t="shared" si="113"/>
        <v>Grace</v>
      </c>
      <c r="B212" s="59" t="s">
        <v>2</v>
      </c>
      <c r="C212" s="184">
        <v>20750</v>
      </c>
      <c r="D212" s="61">
        <f t="shared" si="114"/>
        <v>0</v>
      </c>
      <c r="E212" s="61">
        <f t="shared" ref="E212" si="120">+N212</f>
        <v>9500</v>
      </c>
      <c r="F212" s="61">
        <f t="shared" si="116"/>
        <v>0</v>
      </c>
      <c r="G212" s="61">
        <f t="shared" si="112"/>
        <v>0</v>
      </c>
      <c r="H212" s="184">
        <v>11250</v>
      </c>
      <c r="I212" s="184">
        <f t="shared" si="119"/>
        <v>11250</v>
      </c>
      <c r="J212" s="185">
        <f>I212-H212</f>
        <v>0</v>
      </c>
      <c r="K212" s="186" t="s">
        <v>143</v>
      </c>
      <c r="L212" s="187">
        <v>0</v>
      </c>
      <c r="M212" s="187">
        <v>0</v>
      </c>
      <c r="N212" s="47">
        <v>9500</v>
      </c>
      <c r="O212" s="187">
        <v>0</v>
      </c>
    </row>
    <row r="213" spans="1:15" x14ac:dyDescent="0.3">
      <c r="A213" s="58" t="str">
        <f t="shared" si="113"/>
        <v>Hurielle</v>
      </c>
      <c r="B213" s="98" t="s">
        <v>154</v>
      </c>
      <c r="C213" s="61">
        <v>153550</v>
      </c>
      <c r="D213" s="61">
        <f t="shared" si="114"/>
        <v>628000</v>
      </c>
      <c r="E213" s="61">
        <f>+N213</f>
        <v>638695</v>
      </c>
      <c r="F213" s="61">
        <f>+M213</f>
        <v>103500</v>
      </c>
      <c r="G213" s="61">
        <f t="shared" si="112"/>
        <v>0</v>
      </c>
      <c r="H213" s="61">
        <v>39355</v>
      </c>
      <c r="I213" s="61">
        <f t="shared" si="119"/>
        <v>39355</v>
      </c>
      <c r="J213" s="9">
        <f t="shared" ref="J213" si="121">I213-H213</f>
        <v>0</v>
      </c>
      <c r="K213" s="45" t="s">
        <v>197</v>
      </c>
      <c r="L213" s="47">
        <v>628000</v>
      </c>
      <c r="M213" s="47">
        <v>103500</v>
      </c>
      <c r="N213" s="47">
        <v>638695</v>
      </c>
      <c r="O213" s="47">
        <v>0</v>
      </c>
    </row>
    <row r="214" spans="1:15" s="188" customFormat="1" ht="15.6" x14ac:dyDescent="0.3">
      <c r="A214" s="58" t="str">
        <f t="shared" si="113"/>
        <v>Merveille</v>
      </c>
      <c r="B214" s="59" t="s">
        <v>2</v>
      </c>
      <c r="C214" s="184">
        <v>70300</v>
      </c>
      <c r="D214" s="61">
        <f t="shared" si="114"/>
        <v>3000</v>
      </c>
      <c r="E214" s="61">
        <f t="shared" ref="E214:E217" si="122">+N214</f>
        <v>29000</v>
      </c>
      <c r="F214" s="61">
        <f t="shared" ref="F214:F217" si="123">+M214</f>
        <v>30000</v>
      </c>
      <c r="G214" s="61">
        <f t="shared" ref="G214:G217" si="124">+O214</f>
        <v>0</v>
      </c>
      <c r="H214" s="184">
        <v>14300</v>
      </c>
      <c r="I214" s="184">
        <f t="shared" ref="I214:I215" si="125">+C214+D214-E214-F214+G214</f>
        <v>14300</v>
      </c>
      <c r="J214" s="185">
        <f>I214-H214</f>
        <v>0</v>
      </c>
      <c r="K214" s="186" t="s">
        <v>93</v>
      </c>
      <c r="L214" s="187">
        <v>3000</v>
      </c>
      <c r="M214" s="187">
        <v>30000</v>
      </c>
      <c r="N214" s="47">
        <v>29000</v>
      </c>
      <c r="O214" s="187">
        <v>0</v>
      </c>
    </row>
    <row r="215" spans="1:15" x14ac:dyDescent="0.3">
      <c r="A215" s="58" t="str">
        <f t="shared" si="113"/>
        <v>P29</v>
      </c>
      <c r="B215" s="98" t="s">
        <v>4</v>
      </c>
      <c r="C215" s="61">
        <v>99100</v>
      </c>
      <c r="D215" s="61">
        <f t="shared" si="114"/>
        <v>224000</v>
      </c>
      <c r="E215" s="61">
        <f t="shared" si="122"/>
        <v>222500</v>
      </c>
      <c r="F215" s="61">
        <f t="shared" si="123"/>
        <v>0</v>
      </c>
      <c r="G215" s="61">
        <f t="shared" si="124"/>
        <v>0</v>
      </c>
      <c r="H215" s="61">
        <v>100600</v>
      </c>
      <c r="I215" s="61">
        <f t="shared" si="125"/>
        <v>100600</v>
      </c>
      <c r="J215" s="9">
        <f t="shared" ref="J215:J216" si="126">I215-H215</f>
        <v>0</v>
      </c>
      <c r="K215" s="45" t="s">
        <v>29</v>
      </c>
      <c r="L215" s="47">
        <v>224000</v>
      </c>
      <c r="M215" s="47">
        <v>0</v>
      </c>
      <c r="N215" s="47">
        <v>222500</v>
      </c>
      <c r="O215" s="47">
        <v>0</v>
      </c>
    </row>
    <row r="216" spans="1:15" ht="15.6" x14ac:dyDescent="0.3">
      <c r="A216" s="58" t="str">
        <f t="shared" si="113"/>
        <v>T73</v>
      </c>
      <c r="B216" s="59" t="s">
        <v>4</v>
      </c>
      <c r="C216" s="61">
        <v>13900</v>
      </c>
      <c r="D216" s="61">
        <f>+L216</f>
        <v>672000</v>
      </c>
      <c r="E216" s="61">
        <f t="shared" si="122"/>
        <v>477600</v>
      </c>
      <c r="F216" s="61">
        <f t="shared" si="123"/>
        <v>0</v>
      </c>
      <c r="G216" s="61">
        <f t="shared" si="124"/>
        <v>0</v>
      </c>
      <c r="H216" s="61">
        <v>208300</v>
      </c>
      <c r="I216" s="61">
        <f>+C216+D216-E216-F216+G216</f>
        <v>208300</v>
      </c>
      <c r="J216" s="9">
        <f t="shared" si="126"/>
        <v>0</v>
      </c>
      <c r="K216" s="45" t="s">
        <v>269</v>
      </c>
      <c r="L216" s="47">
        <v>672000</v>
      </c>
      <c r="M216" s="47">
        <v>0</v>
      </c>
      <c r="N216" s="187">
        <v>477600</v>
      </c>
      <c r="O216" s="47">
        <v>0</v>
      </c>
    </row>
    <row r="217" spans="1:15" x14ac:dyDescent="0.3">
      <c r="A217" s="58" t="str">
        <f t="shared" si="113"/>
        <v>Tiffany</v>
      </c>
      <c r="B217" s="59" t="s">
        <v>2</v>
      </c>
      <c r="C217" s="61">
        <v>-3324</v>
      </c>
      <c r="D217" s="61">
        <f t="shared" ref="D217" si="127">+L217</f>
        <v>40000</v>
      </c>
      <c r="E217" s="61">
        <f t="shared" si="122"/>
        <v>10000</v>
      </c>
      <c r="F217" s="61">
        <f t="shared" si="123"/>
        <v>0</v>
      </c>
      <c r="G217" s="61">
        <f t="shared" si="124"/>
        <v>0</v>
      </c>
      <c r="H217" s="61">
        <v>26676</v>
      </c>
      <c r="I217" s="61">
        <f>+C217+D217-E217-F217+G217</f>
        <v>26676</v>
      </c>
      <c r="J217" s="9">
        <f>I217-H217</f>
        <v>0</v>
      </c>
      <c r="K217" s="45" t="s">
        <v>113</v>
      </c>
      <c r="L217" s="47">
        <v>40000</v>
      </c>
      <c r="M217" s="47">
        <v>0</v>
      </c>
      <c r="N217" s="47">
        <v>10000</v>
      </c>
      <c r="O217" s="47">
        <v>0</v>
      </c>
    </row>
    <row r="218" spans="1:15" x14ac:dyDescent="0.3">
      <c r="A218" s="10" t="s">
        <v>50</v>
      </c>
      <c r="B218" s="11"/>
      <c r="C218" s="12">
        <f t="shared" ref="C218:I218" si="128">SUM(C203:C217)</f>
        <v>17554032</v>
      </c>
      <c r="D218" s="57">
        <f t="shared" si="128"/>
        <v>6829500</v>
      </c>
      <c r="E218" s="57">
        <f t="shared" si="128"/>
        <v>8414912</v>
      </c>
      <c r="F218" s="57">
        <f t="shared" si="128"/>
        <v>6829500</v>
      </c>
      <c r="G218" s="57">
        <f t="shared" si="128"/>
        <v>0</v>
      </c>
      <c r="H218" s="57">
        <f t="shared" si="128"/>
        <v>9139120</v>
      </c>
      <c r="I218" s="57">
        <f t="shared" si="128"/>
        <v>9139120</v>
      </c>
      <c r="J218" s="9">
        <f>I218-H218</f>
        <v>0</v>
      </c>
      <c r="K218" s="3"/>
      <c r="L218" s="47">
        <f>+SUM(L203:L217)</f>
        <v>6829500</v>
      </c>
      <c r="M218" s="47">
        <f>+SUM(M203:M217)</f>
        <v>6829500</v>
      </c>
      <c r="N218" s="47">
        <f>+SUM(N203:N217)</f>
        <v>8414912</v>
      </c>
      <c r="O218" s="47">
        <f>+SUM(O203:O217)</f>
        <v>0</v>
      </c>
    </row>
    <row r="219" spans="1:15" x14ac:dyDescent="0.3">
      <c r="A219" s="10"/>
      <c r="B219" s="11"/>
      <c r="C219" s="12"/>
      <c r="D219" s="13"/>
      <c r="E219" s="12"/>
      <c r="F219" s="13"/>
      <c r="G219" s="12"/>
      <c r="H219" s="12"/>
      <c r="I219" s="134" t="b">
        <f>I218=D221</f>
        <v>1</v>
      </c>
      <c r="J219" s="9">
        <f>H218-I218</f>
        <v>0</v>
      </c>
      <c r="L219" s="5"/>
      <c r="M219" s="5"/>
      <c r="N219" s="5"/>
      <c r="O219" s="5"/>
    </row>
    <row r="220" spans="1:15" x14ac:dyDescent="0.3">
      <c r="A220" s="10" t="s">
        <v>277</v>
      </c>
      <c r="B220" s="11" t="s">
        <v>183</v>
      </c>
      <c r="C220" s="12" t="s">
        <v>184</v>
      </c>
      <c r="D220" s="12" t="s">
        <v>278</v>
      </c>
      <c r="E220" s="12" t="s">
        <v>51</v>
      </c>
      <c r="F220" s="12"/>
      <c r="G220" s="12">
        <f>+D218-F218</f>
        <v>0</v>
      </c>
      <c r="H220" s="12"/>
      <c r="I220" s="12"/>
    </row>
    <row r="221" spans="1:15" x14ac:dyDescent="0.3">
      <c r="A221" s="14">
        <f>C218</f>
        <v>17554032</v>
      </c>
      <c r="B221" s="15">
        <f>G218</f>
        <v>0</v>
      </c>
      <c r="C221" s="12">
        <f>E218</f>
        <v>8414912</v>
      </c>
      <c r="D221" s="12">
        <f>A221+B221-C221</f>
        <v>9139120</v>
      </c>
      <c r="E221" s="13">
        <f>I218-D221</f>
        <v>0</v>
      </c>
      <c r="F221" s="12"/>
      <c r="G221" s="12"/>
      <c r="H221" s="12"/>
      <c r="I221" s="12"/>
    </row>
    <row r="222" spans="1:15" x14ac:dyDescent="0.3">
      <c r="A222" s="14"/>
      <c r="B222" s="15"/>
      <c r="C222" s="12"/>
      <c r="D222" s="12"/>
      <c r="E222" s="13"/>
      <c r="F222" s="12"/>
      <c r="G222" s="12"/>
      <c r="H222" s="12"/>
      <c r="I222" s="12"/>
    </row>
    <row r="223" spans="1:15" x14ac:dyDescent="0.3">
      <c r="A223" s="16" t="s">
        <v>52</v>
      </c>
      <c r="B223" s="16"/>
      <c r="C223" s="16"/>
      <c r="D223" s="17"/>
      <c r="E223" s="17"/>
      <c r="F223" s="17"/>
      <c r="G223" s="17"/>
      <c r="H223" s="17"/>
      <c r="I223" s="17"/>
    </row>
    <row r="224" spans="1:15" x14ac:dyDescent="0.3">
      <c r="A224" s="18" t="s">
        <v>289</v>
      </c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1" x14ac:dyDescent="0.3">
      <c r="A225" s="19"/>
      <c r="B225" s="17"/>
      <c r="C225" s="20"/>
      <c r="D225" s="20"/>
      <c r="E225" s="20"/>
      <c r="F225" s="20"/>
      <c r="G225" s="20"/>
      <c r="H225" s="17"/>
      <c r="I225" s="17"/>
    </row>
    <row r="226" spans="1:11" ht="45" customHeight="1" x14ac:dyDescent="0.3">
      <c r="A226" s="169" t="s">
        <v>53</v>
      </c>
      <c r="B226" s="171" t="s">
        <v>54</v>
      </c>
      <c r="C226" s="173" t="s">
        <v>280</v>
      </c>
      <c r="D226" s="174" t="s">
        <v>55</v>
      </c>
      <c r="E226" s="175"/>
      <c r="F226" s="175"/>
      <c r="G226" s="176"/>
      <c r="H226" s="177" t="s">
        <v>56</v>
      </c>
      <c r="I226" s="165" t="s">
        <v>57</v>
      </c>
      <c r="J226" s="212"/>
    </row>
    <row r="227" spans="1:11" ht="28.5" customHeight="1" x14ac:dyDescent="0.3">
      <c r="A227" s="170"/>
      <c r="B227" s="172"/>
      <c r="C227" s="22"/>
      <c r="D227" s="21" t="s">
        <v>24</v>
      </c>
      <c r="E227" s="21" t="s">
        <v>25</v>
      </c>
      <c r="F227" s="22" t="s">
        <v>123</v>
      </c>
      <c r="G227" s="21" t="s">
        <v>58</v>
      </c>
      <c r="H227" s="178"/>
      <c r="I227" s="166"/>
      <c r="J227" s="168" t="s">
        <v>279</v>
      </c>
      <c r="K227" s="143"/>
    </row>
    <row r="228" spans="1:11" x14ac:dyDescent="0.3">
      <c r="A228" s="23"/>
      <c r="B228" s="24" t="s">
        <v>59</v>
      </c>
      <c r="C228" s="25"/>
      <c r="D228" s="25"/>
      <c r="E228" s="25"/>
      <c r="F228" s="25"/>
      <c r="G228" s="25"/>
      <c r="H228" s="25"/>
      <c r="I228" s="26"/>
      <c r="J228" s="168"/>
      <c r="K228" s="143"/>
    </row>
    <row r="229" spans="1:11" x14ac:dyDescent="0.3">
      <c r="A229" s="122" t="s">
        <v>115</v>
      </c>
      <c r="B229" s="127" t="s">
        <v>47</v>
      </c>
      <c r="C229" s="32">
        <f>+C206</f>
        <v>89205</v>
      </c>
      <c r="D229" s="31"/>
      <c r="E229" s="32">
        <f>+D206</f>
        <v>337000</v>
      </c>
      <c r="F229" s="32"/>
      <c r="G229" s="32"/>
      <c r="H229" s="55">
        <f>+F206</f>
        <v>30000</v>
      </c>
      <c r="I229" s="32">
        <f>+E206</f>
        <v>350160</v>
      </c>
      <c r="J229" s="30">
        <f t="shared" ref="J229:J232" si="129">+SUM(C229:G229)-(H229+I229)</f>
        <v>46045</v>
      </c>
      <c r="K229" s="144" t="b">
        <f t="shared" ref="K229:K240" si="130">J229=I206</f>
        <v>1</v>
      </c>
    </row>
    <row r="230" spans="1:11" x14ac:dyDescent="0.3">
      <c r="A230" s="122" t="str">
        <f>+A229</f>
        <v>FEVRIER</v>
      </c>
      <c r="B230" s="127" t="s">
        <v>270</v>
      </c>
      <c r="C230" s="32">
        <f t="shared" ref="C230:C232" si="131">+C207</f>
        <v>18500</v>
      </c>
      <c r="D230" s="31"/>
      <c r="E230" s="32">
        <f t="shared" ref="E230:E232" si="132">+D207</f>
        <v>287000</v>
      </c>
      <c r="F230" s="32"/>
      <c r="G230" s="32"/>
      <c r="H230" s="55">
        <f t="shared" ref="H230:H232" si="133">+F207</f>
        <v>0</v>
      </c>
      <c r="I230" s="32">
        <f t="shared" ref="I230:I232" si="134">+E207</f>
        <v>198000</v>
      </c>
      <c r="J230" s="30">
        <f t="shared" si="129"/>
        <v>107500</v>
      </c>
      <c r="K230" s="144" t="b">
        <f t="shared" si="130"/>
        <v>1</v>
      </c>
    </row>
    <row r="231" spans="1:11" x14ac:dyDescent="0.3">
      <c r="A231" s="122" t="str">
        <f t="shared" ref="A231:A240" si="135">+A230</f>
        <v>FEVRIER</v>
      </c>
      <c r="B231" s="127" t="s">
        <v>256</v>
      </c>
      <c r="C231" s="32">
        <f t="shared" si="131"/>
        <v>10650</v>
      </c>
      <c r="D231" s="31"/>
      <c r="E231" s="32">
        <f t="shared" si="132"/>
        <v>30000</v>
      </c>
      <c r="F231" s="32"/>
      <c r="G231" s="32"/>
      <c r="H231" s="55">
        <f t="shared" si="133"/>
        <v>0</v>
      </c>
      <c r="I231" s="32">
        <f t="shared" si="134"/>
        <v>32000</v>
      </c>
      <c r="J231" s="30">
        <f t="shared" si="129"/>
        <v>8650</v>
      </c>
      <c r="K231" s="144" t="b">
        <f t="shared" si="130"/>
        <v>1</v>
      </c>
    </row>
    <row r="232" spans="1:11" x14ac:dyDescent="0.3">
      <c r="A232" s="122" t="str">
        <f t="shared" si="135"/>
        <v>FEVRIER</v>
      </c>
      <c r="B232" s="127" t="s">
        <v>31</v>
      </c>
      <c r="C232" s="32">
        <f t="shared" si="131"/>
        <v>8325</v>
      </c>
      <c r="D232" s="31"/>
      <c r="E232" s="32">
        <f t="shared" si="132"/>
        <v>295000</v>
      </c>
      <c r="F232" s="32"/>
      <c r="G232" s="32"/>
      <c r="H232" s="55">
        <f t="shared" si="133"/>
        <v>150000</v>
      </c>
      <c r="I232" s="32">
        <f t="shared" si="134"/>
        <v>135000</v>
      </c>
      <c r="J232" s="30">
        <f t="shared" si="129"/>
        <v>18325</v>
      </c>
      <c r="K232" s="144" t="b">
        <f t="shared" si="130"/>
        <v>1</v>
      </c>
    </row>
    <row r="233" spans="1:11" x14ac:dyDescent="0.3">
      <c r="A233" s="122" t="str">
        <f t="shared" si="135"/>
        <v>FEVRIER</v>
      </c>
      <c r="B233" s="129" t="s">
        <v>84</v>
      </c>
      <c r="C233" s="120">
        <f>+C210</f>
        <v>233614</v>
      </c>
      <c r="D233" s="123"/>
      <c r="E233" s="120">
        <f>+D210</f>
        <v>0</v>
      </c>
      <c r="F233" s="137"/>
      <c r="G233" s="137"/>
      <c r="H233" s="155">
        <f>+F210</f>
        <v>0</v>
      </c>
      <c r="I233" s="120">
        <f>+E210</f>
        <v>0</v>
      </c>
      <c r="J233" s="121">
        <f>+SUM(C233:G233)-(H233+I233)</f>
        <v>233614</v>
      </c>
      <c r="K233" s="144" t="b">
        <f t="shared" si="130"/>
        <v>1</v>
      </c>
    </row>
    <row r="234" spans="1:11" x14ac:dyDescent="0.3">
      <c r="A234" s="122" t="str">
        <f t="shared" si="135"/>
        <v>FEVRIER</v>
      </c>
      <c r="B234" s="129" t="s">
        <v>83</v>
      </c>
      <c r="C234" s="120">
        <f>+C211</f>
        <v>249769</v>
      </c>
      <c r="D234" s="123"/>
      <c r="E234" s="120">
        <f>+D211</f>
        <v>0</v>
      </c>
      <c r="F234" s="137"/>
      <c r="G234" s="137"/>
      <c r="H234" s="155">
        <f>+F211</f>
        <v>0</v>
      </c>
      <c r="I234" s="120">
        <f>+E211</f>
        <v>0</v>
      </c>
      <c r="J234" s="121">
        <f t="shared" ref="J234:J240" si="136">+SUM(C234:G234)-(H234+I234)</f>
        <v>249769</v>
      </c>
      <c r="K234" s="144" t="b">
        <f t="shared" si="130"/>
        <v>1</v>
      </c>
    </row>
    <row r="235" spans="1:11" x14ac:dyDescent="0.3">
      <c r="A235" s="122" t="str">
        <f t="shared" si="135"/>
        <v>FEVRIER</v>
      </c>
      <c r="B235" s="127" t="s">
        <v>143</v>
      </c>
      <c r="C235" s="32">
        <f>+C212</f>
        <v>20750</v>
      </c>
      <c r="D235" s="31"/>
      <c r="E235" s="32">
        <f>+D212</f>
        <v>0</v>
      </c>
      <c r="F235" s="32"/>
      <c r="G235" s="104"/>
      <c r="H235" s="55">
        <f>+F212</f>
        <v>0</v>
      </c>
      <c r="I235" s="32">
        <f>+E212</f>
        <v>9500</v>
      </c>
      <c r="J235" s="30">
        <f t="shared" si="136"/>
        <v>11250</v>
      </c>
      <c r="K235" s="144" t="b">
        <f t="shared" si="130"/>
        <v>1</v>
      </c>
    </row>
    <row r="236" spans="1:11" x14ac:dyDescent="0.3">
      <c r="A236" s="122" t="str">
        <f t="shared" si="135"/>
        <v>FEVRIER</v>
      </c>
      <c r="B236" s="127" t="s">
        <v>197</v>
      </c>
      <c r="C236" s="32">
        <f>+C213</f>
        <v>153550</v>
      </c>
      <c r="D236" s="31"/>
      <c r="E236" s="32">
        <f>+D213</f>
        <v>628000</v>
      </c>
      <c r="F236" s="32"/>
      <c r="G236" s="104"/>
      <c r="H236" s="55">
        <f>+F213</f>
        <v>103500</v>
      </c>
      <c r="I236" s="32">
        <f>+E213</f>
        <v>638695</v>
      </c>
      <c r="J236" s="30">
        <f t="shared" si="136"/>
        <v>39355</v>
      </c>
      <c r="K236" s="144" t="b">
        <f t="shared" si="130"/>
        <v>1</v>
      </c>
    </row>
    <row r="237" spans="1:11" x14ac:dyDescent="0.3">
      <c r="A237" s="122" t="str">
        <f>A236</f>
        <v>FEVRIER</v>
      </c>
      <c r="B237" s="127" t="s">
        <v>93</v>
      </c>
      <c r="C237" s="32">
        <f t="shared" ref="C237:C240" si="137">+C214</f>
        <v>70300</v>
      </c>
      <c r="D237" s="31"/>
      <c r="E237" s="32">
        <f t="shared" ref="E237:E240" si="138">+D214</f>
        <v>3000</v>
      </c>
      <c r="F237" s="32"/>
      <c r="G237" s="104"/>
      <c r="H237" s="55">
        <f t="shared" ref="H237:H240" si="139">+F214</f>
        <v>30000</v>
      </c>
      <c r="I237" s="32">
        <f t="shared" ref="I237:I240" si="140">+E214</f>
        <v>29000</v>
      </c>
      <c r="J237" s="30">
        <f t="shared" si="136"/>
        <v>14300</v>
      </c>
      <c r="K237" s="144" t="b">
        <f t="shared" si="130"/>
        <v>1</v>
      </c>
    </row>
    <row r="238" spans="1:11" x14ac:dyDescent="0.3">
      <c r="A238" s="122" t="str">
        <f t="shared" si="135"/>
        <v>FEVRIER</v>
      </c>
      <c r="B238" s="127" t="s">
        <v>29</v>
      </c>
      <c r="C238" s="32">
        <f t="shared" si="137"/>
        <v>99100</v>
      </c>
      <c r="D238" s="31"/>
      <c r="E238" s="32">
        <f t="shared" si="138"/>
        <v>224000</v>
      </c>
      <c r="F238" s="32"/>
      <c r="G238" s="104"/>
      <c r="H238" s="55">
        <f t="shared" si="139"/>
        <v>0</v>
      </c>
      <c r="I238" s="32">
        <f t="shared" si="140"/>
        <v>222500</v>
      </c>
      <c r="J238" s="30">
        <f t="shared" si="136"/>
        <v>100600</v>
      </c>
      <c r="K238" s="144" t="b">
        <f t="shared" si="130"/>
        <v>1</v>
      </c>
    </row>
    <row r="239" spans="1:11" x14ac:dyDescent="0.3">
      <c r="A239" s="122" t="str">
        <f t="shared" si="135"/>
        <v>FEVRIER</v>
      </c>
      <c r="B239" s="128" t="s">
        <v>269</v>
      </c>
      <c r="C239" s="32">
        <f t="shared" si="137"/>
        <v>13900</v>
      </c>
      <c r="D239" s="119"/>
      <c r="E239" s="32">
        <f t="shared" si="138"/>
        <v>672000</v>
      </c>
      <c r="F239" s="51"/>
      <c r="G239" s="138"/>
      <c r="H239" s="55">
        <f t="shared" si="139"/>
        <v>0</v>
      </c>
      <c r="I239" s="32">
        <f t="shared" si="140"/>
        <v>477600</v>
      </c>
      <c r="J239" s="30">
        <f t="shared" si="136"/>
        <v>208300</v>
      </c>
      <c r="K239" s="144" t="b">
        <f t="shared" si="130"/>
        <v>1</v>
      </c>
    </row>
    <row r="240" spans="1:11" x14ac:dyDescent="0.3">
      <c r="A240" s="122" t="str">
        <f t="shared" si="135"/>
        <v>FEVRIER</v>
      </c>
      <c r="B240" s="128" t="s">
        <v>113</v>
      </c>
      <c r="C240" s="32">
        <f t="shared" si="137"/>
        <v>-3324</v>
      </c>
      <c r="D240" s="119"/>
      <c r="E240" s="32">
        <f t="shared" si="138"/>
        <v>40000</v>
      </c>
      <c r="F240" s="51"/>
      <c r="G240" s="138"/>
      <c r="H240" s="55">
        <f t="shared" si="139"/>
        <v>0</v>
      </c>
      <c r="I240" s="32">
        <f t="shared" si="140"/>
        <v>10000</v>
      </c>
      <c r="J240" s="30">
        <f t="shared" si="136"/>
        <v>26676</v>
      </c>
      <c r="K240" s="144" t="b">
        <f t="shared" si="130"/>
        <v>1</v>
      </c>
    </row>
    <row r="241" spans="1:16" x14ac:dyDescent="0.3">
      <c r="A241" s="34" t="s">
        <v>60</v>
      </c>
      <c r="B241" s="35"/>
      <c r="C241" s="35"/>
      <c r="D241" s="35"/>
      <c r="E241" s="35"/>
      <c r="F241" s="35"/>
      <c r="G241" s="35"/>
      <c r="H241" s="35"/>
      <c r="I241" s="35"/>
      <c r="J241" s="36"/>
      <c r="K241" s="143"/>
    </row>
    <row r="242" spans="1:16" x14ac:dyDescent="0.3">
      <c r="A242" s="122" t="str">
        <f>A240</f>
        <v>FEVRIER</v>
      </c>
      <c r="B242" s="37" t="s">
        <v>61</v>
      </c>
      <c r="C242" s="38">
        <f>+C205</f>
        <v>899588</v>
      </c>
      <c r="D242" s="49"/>
      <c r="E242" s="49">
        <f>D205</f>
        <v>4313500</v>
      </c>
      <c r="F242" s="49"/>
      <c r="G242" s="125"/>
      <c r="H242" s="51">
        <f>+F205</f>
        <v>2516000</v>
      </c>
      <c r="I242" s="126">
        <f>+E205</f>
        <v>1771593</v>
      </c>
      <c r="J242" s="30">
        <f>+SUM(C242:G242)-(H242+I242)</f>
        <v>925495</v>
      </c>
      <c r="K242" s="144" t="b">
        <f>J242=I205</f>
        <v>1</v>
      </c>
    </row>
    <row r="243" spans="1:16" x14ac:dyDescent="0.3">
      <c r="A243" s="43" t="s">
        <v>62</v>
      </c>
      <c r="B243" s="24"/>
      <c r="C243" s="35"/>
      <c r="D243" s="24"/>
      <c r="E243" s="24"/>
      <c r="F243" s="24"/>
      <c r="G243" s="24"/>
      <c r="H243" s="24"/>
      <c r="I243" s="24"/>
      <c r="J243" s="36"/>
      <c r="K243" s="143"/>
    </row>
    <row r="244" spans="1:16" x14ac:dyDescent="0.3">
      <c r="A244" s="122" t="str">
        <f>+A242</f>
        <v>FEVRIER</v>
      </c>
      <c r="B244" s="37" t="s">
        <v>24</v>
      </c>
      <c r="C244" s="125">
        <f>+C203</f>
        <v>9351552</v>
      </c>
      <c r="D244" s="132">
        <f>+G203</f>
        <v>0</v>
      </c>
      <c r="E244" s="49"/>
      <c r="F244" s="49"/>
      <c r="G244" s="49"/>
      <c r="H244" s="51">
        <f>+F203</f>
        <v>4000000</v>
      </c>
      <c r="I244" s="53">
        <f>+E203</f>
        <v>433345</v>
      </c>
      <c r="J244" s="30">
        <f>+SUM(C244:G244)-(H244+I244)</f>
        <v>4918207</v>
      </c>
      <c r="K244" s="144" t="b">
        <f>+J244=I203</f>
        <v>1</v>
      </c>
    </row>
    <row r="245" spans="1:16" x14ac:dyDescent="0.3">
      <c r="A245" s="122" t="str">
        <f t="shared" ref="A245" si="141">+A244</f>
        <v>FEVRIER</v>
      </c>
      <c r="B245" s="37" t="s">
        <v>64</v>
      </c>
      <c r="C245" s="125">
        <f>+C204</f>
        <v>6338553</v>
      </c>
      <c r="D245" s="49">
        <f>+G204</f>
        <v>0</v>
      </c>
      <c r="E245" s="48"/>
      <c r="F245" s="48"/>
      <c r="G245" s="48"/>
      <c r="H245" s="32">
        <f>+F204</f>
        <v>0</v>
      </c>
      <c r="I245" s="50">
        <f>+E204</f>
        <v>4107519</v>
      </c>
      <c r="J245" s="30">
        <f>SUM(C245:G245)-(H245+I245)</f>
        <v>2231034</v>
      </c>
      <c r="K245" s="144" t="b">
        <f>+J245=I204</f>
        <v>1</v>
      </c>
    </row>
    <row r="246" spans="1:16" ht="15.6" x14ac:dyDescent="0.3">
      <c r="C246" s="141">
        <f>SUM(C229:C245)</f>
        <v>17554032</v>
      </c>
      <c r="I246" s="140">
        <f>SUM(I229:I245)</f>
        <v>8414912</v>
      </c>
      <c r="J246" s="105">
        <f>+SUM(J229:J245)</f>
        <v>9139120</v>
      </c>
      <c r="K246" s="5" t="b">
        <f>J246=I218</f>
        <v>1</v>
      </c>
    </row>
    <row r="247" spans="1:16" ht="15.6" x14ac:dyDescent="0.3">
      <c r="C247" s="141"/>
      <c r="I247" s="140"/>
      <c r="J247" s="105"/>
    </row>
    <row r="248" spans="1:16" ht="15.6" x14ac:dyDescent="0.3">
      <c r="A248" s="160"/>
      <c r="B248" s="160"/>
      <c r="C248" s="161"/>
      <c r="D248" s="160"/>
      <c r="E248" s="160"/>
      <c r="F248" s="160"/>
      <c r="G248" s="160"/>
      <c r="H248" s="160"/>
      <c r="I248" s="162"/>
      <c r="J248" s="163"/>
      <c r="K248" s="160"/>
      <c r="L248" s="164"/>
      <c r="M248" s="164"/>
      <c r="N248" s="164"/>
      <c r="O248" s="164"/>
      <c r="P248" s="160"/>
    </row>
    <row r="249" spans="1:16" ht="15.75" customHeight="1" x14ac:dyDescent="0.3"/>
    <row r="250" spans="1:16" ht="15.6" x14ac:dyDescent="0.3">
      <c r="A250" s="6" t="s">
        <v>36</v>
      </c>
      <c r="B250" s="6" t="s">
        <v>1</v>
      </c>
      <c r="C250" s="6">
        <v>44927</v>
      </c>
      <c r="D250" s="7" t="s">
        <v>37</v>
      </c>
      <c r="E250" s="7" t="s">
        <v>38</v>
      </c>
      <c r="F250" s="7" t="s">
        <v>39</v>
      </c>
      <c r="G250" s="7" t="s">
        <v>40</v>
      </c>
      <c r="H250" s="6">
        <v>44957</v>
      </c>
      <c r="I250" s="7" t="s">
        <v>41</v>
      </c>
      <c r="K250" s="45"/>
      <c r="L250" s="45" t="s">
        <v>42</v>
      </c>
      <c r="M250" s="45" t="s">
        <v>43</v>
      </c>
      <c r="N250" s="45" t="s">
        <v>44</v>
      </c>
      <c r="O250" s="45" t="s">
        <v>45</v>
      </c>
    </row>
    <row r="251" spans="1:16" x14ac:dyDescent="0.3">
      <c r="A251" s="58" t="str">
        <f>K251</f>
        <v>BCI</v>
      </c>
      <c r="B251" s="59" t="s">
        <v>46</v>
      </c>
      <c r="C251" s="61">
        <v>13524897</v>
      </c>
      <c r="D251" s="61">
        <f>+L251</f>
        <v>0</v>
      </c>
      <c r="E251" s="61">
        <f>+N251</f>
        <v>173345</v>
      </c>
      <c r="F251" s="61">
        <f>+M251</f>
        <v>4000000</v>
      </c>
      <c r="G251" s="61">
        <f t="shared" ref="G251:G266" si="142">+O251</f>
        <v>0</v>
      </c>
      <c r="H251" s="61">
        <v>9351552</v>
      </c>
      <c r="I251" s="61">
        <f>+C251+D251-E251-F251+G251</f>
        <v>9351552</v>
      </c>
      <c r="J251" s="9">
        <f>I251-H251</f>
        <v>0</v>
      </c>
      <c r="K251" s="45" t="s">
        <v>24</v>
      </c>
      <c r="L251" s="47">
        <v>0</v>
      </c>
      <c r="M251" s="47">
        <v>4000000</v>
      </c>
      <c r="N251" s="47">
        <v>173345</v>
      </c>
      <c r="O251" s="47">
        <v>0</v>
      </c>
    </row>
    <row r="252" spans="1:16" x14ac:dyDescent="0.3">
      <c r="A252" s="58" t="str">
        <f t="shared" ref="A252:A266" si="143">K252</f>
        <v>BCI-Sous Compte</v>
      </c>
      <c r="B252" s="59" t="s">
        <v>46</v>
      </c>
      <c r="C252" s="61">
        <v>2476363</v>
      </c>
      <c r="D252" s="61">
        <f t="shared" ref="D252:D264" si="144">+L252</f>
        <v>0</v>
      </c>
      <c r="E252" s="61">
        <f t="shared" ref="E252:E257" si="145">+N252</f>
        <v>4873189</v>
      </c>
      <c r="F252" s="61">
        <f t="shared" ref="F252:F260" si="146">+M252</f>
        <v>0</v>
      </c>
      <c r="G252" s="61">
        <f t="shared" si="142"/>
        <v>8735379</v>
      </c>
      <c r="H252" s="61">
        <v>6338553</v>
      </c>
      <c r="I252" s="61">
        <f>+C252+D252-E252-F252+G252</f>
        <v>6338553</v>
      </c>
      <c r="J252" s="9">
        <f t="shared" ref="J252:J259" si="147">I252-H252</f>
        <v>0</v>
      </c>
      <c r="K252" s="45" t="s">
        <v>148</v>
      </c>
      <c r="L252" s="46">
        <v>0</v>
      </c>
      <c r="M252" s="47">
        <v>0</v>
      </c>
      <c r="N252" s="47">
        <v>4873189</v>
      </c>
      <c r="O252" s="47">
        <v>8735379</v>
      </c>
    </row>
    <row r="253" spans="1:16" x14ac:dyDescent="0.3">
      <c r="A253" s="58" t="str">
        <f t="shared" si="143"/>
        <v>Caisse</v>
      </c>
      <c r="B253" s="59" t="s">
        <v>25</v>
      </c>
      <c r="C253" s="61">
        <v>1335599</v>
      </c>
      <c r="D253" s="61">
        <f t="shared" si="144"/>
        <v>4277000</v>
      </c>
      <c r="E253" s="61">
        <f t="shared" si="145"/>
        <v>2382011</v>
      </c>
      <c r="F253" s="61">
        <f t="shared" si="146"/>
        <v>2331000</v>
      </c>
      <c r="G253" s="61">
        <f t="shared" si="142"/>
        <v>0</v>
      </c>
      <c r="H253" s="61">
        <v>899588</v>
      </c>
      <c r="I253" s="61">
        <f>+C253+D253-E253-F253+G253</f>
        <v>899588</v>
      </c>
      <c r="J253" s="102">
        <f t="shared" si="147"/>
        <v>0</v>
      </c>
      <c r="K253" s="45" t="s">
        <v>25</v>
      </c>
      <c r="L253" s="47">
        <v>4277000</v>
      </c>
      <c r="M253" s="47">
        <v>2331000</v>
      </c>
      <c r="N253" s="47">
        <v>2382011</v>
      </c>
      <c r="O253" s="47">
        <v>0</v>
      </c>
    </row>
    <row r="254" spans="1:16" x14ac:dyDescent="0.3">
      <c r="A254" s="58" t="str">
        <f t="shared" si="143"/>
        <v>Crépin</v>
      </c>
      <c r="B254" s="59" t="s">
        <v>154</v>
      </c>
      <c r="C254" s="61">
        <v>89205</v>
      </c>
      <c r="D254" s="61">
        <f t="shared" si="144"/>
        <v>0</v>
      </c>
      <c r="E254" s="61">
        <f t="shared" si="145"/>
        <v>0</v>
      </c>
      <c r="F254" s="61">
        <f t="shared" si="146"/>
        <v>0</v>
      </c>
      <c r="G254" s="61">
        <f t="shared" si="142"/>
        <v>0</v>
      </c>
      <c r="H254" s="61">
        <v>89205</v>
      </c>
      <c r="I254" s="61">
        <f>+C254+D254-E254-F254+G254</f>
        <v>89205</v>
      </c>
      <c r="J254" s="9">
        <f t="shared" si="147"/>
        <v>0</v>
      </c>
      <c r="K254" s="45" t="s">
        <v>47</v>
      </c>
      <c r="L254" s="47">
        <v>0</v>
      </c>
      <c r="M254" s="47">
        <v>0</v>
      </c>
      <c r="N254" s="47">
        <v>0</v>
      </c>
      <c r="O254" s="47">
        <v>0</v>
      </c>
    </row>
    <row r="255" spans="1:16" x14ac:dyDescent="0.3">
      <c r="A255" s="58" t="str">
        <f t="shared" si="143"/>
        <v>D58</v>
      </c>
      <c r="B255" s="59" t="s">
        <v>4</v>
      </c>
      <c r="C255" s="61">
        <v>0</v>
      </c>
      <c r="D255" s="61">
        <f t="shared" si="144"/>
        <v>85000</v>
      </c>
      <c r="E255" s="61">
        <f t="shared" si="145"/>
        <v>66500</v>
      </c>
      <c r="F255" s="61">
        <f t="shared" si="146"/>
        <v>0</v>
      </c>
      <c r="G255" s="61">
        <f t="shared" si="142"/>
        <v>0</v>
      </c>
      <c r="H255" s="61">
        <v>18500</v>
      </c>
      <c r="I255" s="61">
        <f>+C255+D255-E255-F255+G255</f>
        <v>18500</v>
      </c>
      <c r="J255" s="9">
        <f t="shared" si="147"/>
        <v>0</v>
      </c>
      <c r="K255" s="45" t="s">
        <v>270</v>
      </c>
      <c r="L255" s="47">
        <v>85000</v>
      </c>
      <c r="M255" s="47">
        <v>0</v>
      </c>
      <c r="N255" s="47">
        <v>66500</v>
      </c>
      <c r="O255" s="47">
        <v>0</v>
      </c>
    </row>
    <row r="256" spans="1:16" x14ac:dyDescent="0.3">
      <c r="A256" s="58" t="str">
        <f t="shared" si="143"/>
        <v>Donald</v>
      </c>
      <c r="B256" s="59" t="s">
        <v>154</v>
      </c>
      <c r="C256" s="61">
        <v>236200</v>
      </c>
      <c r="D256" s="61">
        <f t="shared" si="144"/>
        <v>264000</v>
      </c>
      <c r="E256" s="61">
        <f t="shared" si="145"/>
        <v>279550</v>
      </c>
      <c r="F256" s="61">
        <f t="shared" si="146"/>
        <v>210000</v>
      </c>
      <c r="G256" s="61">
        <f t="shared" si="142"/>
        <v>0</v>
      </c>
      <c r="H256" s="61">
        <v>10650</v>
      </c>
      <c r="I256" s="61">
        <f t="shared" ref="I256:I257" si="148">+C256+D256-E256-F256+G256</f>
        <v>10650</v>
      </c>
      <c r="J256" s="9">
        <f t="shared" si="147"/>
        <v>0</v>
      </c>
      <c r="K256" s="45" t="s">
        <v>256</v>
      </c>
      <c r="L256" s="47">
        <v>264000</v>
      </c>
      <c r="M256" s="47">
        <v>210000</v>
      </c>
      <c r="N256" s="47">
        <v>279550</v>
      </c>
      <c r="O256" s="47">
        <v>0</v>
      </c>
    </row>
    <row r="257" spans="1:15" x14ac:dyDescent="0.3">
      <c r="A257" s="58" t="str">
        <f t="shared" si="143"/>
        <v>Evariste</v>
      </c>
      <c r="B257" s="59" t="s">
        <v>155</v>
      </c>
      <c r="C257" s="61">
        <v>11675</v>
      </c>
      <c r="D257" s="61">
        <f t="shared" si="144"/>
        <v>187000</v>
      </c>
      <c r="E257" s="61">
        <f t="shared" si="145"/>
        <v>190350</v>
      </c>
      <c r="F257" s="61">
        <f t="shared" si="146"/>
        <v>0</v>
      </c>
      <c r="G257" s="61">
        <f t="shared" si="142"/>
        <v>0</v>
      </c>
      <c r="H257" s="61">
        <v>8325</v>
      </c>
      <c r="I257" s="61">
        <f t="shared" si="148"/>
        <v>8325</v>
      </c>
      <c r="J257" s="9">
        <f t="shared" si="147"/>
        <v>0</v>
      </c>
      <c r="K257" s="45" t="s">
        <v>31</v>
      </c>
      <c r="L257" s="47">
        <v>187000</v>
      </c>
      <c r="M257" s="47">
        <v>0</v>
      </c>
      <c r="N257" s="47">
        <v>190350</v>
      </c>
      <c r="O257" s="47">
        <v>0</v>
      </c>
    </row>
    <row r="258" spans="1:15" x14ac:dyDescent="0.3">
      <c r="A258" s="58" t="str">
        <f t="shared" si="143"/>
        <v>I55S</v>
      </c>
      <c r="B258" s="116" t="s">
        <v>4</v>
      </c>
      <c r="C258" s="118">
        <v>233614</v>
      </c>
      <c r="D258" s="118">
        <f t="shared" si="144"/>
        <v>0</v>
      </c>
      <c r="E258" s="118">
        <f>+N258</f>
        <v>0</v>
      </c>
      <c r="F258" s="118">
        <f t="shared" si="146"/>
        <v>0</v>
      </c>
      <c r="G258" s="118">
        <f t="shared" si="142"/>
        <v>0</v>
      </c>
      <c r="H258" s="118">
        <v>233614</v>
      </c>
      <c r="I258" s="118">
        <f>+C258+D258-E258-F258+G258</f>
        <v>233614</v>
      </c>
      <c r="J258" s="9">
        <f t="shared" si="147"/>
        <v>0</v>
      </c>
      <c r="K258" s="45" t="s">
        <v>84</v>
      </c>
      <c r="L258" s="47">
        <v>0</v>
      </c>
      <c r="M258" s="47">
        <v>0</v>
      </c>
      <c r="N258" s="47">
        <v>0</v>
      </c>
      <c r="O258" s="47">
        <v>0</v>
      </c>
    </row>
    <row r="259" spans="1:15" x14ac:dyDescent="0.3">
      <c r="A259" s="58" t="str">
        <f t="shared" si="143"/>
        <v>I73X</v>
      </c>
      <c r="B259" s="116" t="s">
        <v>4</v>
      </c>
      <c r="C259" s="118">
        <v>249769</v>
      </c>
      <c r="D259" s="118">
        <f t="shared" si="144"/>
        <v>0</v>
      </c>
      <c r="E259" s="118">
        <f>+N259</f>
        <v>0</v>
      </c>
      <c r="F259" s="118">
        <f t="shared" si="146"/>
        <v>0</v>
      </c>
      <c r="G259" s="118">
        <f t="shared" si="142"/>
        <v>0</v>
      </c>
      <c r="H259" s="118">
        <v>249769</v>
      </c>
      <c r="I259" s="118">
        <f t="shared" ref="I259:I264" si="149">+C259+D259-E259-F259+G259</f>
        <v>249769</v>
      </c>
      <c r="J259" s="9">
        <f t="shared" si="147"/>
        <v>0</v>
      </c>
      <c r="K259" s="45" t="s">
        <v>83</v>
      </c>
      <c r="L259" s="47">
        <v>0</v>
      </c>
      <c r="M259" s="47">
        <v>0</v>
      </c>
      <c r="N259" s="47">
        <v>0</v>
      </c>
      <c r="O259" s="47">
        <v>0</v>
      </c>
    </row>
    <row r="260" spans="1:15" s="188" customFormat="1" ht="15.6" x14ac:dyDescent="0.3">
      <c r="A260" s="58" t="str">
        <f t="shared" si="143"/>
        <v>Grace</v>
      </c>
      <c r="B260" s="59" t="s">
        <v>2</v>
      </c>
      <c r="C260" s="61">
        <v>11800</v>
      </c>
      <c r="D260" s="61">
        <f t="shared" si="144"/>
        <v>639000</v>
      </c>
      <c r="E260" s="61">
        <f t="shared" ref="E260" si="150">+N260</f>
        <v>437050</v>
      </c>
      <c r="F260" s="61">
        <f t="shared" si="146"/>
        <v>193000</v>
      </c>
      <c r="G260" s="61">
        <f t="shared" si="142"/>
        <v>0</v>
      </c>
      <c r="H260" s="184">
        <v>20750</v>
      </c>
      <c r="I260" s="184">
        <f t="shared" si="149"/>
        <v>20750</v>
      </c>
      <c r="J260" s="185">
        <f>I260-H260</f>
        <v>0</v>
      </c>
      <c r="K260" s="186" t="s">
        <v>143</v>
      </c>
      <c r="L260" s="187">
        <v>639000</v>
      </c>
      <c r="M260" s="187">
        <v>193000</v>
      </c>
      <c r="N260" s="47">
        <v>437050</v>
      </c>
      <c r="O260" s="187">
        <v>0</v>
      </c>
    </row>
    <row r="261" spans="1:15" x14ac:dyDescent="0.3">
      <c r="A261" s="58" t="str">
        <f t="shared" si="143"/>
        <v>Hurielle</v>
      </c>
      <c r="B261" s="98" t="s">
        <v>154</v>
      </c>
      <c r="C261" s="61">
        <v>18750</v>
      </c>
      <c r="D261" s="61">
        <f t="shared" si="144"/>
        <v>517000</v>
      </c>
      <c r="E261" s="61">
        <f>+N261</f>
        <v>335200</v>
      </c>
      <c r="F261" s="61">
        <f>+M261</f>
        <v>47000</v>
      </c>
      <c r="G261" s="61">
        <f t="shared" si="142"/>
        <v>0</v>
      </c>
      <c r="H261" s="61">
        <v>153550</v>
      </c>
      <c r="I261" s="61">
        <f t="shared" si="149"/>
        <v>153550</v>
      </c>
      <c r="J261" s="9">
        <f t="shared" ref="J261" si="151">I261-H261</f>
        <v>0</v>
      </c>
      <c r="K261" s="45" t="s">
        <v>197</v>
      </c>
      <c r="L261" s="47">
        <v>517000</v>
      </c>
      <c r="M261" s="47">
        <v>47000</v>
      </c>
      <c r="N261" s="47">
        <v>335200</v>
      </c>
      <c r="O261" s="47">
        <v>0</v>
      </c>
    </row>
    <row r="262" spans="1:15" x14ac:dyDescent="0.3">
      <c r="A262" s="58" t="str">
        <f t="shared" si="143"/>
        <v>Man Love</v>
      </c>
      <c r="B262" s="98" t="s">
        <v>154</v>
      </c>
      <c r="C262" s="61">
        <v>0</v>
      </c>
      <c r="D262" s="61">
        <f t="shared" si="144"/>
        <v>6000</v>
      </c>
      <c r="E262" s="61">
        <f>+N262</f>
        <v>6000</v>
      </c>
      <c r="F262" s="61">
        <f>+M262</f>
        <v>0</v>
      </c>
      <c r="G262" s="61"/>
      <c r="H262" s="61">
        <v>0</v>
      </c>
      <c r="I262" s="61">
        <v>0</v>
      </c>
      <c r="J262" s="9"/>
      <c r="K262" s="45" t="s">
        <v>271</v>
      </c>
      <c r="L262" s="47">
        <v>6000</v>
      </c>
      <c r="M262" s="47">
        <v>0</v>
      </c>
      <c r="N262" s="47">
        <v>6000</v>
      </c>
      <c r="O262" s="47"/>
    </row>
    <row r="263" spans="1:15" s="188" customFormat="1" ht="15.6" x14ac:dyDescent="0.3">
      <c r="A263" s="58" t="str">
        <f t="shared" si="143"/>
        <v>Merveille</v>
      </c>
      <c r="B263" s="59" t="s">
        <v>2</v>
      </c>
      <c r="C263" s="61">
        <v>-2900</v>
      </c>
      <c r="D263" s="61">
        <f t="shared" si="144"/>
        <v>218000</v>
      </c>
      <c r="E263" s="61">
        <f t="shared" ref="E263:E266" si="152">+N263</f>
        <v>124800</v>
      </c>
      <c r="F263" s="61">
        <f t="shared" ref="F263:F266" si="153">+M263</f>
        <v>20000</v>
      </c>
      <c r="G263" s="61">
        <f t="shared" si="142"/>
        <v>0</v>
      </c>
      <c r="H263" s="184">
        <v>70300</v>
      </c>
      <c r="I263" s="184">
        <f t="shared" si="149"/>
        <v>70300</v>
      </c>
      <c r="J263" s="185">
        <f>I263-H263</f>
        <v>0</v>
      </c>
      <c r="K263" s="186" t="s">
        <v>93</v>
      </c>
      <c r="L263" s="187">
        <v>218000</v>
      </c>
      <c r="M263" s="187">
        <v>20000</v>
      </c>
      <c r="N263" s="47">
        <v>124800</v>
      </c>
      <c r="O263" s="187">
        <v>0</v>
      </c>
    </row>
    <row r="264" spans="1:15" x14ac:dyDescent="0.3">
      <c r="A264" s="58" t="str">
        <f t="shared" si="143"/>
        <v>P29</v>
      </c>
      <c r="B264" s="98" t="s">
        <v>4</v>
      </c>
      <c r="C264" s="61">
        <v>148600</v>
      </c>
      <c r="D264" s="61">
        <f t="shared" si="144"/>
        <v>375000</v>
      </c>
      <c r="E264" s="61">
        <f t="shared" si="152"/>
        <v>424500</v>
      </c>
      <c r="F264" s="61">
        <f t="shared" si="153"/>
        <v>0</v>
      </c>
      <c r="G264" s="61">
        <f t="shared" si="142"/>
        <v>0</v>
      </c>
      <c r="H264" s="61">
        <v>99100</v>
      </c>
      <c r="I264" s="61">
        <f t="shared" si="149"/>
        <v>99100</v>
      </c>
      <c r="J264" s="9">
        <f t="shared" ref="J264:J265" si="154">I264-H264</f>
        <v>0</v>
      </c>
      <c r="K264" s="45" t="s">
        <v>29</v>
      </c>
      <c r="L264" s="47">
        <v>375000</v>
      </c>
      <c r="M264" s="47">
        <v>0</v>
      </c>
      <c r="N264" s="47">
        <v>424500</v>
      </c>
      <c r="O264" s="47">
        <v>0</v>
      </c>
    </row>
    <row r="265" spans="1:15" ht="15.6" x14ac:dyDescent="0.3">
      <c r="A265" s="58" t="str">
        <f t="shared" si="143"/>
        <v>T73</v>
      </c>
      <c r="B265" s="59" t="s">
        <v>4</v>
      </c>
      <c r="C265" s="61">
        <v>0</v>
      </c>
      <c r="D265" s="61">
        <f>+L265</f>
        <v>85000</v>
      </c>
      <c r="E265" s="61">
        <f t="shared" si="152"/>
        <v>71100</v>
      </c>
      <c r="F265" s="61">
        <f t="shared" si="153"/>
        <v>0</v>
      </c>
      <c r="G265" s="61">
        <f t="shared" si="142"/>
        <v>0</v>
      </c>
      <c r="H265" s="61">
        <v>13900</v>
      </c>
      <c r="I265" s="61">
        <f>+C265+D265-E265-F265+G265</f>
        <v>13900</v>
      </c>
      <c r="J265" s="9">
        <f t="shared" si="154"/>
        <v>0</v>
      </c>
      <c r="K265" s="45" t="s">
        <v>269</v>
      </c>
      <c r="L265" s="47">
        <v>85000</v>
      </c>
      <c r="M265" s="47">
        <v>0</v>
      </c>
      <c r="N265" s="187">
        <v>71100</v>
      </c>
      <c r="O265" s="47">
        <v>0</v>
      </c>
    </row>
    <row r="266" spans="1:15" x14ac:dyDescent="0.3">
      <c r="A266" s="58" t="str">
        <f t="shared" si="143"/>
        <v>Tiffany</v>
      </c>
      <c r="B266" s="59" t="s">
        <v>2</v>
      </c>
      <c r="C266" s="61">
        <v>-10174</v>
      </c>
      <c r="D266" s="61">
        <f t="shared" ref="D266" si="155">+L266</f>
        <v>198000</v>
      </c>
      <c r="E266" s="61">
        <f t="shared" si="152"/>
        <v>141150</v>
      </c>
      <c r="F266" s="61">
        <f t="shared" si="153"/>
        <v>50000</v>
      </c>
      <c r="G266" s="61">
        <f t="shared" si="142"/>
        <v>0</v>
      </c>
      <c r="H266" s="61">
        <v>-3324</v>
      </c>
      <c r="I266" s="61">
        <f>+C266+D266-E266-F266+G266</f>
        <v>-3324</v>
      </c>
      <c r="J266" s="9">
        <f>I266-H266</f>
        <v>0</v>
      </c>
      <c r="K266" s="45" t="s">
        <v>113</v>
      </c>
      <c r="L266" s="47">
        <v>198000</v>
      </c>
      <c r="M266" s="47">
        <v>50000</v>
      </c>
      <c r="N266" s="47">
        <v>141150</v>
      </c>
      <c r="O266" s="47">
        <v>0</v>
      </c>
    </row>
    <row r="267" spans="1:15" x14ac:dyDescent="0.3">
      <c r="A267" s="10" t="s">
        <v>50</v>
      </c>
      <c r="B267" s="11"/>
      <c r="C267" s="12">
        <f t="shared" ref="C267:I267" si="156">SUM(C251:C266)</f>
        <v>18323398</v>
      </c>
      <c r="D267" s="57">
        <f t="shared" si="156"/>
        <v>6851000</v>
      </c>
      <c r="E267" s="57">
        <f t="shared" si="156"/>
        <v>9504745</v>
      </c>
      <c r="F267" s="57">
        <f t="shared" si="156"/>
        <v>6851000</v>
      </c>
      <c r="G267" s="57">
        <f t="shared" si="156"/>
        <v>8735379</v>
      </c>
      <c r="H267" s="57">
        <f t="shared" si="156"/>
        <v>17554032</v>
      </c>
      <c r="I267" s="57">
        <f t="shared" si="156"/>
        <v>17554032</v>
      </c>
      <c r="J267" s="9">
        <f>I267-H267</f>
        <v>0</v>
      </c>
      <c r="K267" s="3"/>
      <c r="L267" s="47">
        <f>+SUM(L251:L266)</f>
        <v>6851000</v>
      </c>
      <c r="M267" s="47">
        <f>+SUM(M251:M266)</f>
        <v>6851000</v>
      </c>
      <c r="N267" s="47">
        <f>+SUM(N251:N266)</f>
        <v>9504745</v>
      </c>
      <c r="O267" s="47">
        <f>+SUM(O251:O266)</f>
        <v>8735379</v>
      </c>
    </row>
    <row r="268" spans="1:15" x14ac:dyDescent="0.3">
      <c r="A268" s="10"/>
      <c r="B268" s="11"/>
      <c r="C268" s="12"/>
      <c r="D268" s="13"/>
      <c r="E268" s="12"/>
      <c r="F268" s="13"/>
      <c r="G268" s="12"/>
      <c r="H268" s="12"/>
      <c r="I268" s="134" t="b">
        <f>I267=D270</f>
        <v>1</v>
      </c>
      <c r="J268" s="9">
        <f>H267-I267</f>
        <v>0</v>
      </c>
      <c r="L268" s="5"/>
      <c r="M268" s="5"/>
      <c r="N268" s="5"/>
      <c r="O268" s="5"/>
    </row>
    <row r="269" spans="1:15" x14ac:dyDescent="0.3">
      <c r="A269" s="10" t="s">
        <v>272</v>
      </c>
      <c r="B269" s="11" t="s">
        <v>177</v>
      </c>
      <c r="C269" s="12" t="s">
        <v>176</v>
      </c>
      <c r="D269" s="12" t="s">
        <v>273</v>
      </c>
      <c r="E269" s="12" t="s">
        <v>51</v>
      </c>
      <c r="F269" s="12"/>
      <c r="G269" s="12">
        <f>+D267-F267</f>
        <v>0</v>
      </c>
      <c r="H269" s="12"/>
      <c r="I269" s="12"/>
    </row>
    <row r="270" spans="1:15" x14ac:dyDescent="0.3">
      <c r="A270" s="14">
        <f>C267</f>
        <v>18323398</v>
      </c>
      <c r="B270" s="15">
        <f>G267</f>
        <v>8735379</v>
      </c>
      <c r="C270" s="12">
        <f>E267</f>
        <v>9504745</v>
      </c>
      <c r="D270" s="12">
        <f>A270+B270-C270</f>
        <v>17554032</v>
      </c>
      <c r="E270" s="13">
        <f>I267-D270</f>
        <v>0</v>
      </c>
      <c r="F270" s="12"/>
      <c r="G270" s="12"/>
      <c r="H270" s="12"/>
      <c r="I270" s="12"/>
    </row>
    <row r="271" spans="1:15" x14ac:dyDescent="0.3">
      <c r="A271" s="14"/>
      <c r="B271" s="15"/>
      <c r="C271" s="12"/>
      <c r="D271" s="12"/>
      <c r="E271" s="13"/>
      <c r="F271" s="12"/>
      <c r="G271" s="12"/>
      <c r="H271" s="12"/>
      <c r="I271" s="12"/>
    </row>
    <row r="272" spans="1:15" x14ac:dyDescent="0.3">
      <c r="A272" s="16" t="s">
        <v>52</v>
      </c>
      <c r="B272" s="16"/>
      <c r="C272" s="16"/>
      <c r="D272" s="17"/>
      <c r="E272" s="17"/>
      <c r="F272" s="17"/>
      <c r="G272" s="17"/>
      <c r="H272" s="17"/>
      <c r="I272" s="17"/>
    </row>
    <row r="273" spans="1:11" x14ac:dyDescent="0.3">
      <c r="A273" s="18" t="s">
        <v>274</v>
      </c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1" x14ac:dyDescent="0.3">
      <c r="A274" s="19"/>
      <c r="B274" s="17"/>
      <c r="C274" s="20"/>
      <c r="D274" s="20"/>
      <c r="E274" s="20"/>
      <c r="F274" s="20"/>
      <c r="G274" s="20"/>
      <c r="H274" s="17"/>
      <c r="I274" s="17"/>
    </row>
    <row r="275" spans="1:11" ht="45" customHeight="1" x14ac:dyDescent="0.3">
      <c r="A275" s="169" t="s">
        <v>53</v>
      </c>
      <c r="B275" s="171" t="s">
        <v>54</v>
      </c>
      <c r="C275" s="173" t="s">
        <v>275</v>
      </c>
      <c r="D275" s="174" t="s">
        <v>55</v>
      </c>
      <c r="E275" s="175"/>
      <c r="F275" s="175"/>
      <c r="G275" s="176"/>
      <c r="H275" s="177" t="s">
        <v>56</v>
      </c>
      <c r="I275" s="165" t="s">
        <v>57</v>
      </c>
      <c r="J275" s="212"/>
    </row>
    <row r="276" spans="1:11" ht="28.5" customHeight="1" x14ac:dyDescent="0.3">
      <c r="A276" s="170"/>
      <c r="B276" s="172"/>
      <c r="C276" s="22"/>
      <c r="D276" s="21" t="s">
        <v>24</v>
      </c>
      <c r="E276" s="21" t="s">
        <v>25</v>
      </c>
      <c r="F276" s="22" t="s">
        <v>123</v>
      </c>
      <c r="G276" s="21" t="s">
        <v>58</v>
      </c>
      <c r="H276" s="178"/>
      <c r="I276" s="166"/>
      <c r="J276" s="168" t="s">
        <v>276</v>
      </c>
      <c r="K276" s="143"/>
    </row>
    <row r="277" spans="1:11" x14ac:dyDescent="0.3">
      <c r="A277" s="23"/>
      <c r="B277" s="24" t="s">
        <v>59</v>
      </c>
      <c r="C277" s="25"/>
      <c r="D277" s="25"/>
      <c r="E277" s="25"/>
      <c r="F277" s="25"/>
      <c r="G277" s="25"/>
      <c r="H277" s="25"/>
      <c r="I277" s="26"/>
      <c r="J277" s="168"/>
      <c r="K277" s="143"/>
    </row>
    <row r="278" spans="1:11" x14ac:dyDescent="0.3">
      <c r="A278" s="122" t="s">
        <v>108</v>
      </c>
      <c r="B278" s="127" t="s">
        <v>47</v>
      </c>
      <c r="C278" s="32">
        <f>+C254</f>
        <v>89205</v>
      </c>
      <c r="D278" s="31"/>
      <c r="E278" s="32">
        <f>+D254</f>
        <v>0</v>
      </c>
      <c r="F278" s="32"/>
      <c r="G278" s="32"/>
      <c r="H278" s="55">
        <f>+F254</f>
        <v>0</v>
      </c>
      <c r="I278" s="32">
        <f>+E254</f>
        <v>0</v>
      </c>
      <c r="J278" s="30">
        <f t="shared" ref="J278:J281" si="157">+SUM(C278:G278)-(H278+I278)</f>
        <v>89205</v>
      </c>
      <c r="K278" s="144" t="b">
        <f>J278=I254</f>
        <v>1</v>
      </c>
    </row>
    <row r="279" spans="1:11" x14ac:dyDescent="0.3">
      <c r="A279" s="122" t="str">
        <f>+A278</f>
        <v>JANVIER</v>
      </c>
      <c r="B279" s="127" t="s">
        <v>270</v>
      </c>
      <c r="C279" s="32">
        <f t="shared" ref="C279:C281" si="158">+C255</f>
        <v>0</v>
      </c>
      <c r="D279" s="31"/>
      <c r="E279" s="32">
        <f t="shared" ref="E279:E281" si="159">+D255</f>
        <v>85000</v>
      </c>
      <c r="F279" s="32"/>
      <c r="G279" s="32"/>
      <c r="H279" s="55">
        <f t="shared" ref="H279:H281" si="160">+F255</f>
        <v>0</v>
      </c>
      <c r="I279" s="32">
        <f t="shared" ref="I279:I281" si="161">+E255</f>
        <v>66500</v>
      </c>
      <c r="J279" s="30">
        <f t="shared" si="157"/>
        <v>18500</v>
      </c>
      <c r="K279" s="144" t="b">
        <f>J279=I255</f>
        <v>1</v>
      </c>
    </row>
    <row r="280" spans="1:11" x14ac:dyDescent="0.3">
      <c r="A280" s="122" t="str">
        <f t="shared" ref="A280:A290" si="162">+A279</f>
        <v>JANVIER</v>
      </c>
      <c r="B280" s="127" t="s">
        <v>256</v>
      </c>
      <c r="C280" s="32">
        <f t="shared" si="158"/>
        <v>236200</v>
      </c>
      <c r="D280" s="31"/>
      <c r="E280" s="32">
        <f t="shared" si="159"/>
        <v>264000</v>
      </c>
      <c r="F280" s="32"/>
      <c r="G280" s="32"/>
      <c r="H280" s="55">
        <f t="shared" si="160"/>
        <v>210000</v>
      </c>
      <c r="I280" s="32">
        <f t="shared" si="161"/>
        <v>279550</v>
      </c>
      <c r="J280" s="30">
        <f t="shared" si="157"/>
        <v>10650</v>
      </c>
      <c r="K280" s="144" t="b">
        <f t="shared" ref="K280:K290" si="163">J280=I256</f>
        <v>1</v>
      </c>
    </row>
    <row r="281" spans="1:11" x14ac:dyDescent="0.3">
      <c r="A281" s="122" t="str">
        <f t="shared" si="162"/>
        <v>JANVIER</v>
      </c>
      <c r="B281" s="127" t="s">
        <v>31</v>
      </c>
      <c r="C281" s="32">
        <f t="shared" si="158"/>
        <v>11675</v>
      </c>
      <c r="D281" s="31"/>
      <c r="E281" s="32">
        <f t="shared" si="159"/>
        <v>187000</v>
      </c>
      <c r="F281" s="32"/>
      <c r="G281" s="32"/>
      <c r="H281" s="55">
        <f t="shared" si="160"/>
        <v>0</v>
      </c>
      <c r="I281" s="32">
        <f t="shared" si="161"/>
        <v>190350</v>
      </c>
      <c r="J281" s="30">
        <f t="shared" si="157"/>
        <v>8325</v>
      </c>
      <c r="K281" s="144" t="b">
        <f t="shared" si="163"/>
        <v>1</v>
      </c>
    </row>
    <row r="282" spans="1:11" x14ac:dyDescent="0.3">
      <c r="A282" s="122" t="str">
        <f t="shared" si="162"/>
        <v>JANVIER</v>
      </c>
      <c r="B282" s="129" t="s">
        <v>84</v>
      </c>
      <c r="C282" s="120">
        <f>+C258</f>
        <v>233614</v>
      </c>
      <c r="D282" s="123"/>
      <c r="E282" s="120">
        <f>+D258</f>
        <v>0</v>
      </c>
      <c r="F282" s="137"/>
      <c r="G282" s="137"/>
      <c r="H282" s="155">
        <f>+F258</f>
        <v>0</v>
      </c>
      <c r="I282" s="120">
        <f>+E258</f>
        <v>0</v>
      </c>
      <c r="J282" s="121">
        <f>+SUM(C282:G282)-(H282+I282)</f>
        <v>233614</v>
      </c>
      <c r="K282" s="144" t="b">
        <f t="shared" si="163"/>
        <v>1</v>
      </c>
    </row>
    <row r="283" spans="1:11" x14ac:dyDescent="0.3">
      <c r="A283" s="122" t="str">
        <f t="shared" si="162"/>
        <v>JANVIER</v>
      </c>
      <c r="B283" s="129" t="s">
        <v>83</v>
      </c>
      <c r="C283" s="120">
        <f>+C259</f>
        <v>249769</v>
      </c>
      <c r="D283" s="123"/>
      <c r="E283" s="120">
        <f>+D259</f>
        <v>0</v>
      </c>
      <c r="F283" s="137"/>
      <c r="G283" s="137"/>
      <c r="H283" s="155">
        <f>+F259</f>
        <v>0</v>
      </c>
      <c r="I283" s="120">
        <f>+E259</f>
        <v>0</v>
      </c>
      <c r="J283" s="121">
        <f t="shared" ref="J283:J290" si="164">+SUM(C283:G283)-(H283+I283)</f>
        <v>249769</v>
      </c>
      <c r="K283" s="144" t="b">
        <f t="shared" si="163"/>
        <v>1</v>
      </c>
    </row>
    <row r="284" spans="1:11" x14ac:dyDescent="0.3">
      <c r="A284" s="122" t="str">
        <f t="shared" si="162"/>
        <v>JANVIER</v>
      </c>
      <c r="B284" s="127" t="s">
        <v>143</v>
      </c>
      <c r="C284" s="32">
        <f>+C260</f>
        <v>11800</v>
      </c>
      <c r="D284" s="31"/>
      <c r="E284" s="32">
        <f>+D260</f>
        <v>639000</v>
      </c>
      <c r="F284" s="32"/>
      <c r="G284" s="104"/>
      <c r="H284" s="55">
        <f>+F260</f>
        <v>193000</v>
      </c>
      <c r="I284" s="32">
        <f>+E260</f>
        <v>437050</v>
      </c>
      <c r="J284" s="30">
        <f t="shared" si="164"/>
        <v>20750</v>
      </c>
      <c r="K284" s="144" t="b">
        <f t="shared" si="163"/>
        <v>1</v>
      </c>
    </row>
    <row r="285" spans="1:11" x14ac:dyDescent="0.3">
      <c r="A285" s="122" t="str">
        <f t="shared" si="162"/>
        <v>JANVIER</v>
      </c>
      <c r="B285" s="127" t="s">
        <v>197</v>
      </c>
      <c r="C285" s="32">
        <f t="shared" ref="C285:C290" si="165">+C261</f>
        <v>18750</v>
      </c>
      <c r="D285" s="31"/>
      <c r="E285" s="32">
        <f t="shared" ref="E285:E290" si="166">+D261</f>
        <v>517000</v>
      </c>
      <c r="F285" s="32"/>
      <c r="G285" s="104"/>
      <c r="H285" s="55">
        <f t="shared" ref="H285:H290" si="167">+F261</f>
        <v>47000</v>
      </c>
      <c r="I285" s="32">
        <f t="shared" ref="I285:I290" si="168">+E261</f>
        <v>335200</v>
      </c>
      <c r="J285" s="30">
        <f t="shared" si="164"/>
        <v>153550</v>
      </c>
      <c r="K285" s="144" t="b">
        <f t="shared" si="163"/>
        <v>1</v>
      </c>
    </row>
    <row r="286" spans="1:11" x14ac:dyDescent="0.3">
      <c r="A286" s="122" t="str">
        <f t="shared" si="162"/>
        <v>JANVIER</v>
      </c>
      <c r="B286" s="127" t="s">
        <v>271</v>
      </c>
      <c r="C286" s="32">
        <f t="shared" si="165"/>
        <v>0</v>
      </c>
      <c r="D286" s="31"/>
      <c r="E286" s="32">
        <f t="shared" si="166"/>
        <v>6000</v>
      </c>
      <c r="F286" s="32"/>
      <c r="G286" s="104"/>
      <c r="H286" s="55">
        <f t="shared" si="167"/>
        <v>0</v>
      </c>
      <c r="I286" s="32">
        <f t="shared" si="168"/>
        <v>6000</v>
      </c>
      <c r="J286" s="30">
        <f t="shared" si="164"/>
        <v>0</v>
      </c>
      <c r="K286" s="144" t="b">
        <f t="shared" si="163"/>
        <v>1</v>
      </c>
    </row>
    <row r="287" spans="1:11" x14ac:dyDescent="0.3">
      <c r="A287" s="122" t="str">
        <f t="shared" si="162"/>
        <v>JANVIER</v>
      </c>
      <c r="B287" s="127" t="s">
        <v>93</v>
      </c>
      <c r="C287" s="32">
        <f t="shared" si="165"/>
        <v>-2900</v>
      </c>
      <c r="D287" s="31"/>
      <c r="E287" s="32">
        <f t="shared" si="166"/>
        <v>218000</v>
      </c>
      <c r="F287" s="32"/>
      <c r="G287" s="104"/>
      <c r="H287" s="55">
        <f t="shared" si="167"/>
        <v>20000</v>
      </c>
      <c r="I287" s="32">
        <f t="shared" si="168"/>
        <v>124800</v>
      </c>
      <c r="J287" s="30">
        <f t="shared" si="164"/>
        <v>70300</v>
      </c>
      <c r="K287" s="144" t="b">
        <f t="shared" si="163"/>
        <v>1</v>
      </c>
    </row>
    <row r="288" spans="1:11" x14ac:dyDescent="0.3">
      <c r="A288" s="122" t="str">
        <f t="shared" si="162"/>
        <v>JANVIER</v>
      </c>
      <c r="B288" s="127" t="s">
        <v>29</v>
      </c>
      <c r="C288" s="32">
        <f t="shared" si="165"/>
        <v>148600</v>
      </c>
      <c r="D288" s="31"/>
      <c r="E288" s="32">
        <f t="shared" si="166"/>
        <v>375000</v>
      </c>
      <c r="F288" s="32"/>
      <c r="G288" s="104"/>
      <c r="H288" s="55">
        <f t="shared" si="167"/>
        <v>0</v>
      </c>
      <c r="I288" s="32">
        <f t="shared" si="168"/>
        <v>424500</v>
      </c>
      <c r="J288" s="30">
        <f t="shared" si="164"/>
        <v>99100</v>
      </c>
      <c r="K288" s="144" t="b">
        <f t="shared" si="163"/>
        <v>1</v>
      </c>
    </row>
    <row r="289" spans="1:16" x14ac:dyDescent="0.3">
      <c r="A289" s="122" t="str">
        <f t="shared" si="162"/>
        <v>JANVIER</v>
      </c>
      <c r="B289" s="128" t="s">
        <v>269</v>
      </c>
      <c r="C289" s="32">
        <f t="shared" si="165"/>
        <v>0</v>
      </c>
      <c r="D289" s="119"/>
      <c r="E289" s="32">
        <f t="shared" si="166"/>
        <v>85000</v>
      </c>
      <c r="F289" s="51"/>
      <c r="G289" s="138"/>
      <c r="H289" s="55">
        <f t="shared" si="167"/>
        <v>0</v>
      </c>
      <c r="I289" s="32">
        <f t="shared" si="168"/>
        <v>71100</v>
      </c>
      <c r="J289" s="30">
        <f t="shared" ref="J289" si="169">+SUM(C289:G289)-(H289+I289)</f>
        <v>13900</v>
      </c>
      <c r="K289" s="144" t="b">
        <f t="shared" si="163"/>
        <v>1</v>
      </c>
    </row>
    <row r="290" spans="1:16" x14ac:dyDescent="0.3">
      <c r="A290" s="122" t="str">
        <f t="shared" si="162"/>
        <v>JANVIER</v>
      </c>
      <c r="B290" s="128" t="s">
        <v>113</v>
      </c>
      <c r="C290" s="32">
        <f t="shared" si="165"/>
        <v>-10174</v>
      </c>
      <c r="D290" s="119"/>
      <c r="E290" s="32">
        <f t="shared" si="166"/>
        <v>198000</v>
      </c>
      <c r="F290" s="51"/>
      <c r="G290" s="138"/>
      <c r="H290" s="55">
        <f t="shared" si="167"/>
        <v>50000</v>
      </c>
      <c r="I290" s="32">
        <f t="shared" si="168"/>
        <v>141150</v>
      </c>
      <c r="J290" s="30">
        <f t="shared" si="164"/>
        <v>-3324</v>
      </c>
      <c r="K290" s="144" t="b">
        <f t="shared" si="163"/>
        <v>1</v>
      </c>
    </row>
    <row r="291" spans="1:16" x14ac:dyDescent="0.3">
      <c r="A291" s="34" t="s">
        <v>60</v>
      </c>
      <c r="B291" s="35"/>
      <c r="C291" s="35"/>
      <c r="D291" s="35"/>
      <c r="E291" s="35"/>
      <c r="F291" s="35"/>
      <c r="G291" s="35"/>
      <c r="H291" s="35"/>
      <c r="I291" s="35"/>
      <c r="J291" s="36"/>
      <c r="K291" s="143"/>
    </row>
    <row r="292" spans="1:16" x14ac:dyDescent="0.3">
      <c r="A292" s="122" t="str">
        <f>A290</f>
        <v>JANVIER</v>
      </c>
      <c r="B292" s="37" t="s">
        <v>61</v>
      </c>
      <c r="C292" s="38">
        <f>+C253</f>
        <v>1335599</v>
      </c>
      <c r="D292" s="49"/>
      <c r="E292" s="49">
        <f>D253</f>
        <v>4277000</v>
      </c>
      <c r="F292" s="49"/>
      <c r="G292" s="125"/>
      <c r="H292" s="51">
        <f>+F253</f>
        <v>2331000</v>
      </c>
      <c r="I292" s="126">
        <f>+E253</f>
        <v>2382011</v>
      </c>
      <c r="J292" s="30">
        <f>+SUM(C292:G292)-(H292+I292)</f>
        <v>899588</v>
      </c>
      <c r="K292" s="144" t="b">
        <f>J292=I253</f>
        <v>1</v>
      </c>
    </row>
    <row r="293" spans="1:16" x14ac:dyDescent="0.3">
      <c r="A293" s="43" t="s">
        <v>62</v>
      </c>
      <c r="B293" s="24"/>
      <c r="C293" s="35"/>
      <c r="D293" s="24"/>
      <c r="E293" s="24"/>
      <c r="F293" s="24"/>
      <c r="G293" s="24"/>
      <c r="H293" s="24"/>
      <c r="I293" s="24"/>
      <c r="J293" s="36"/>
      <c r="K293" s="143"/>
    </row>
    <row r="294" spans="1:16" x14ac:dyDescent="0.3">
      <c r="A294" s="122" t="str">
        <f>+A292</f>
        <v>JANVIER</v>
      </c>
      <c r="B294" s="37" t="s">
        <v>24</v>
      </c>
      <c r="C294" s="125">
        <f>+C251</f>
        <v>13524897</v>
      </c>
      <c r="D294" s="132">
        <f>+G251</f>
        <v>0</v>
      </c>
      <c r="E294" s="49"/>
      <c r="F294" s="49"/>
      <c r="G294" s="49"/>
      <c r="H294" s="51">
        <f>+F251</f>
        <v>4000000</v>
      </c>
      <c r="I294" s="53">
        <f>+E251</f>
        <v>173345</v>
      </c>
      <c r="J294" s="30">
        <f>+SUM(C294:G294)-(H294+I294)</f>
        <v>9351552</v>
      </c>
      <c r="K294" s="144" t="b">
        <f>+J294=I251</f>
        <v>1</v>
      </c>
    </row>
    <row r="295" spans="1:16" x14ac:dyDescent="0.3">
      <c r="A295" s="122" t="str">
        <f t="shared" ref="A295" si="170">+A294</f>
        <v>JANVIER</v>
      </c>
      <c r="B295" s="37" t="s">
        <v>64</v>
      </c>
      <c r="C295" s="125">
        <f>+C252</f>
        <v>2476363</v>
      </c>
      <c r="D295" s="49">
        <f>+G252</f>
        <v>8735379</v>
      </c>
      <c r="E295" s="48"/>
      <c r="F295" s="48"/>
      <c r="G295" s="48"/>
      <c r="H295" s="32">
        <f>+F252</f>
        <v>0</v>
      </c>
      <c r="I295" s="50">
        <f>+E252</f>
        <v>4873189</v>
      </c>
      <c r="J295" s="30">
        <f>SUM(C295:G295)-(H295+I295)</f>
        <v>6338553</v>
      </c>
      <c r="K295" s="144" t="b">
        <f>+J295=I252</f>
        <v>1</v>
      </c>
    </row>
    <row r="296" spans="1:16" ht="15.6" x14ac:dyDescent="0.3">
      <c r="C296" s="141">
        <f>SUM(C278:C295)</f>
        <v>18323398</v>
      </c>
      <c r="I296" s="140">
        <f>SUM(I278:I295)</f>
        <v>9504745</v>
      </c>
      <c r="J296" s="105">
        <f>+SUM(J278:J295)</f>
        <v>17554032</v>
      </c>
      <c r="K296" s="5" t="b">
        <f>J296=I267</f>
        <v>1</v>
      </c>
    </row>
    <row r="297" spans="1:16" ht="15.6" x14ac:dyDescent="0.3">
      <c r="C297" s="141"/>
      <c r="I297" s="140"/>
      <c r="J297" s="105"/>
    </row>
    <row r="298" spans="1:16" ht="15.6" x14ac:dyDescent="0.3">
      <c r="A298" s="160"/>
      <c r="B298" s="160"/>
      <c r="C298" s="161"/>
      <c r="D298" s="160"/>
      <c r="E298" s="160"/>
      <c r="F298" s="160"/>
      <c r="G298" s="160"/>
      <c r="H298" s="160"/>
      <c r="I298" s="162"/>
      <c r="J298" s="163"/>
      <c r="K298" s="160"/>
      <c r="L298" s="164"/>
      <c r="M298" s="164"/>
      <c r="N298" s="164"/>
      <c r="O298" s="164"/>
      <c r="P298" s="160"/>
    </row>
    <row r="299" spans="1:16" ht="15.75" customHeight="1" x14ac:dyDescent="0.3"/>
    <row r="300" spans="1:16" ht="15.6" x14ac:dyDescent="0.3">
      <c r="A300" s="6" t="s">
        <v>36</v>
      </c>
      <c r="B300" s="6" t="s">
        <v>1</v>
      </c>
      <c r="C300" s="6">
        <v>44896</v>
      </c>
      <c r="D300" s="7" t="s">
        <v>37</v>
      </c>
      <c r="E300" s="7" t="s">
        <v>38</v>
      </c>
      <c r="F300" s="7" t="s">
        <v>39</v>
      </c>
      <c r="G300" s="7" t="s">
        <v>40</v>
      </c>
      <c r="H300" s="6">
        <v>44926</v>
      </c>
      <c r="I300" s="7" t="s">
        <v>41</v>
      </c>
      <c r="K300" s="45"/>
      <c r="L300" s="45" t="s">
        <v>42</v>
      </c>
      <c r="M300" s="45" t="s">
        <v>43</v>
      </c>
      <c r="N300" s="45" t="s">
        <v>44</v>
      </c>
      <c r="O300" s="45" t="s">
        <v>45</v>
      </c>
    </row>
    <row r="301" spans="1:16" x14ac:dyDescent="0.3">
      <c r="A301" s="58" t="str">
        <f>K301</f>
        <v>BCI</v>
      </c>
      <c r="B301" s="59" t="s">
        <v>46</v>
      </c>
      <c r="C301" s="61">
        <v>16218242</v>
      </c>
      <c r="D301" s="61">
        <f>+L301</f>
        <v>0</v>
      </c>
      <c r="E301" s="61">
        <f>+N301</f>
        <v>693345</v>
      </c>
      <c r="F301" s="61">
        <f>+M301</f>
        <v>2000000</v>
      </c>
      <c r="G301" s="61">
        <f t="shared" ref="G301:G314" si="171">+O301</f>
        <v>0</v>
      </c>
      <c r="H301" s="61">
        <v>13524897</v>
      </c>
      <c r="I301" s="61">
        <f>+C301+D301-E301-F301+G301</f>
        <v>13524897</v>
      </c>
      <c r="J301" s="9">
        <f>I301-H301</f>
        <v>0</v>
      </c>
      <c r="K301" s="45" t="s">
        <v>24</v>
      </c>
      <c r="L301" s="47">
        <v>0</v>
      </c>
      <c r="M301" s="47">
        <v>2000000</v>
      </c>
      <c r="N301" s="47">
        <v>693345</v>
      </c>
      <c r="O301" s="47">
        <v>0</v>
      </c>
    </row>
    <row r="302" spans="1:16" x14ac:dyDescent="0.3">
      <c r="A302" s="58" t="str">
        <f t="shared" ref="A302:A314" si="172">K302</f>
        <v>BCI-Sous Compte</v>
      </c>
      <c r="B302" s="59" t="s">
        <v>46</v>
      </c>
      <c r="C302" s="61">
        <v>5621164</v>
      </c>
      <c r="D302" s="61">
        <f t="shared" ref="D302:D312" si="173">+L302</f>
        <v>0</v>
      </c>
      <c r="E302" s="61">
        <f t="shared" ref="E302:E306" si="174">+N302</f>
        <v>3144801</v>
      </c>
      <c r="F302" s="61">
        <f t="shared" ref="F302:F309" si="175">+M302</f>
        <v>0</v>
      </c>
      <c r="G302" s="61">
        <f t="shared" si="171"/>
        <v>0</v>
      </c>
      <c r="H302" s="61">
        <v>2476363</v>
      </c>
      <c r="I302" s="61">
        <f>+C302+D302-E302-F302+G302</f>
        <v>2476363</v>
      </c>
      <c r="J302" s="9">
        <f t="shared" ref="J302:J308" si="176">I302-H302</f>
        <v>0</v>
      </c>
      <c r="K302" s="45" t="s">
        <v>148</v>
      </c>
      <c r="L302" s="46">
        <v>0</v>
      </c>
      <c r="M302" s="47">
        <v>0</v>
      </c>
      <c r="N302" s="47">
        <v>3144801</v>
      </c>
      <c r="O302" s="47">
        <v>0</v>
      </c>
    </row>
    <row r="303" spans="1:16" x14ac:dyDescent="0.3">
      <c r="A303" s="58" t="str">
        <f t="shared" si="172"/>
        <v>Caisse</v>
      </c>
      <c r="B303" s="59" t="s">
        <v>25</v>
      </c>
      <c r="C303" s="61">
        <v>2476103</v>
      </c>
      <c r="D303" s="61">
        <f t="shared" si="173"/>
        <v>2461000</v>
      </c>
      <c r="E303" s="61">
        <f t="shared" si="174"/>
        <v>1832504</v>
      </c>
      <c r="F303" s="61">
        <f t="shared" si="175"/>
        <v>1769000</v>
      </c>
      <c r="G303" s="61">
        <f t="shared" si="171"/>
        <v>0</v>
      </c>
      <c r="H303" s="61">
        <v>1335599</v>
      </c>
      <c r="I303" s="61">
        <f>+C303+D303-E303-F303+G303</f>
        <v>1335599</v>
      </c>
      <c r="J303" s="102">
        <f t="shared" si="176"/>
        <v>0</v>
      </c>
      <c r="K303" s="45" t="s">
        <v>25</v>
      </c>
      <c r="L303" s="47">
        <v>2461000</v>
      </c>
      <c r="M303" s="47">
        <v>1769000</v>
      </c>
      <c r="N303" s="47">
        <v>1832504</v>
      </c>
      <c r="O303" s="47">
        <v>0</v>
      </c>
    </row>
    <row r="304" spans="1:16" x14ac:dyDescent="0.3">
      <c r="A304" s="58" t="str">
        <f t="shared" si="172"/>
        <v>Crépin</v>
      </c>
      <c r="B304" s="59" t="s">
        <v>154</v>
      </c>
      <c r="C304" s="61">
        <v>409530</v>
      </c>
      <c r="D304" s="61">
        <f t="shared" si="173"/>
        <v>435000</v>
      </c>
      <c r="E304" s="61">
        <f t="shared" si="174"/>
        <v>755325</v>
      </c>
      <c r="F304" s="61">
        <f t="shared" si="175"/>
        <v>0</v>
      </c>
      <c r="G304" s="61">
        <f t="shared" si="171"/>
        <v>0</v>
      </c>
      <c r="H304" s="61">
        <v>89205</v>
      </c>
      <c r="I304" s="61">
        <f>+C304+D304-E304-F304+G304</f>
        <v>89205</v>
      </c>
      <c r="J304" s="9">
        <f t="shared" si="176"/>
        <v>0</v>
      </c>
      <c r="K304" s="45" t="s">
        <v>47</v>
      </c>
      <c r="L304" s="47">
        <v>435000</v>
      </c>
      <c r="M304" s="47">
        <v>0</v>
      </c>
      <c r="N304" s="47">
        <v>755325</v>
      </c>
      <c r="O304" s="47">
        <v>0</v>
      </c>
    </row>
    <row r="305" spans="1:15" x14ac:dyDescent="0.3">
      <c r="A305" s="58" t="str">
        <f t="shared" si="172"/>
        <v>Donald</v>
      </c>
      <c r="B305" s="59" t="s">
        <v>154</v>
      </c>
      <c r="C305" s="61">
        <v>9700</v>
      </c>
      <c r="D305" s="61">
        <f t="shared" si="173"/>
        <v>389000</v>
      </c>
      <c r="E305" s="61">
        <f t="shared" si="174"/>
        <v>162500</v>
      </c>
      <c r="F305" s="61">
        <f t="shared" si="175"/>
        <v>0</v>
      </c>
      <c r="G305" s="61">
        <f t="shared" si="171"/>
        <v>0</v>
      </c>
      <c r="H305" s="61">
        <v>236200</v>
      </c>
      <c r="I305" s="61">
        <f t="shared" ref="I305:I306" si="177">+C305+D305-E305-F305+G305</f>
        <v>236200</v>
      </c>
      <c r="J305" s="9">
        <f t="shared" si="176"/>
        <v>0</v>
      </c>
      <c r="K305" s="45" t="s">
        <v>256</v>
      </c>
      <c r="L305" s="47">
        <v>389000</v>
      </c>
      <c r="M305" s="47">
        <v>0</v>
      </c>
      <c r="N305" s="47">
        <v>162500</v>
      </c>
      <c r="O305" s="47">
        <v>0</v>
      </c>
    </row>
    <row r="306" spans="1:15" x14ac:dyDescent="0.3">
      <c r="A306" s="58" t="str">
        <f t="shared" si="172"/>
        <v>Evariste</v>
      </c>
      <c r="B306" s="59" t="s">
        <v>155</v>
      </c>
      <c r="C306" s="61">
        <v>265425</v>
      </c>
      <c r="D306" s="61">
        <f t="shared" si="173"/>
        <v>0</v>
      </c>
      <c r="E306" s="61">
        <f t="shared" si="174"/>
        <v>128750</v>
      </c>
      <c r="F306" s="61">
        <f t="shared" si="175"/>
        <v>125000</v>
      </c>
      <c r="G306" s="61">
        <f t="shared" si="171"/>
        <v>0</v>
      </c>
      <c r="H306" s="61">
        <v>11675</v>
      </c>
      <c r="I306" s="61">
        <f t="shared" si="177"/>
        <v>11675</v>
      </c>
      <c r="J306" s="9">
        <f t="shared" si="176"/>
        <v>0</v>
      </c>
      <c r="K306" s="45" t="s">
        <v>31</v>
      </c>
      <c r="L306" s="47">
        <v>0</v>
      </c>
      <c r="M306" s="47">
        <v>125000</v>
      </c>
      <c r="N306" s="47">
        <v>128750</v>
      </c>
      <c r="O306" s="47">
        <v>0</v>
      </c>
    </row>
    <row r="307" spans="1:15" x14ac:dyDescent="0.3">
      <c r="A307" s="58" t="str">
        <f t="shared" si="172"/>
        <v>I55S</v>
      </c>
      <c r="B307" s="116" t="s">
        <v>4</v>
      </c>
      <c r="C307" s="118">
        <v>233614</v>
      </c>
      <c r="D307" s="118">
        <f t="shared" si="173"/>
        <v>0</v>
      </c>
      <c r="E307" s="118">
        <f>+N307</f>
        <v>0</v>
      </c>
      <c r="F307" s="118">
        <f t="shared" si="175"/>
        <v>0</v>
      </c>
      <c r="G307" s="118">
        <f t="shared" si="171"/>
        <v>0</v>
      </c>
      <c r="H307" s="118">
        <v>233614</v>
      </c>
      <c r="I307" s="118">
        <f>+C307+D307-E307-F307+G307</f>
        <v>233614</v>
      </c>
      <c r="J307" s="9">
        <f t="shared" si="176"/>
        <v>0</v>
      </c>
      <c r="K307" s="45" t="s">
        <v>84</v>
      </c>
      <c r="L307" s="47">
        <v>0</v>
      </c>
      <c r="M307" s="47">
        <v>0</v>
      </c>
      <c r="N307" s="47">
        <v>0</v>
      </c>
      <c r="O307" s="47">
        <v>0</v>
      </c>
    </row>
    <row r="308" spans="1:15" x14ac:dyDescent="0.3">
      <c r="A308" s="58" t="str">
        <f t="shared" si="172"/>
        <v>I73X</v>
      </c>
      <c r="B308" s="116" t="s">
        <v>4</v>
      </c>
      <c r="C308" s="118">
        <v>249769</v>
      </c>
      <c r="D308" s="118">
        <f t="shared" si="173"/>
        <v>0</v>
      </c>
      <c r="E308" s="118">
        <f>+N308</f>
        <v>0</v>
      </c>
      <c r="F308" s="118">
        <f t="shared" si="175"/>
        <v>0</v>
      </c>
      <c r="G308" s="118">
        <f t="shared" si="171"/>
        <v>0</v>
      </c>
      <c r="H308" s="118">
        <v>249769</v>
      </c>
      <c r="I308" s="118">
        <f t="shared" ref="I308:I312" si="178">+C308+D308-E308-F308+G308</f>
        <v>249769</v>
      </c>
      <c r="J308" s="9">
        <f t="shared" si="176"/>
        <v>0</v>
      </c>
      <c r="K308" s="45" t="s">
        <v>83</v>
      </c>
      <c r="L308" s="47">
        <v>0</v>
      </c>
      <c r="M308" s="47">
        <v>0</v>
      </c>
      <c r="N308" s="47">
        <v>0</v>
      </c>
      <c r="O308" s="47">
        <v>0</v>
      </c>
    </row>
    <row r="309" spans="1:15" s="188" customFormat="1" ht="15.6" x14ac:dyDescent="0.3">
      <c r="A309" s="58" t="str">
        <f t="shared" si="172"/>
        <v>Grace</v>
      </c>
      <c r="B309" s="59" t="s">
        <v>2</v>
      </c>
      <c r="C309" s="61">
        <v>596200</v>
      </c>
      <c r="D309" s="61">
        <f t="shared" si="173"/>
        <v>0</v>
      </c>
      <c r="E309" s="61">
        <f t="shared" ref="E309" si="179">+N309</f>
        <v>83400</v>
      </c>
      <c r="F309" s="61">
        <f t="shared" si="175"/>
        <v>501000</v>
      </c>
      <c r="G309" s="61">
        <f t="shared" si="171"/>
        <v>0</v>
      </c>
      <c r="H309" s="184">
        <v>11800</v>
      </c>
      <c r="I309" s="184">
        <f t="shared" si="178"/>
        <v>11800</v>
      </c>
      <c r="J309" s="185">
        <f>I309-H309</f>
        <v>0</v>
      </c>
      <c r="K309" s="186" t="s">
        <v>143</v>
      </c>
      <c r="L309" s="187">
        <v>0</v>
      </c>
      <c r="M309" s="187">
        <v>501000</v>
      </c>
      <c r="N309" s="47">
        <v>83400</v>
      </c>
      <c r="O309" s="187">
        <v>0</v>
      </c>
    </row>
    <row r="310" spans="1:15" x14ac:dyDescent="0.3">
      <c r="A310" s="58" t="str">
        <f t="shared" si="172"/>
        <v>Hurielle</v>
      </c>
      <c r="B310" s="98" t="s">
        <v>154</v>
      </c>
      <c r="C310" s="61">
        <v>144700</v>
      </c>
      <c r="D310" s="61">
        <f t="shared" si="173"/>
        <v>326000</v>
      </c>
      <c r="E310" s="61">
        <f>+N310</f>
        <v>292950</v>
      </c>
      <c r="F310" s="61">
        <f>+M310</f>
        <v>159000</v>
      </c>
      <c r="G310" s="61">
        <f t="shared" si="171"/>
        <v>0</v>
      </c>
      <c r="H310" s="61">
        <v>18750</v>
      </c>
      <c r="I310" s="61">
        <f t="shared" si="178"/>
        <v>18750</v>
      </c>
      <c r="J310" s="9">
        <f t="shared" ref="J310" si="180">I310-H310</f>
        <v>0</v>
      </c>
      <c r="K310" s="45" t="s">
        <v>197</v>
      </c>
      <c r="L310" s="47">
        <v>326000</v>
      </c>
      <c r="M310" s="47">
        <v>159000</v>
      </c>
      <c r="N310" s="47">
        <v>292950</v>
      </c>
      <c r="O310" s="47">
        <v>0</v>
      </c>
    </row>
    <row r="311" spans="1:15" s="188" customFormat="1" ht="15.6" x14ac:dyDescent="0.3">
      <c r="A311" s="58" t="str">
        <f t="shared" si="172"/>
        <v>Merveille</v>
      </c>
      <c r="B311" s="59" t="s">
        <v>2</v>
      </c>
      <c r="C311" s="61">
        <v>-2900</v>
      </c>
      <c r="D311" s="61">
        <f t="shared" si="173"/>
        <v>0</v>
      </c>
      <c r="E311" s="61">
        <f t="shared" ref="E311:E314" si="181">+N311</f>
        <v>0</v>
      </c>
      <c r="F311" s="61">
        <f t="shared" ref="F311:F314" si="182">+M311</f>
        <v>0</v>
      </c>
      <c r="G311" s="61">
        <f t="shared" si="171"/>
        <v>0</v>
      </c>
      <c r="H311" s="184">
        <v>-2900</v>
      </c>
      <c r="I311" s="184">
        <f t="shared" si="178"/>
        <v>-2900</v>
      </c>
      <c r="J311" s="185">
        <f>I311-H311</f>
        <v>0</v>
      </c>
      <c r="K311" s="186" t="s">
        <v>93</v>
      </c>
      <c r="L311" s="187">
        <v>0</v>
      </c>
      <c r="M311" s="187">
        <v>0</v>
      </c>
      <c r="N311" s="47">
        <v>0</v>
      </c>
      <c r="O311" s="187">
        <v>0</v>
      </c>
    </row>
    <row r="312" spans="1:15" x14ac:dyDescent="0.3">
      <c r="A312" s="58" t="str">
        <f t="shared" si="172"/>
        <v>P10</v>
      </c>
      <c r="B312" s="98" t="s">
        <v>4</v>
      </c>
      <c r="C312" s="61">
        <v>103900</v>
      </c>
      <c r="D312" s="61">
        <f t="shared" si="173"/>
        <v>205000</v>
      </c>
      <c r="E312" s="61">
        <f t="shared" si="181"/>
        <v>271900</v>
      </c>
      <c r="F312" s="61">
        <f t="shared" si="182"/>
        <v>37000</v>
      </c>
      <c r="G312" s="61">
        <f t="shared" si="171"/>
        <v>0</v>
      </c>
      <c r="H312" s="61">
        <v>0</v>
      </c>
      <c r="I312" s="61">
        <f t="shared" si="178"/>
        <v>0</v>
      </c>
      <c r="J312" s="9">
        <f t="shared" ref="J312:J313" si="183">I312-H312</f>
        <v>0</v>
      </c>
      <c r="K312" s="45" t="s">
        <v>255</v>
      </c>
      <c r="L312" s="47">
        <v>205000</v>
      </c>
      <c r="M312" s="47">
        <v>37000</v>
      </c>
      <c r="N312" s="47">
        <v>271900</v>
      </c>
      <c r="O312" s="47">
        <v>0</v>
      </c>
    </row>
    <row r="313" spans="1:15" ht="15.6" x14ac:dyDescent="0.3">
      <c r="A313" s="58" t="str">
        <f t="shared" si="172"/>
        <v>P29</v>
      </c>
      <c r="B313" s="59" t="s">
        <v>4</v>
      </c>
      <c r="C313" s="61">
        <v>175900</v>
      </c>
      <c r="D313" s="61">
        <f>+L313</f>
        <v>646000</v>
      </c>
      <c r="E313" s="61">
        <f t="shared" si="181"/>
        <v>623300</v>
      </c>
      <c r="F313" s="61">
        <f t="shared" si="182"/>
        <v>50000</v>
      </c>
      <c r="G313" s="61">
        <f t="shared" si="171"/>
        <v>0</v>
      </c>
      <c r="H313" s="61">
        <v>148600</v>
      </c>
      <c r="I313" s="61">
        <f>+C313+D313-E313-F313+G313</f>
        <v>148600</v>
      </c>
      <c r="J313" s="9">
        <f t="shared" si="183"/>
        <v>0</v>
      </c>
      <c r="K313" s="45" t="s">
        <v>29</v>
      </c>
      <c r="L313" s="47">
        <v>646000</v>
      </c>
      <c r="M313" s="47">
        <v>50000</v>
      </c>
      <c r="N313" s="187">
        <v>623300</v>
      </c>
      <c r="O313" s="47">
        <v>0</v>
      </c>
    </row>
    <row r="314" spans="1:15" x14ac:dyDescent="0.3">
      <c r="A314" s="58" t="str">
        <f t="shared" si="172"/>
        <v>Tiffany</v>
      </c>
      <c r="B314" s="59" t="s">
        <v>2</v>
      </c>
      <c r="C314" s="61">
        <v>-20702</v>
      </c>
      <c r="D314" s="61">
        <f t="shared" ref="D314" si="184">+L314</f>
        <v>179000</v>
      </c>
      <c r="E314" s="61">
        <f t="shared" si="181"/>
        <v>168472</v>
      </c>
      <c r="F314" s="61">
        <f t="shared" si="182"/>
        <v>0</v>
      </c>
      <c r="G314" s="61">
        <f t="shared" si="171"/>
        <v>0</v>
      </c>
      <c r="H314" s="61">
        <v>-10174</v>
      </c>
      <c r="I314" s="61">
        <f>+C314+D314-E314-F314+G314</f>
        <v>-10174</v>
      </c>
      <c r="J314" s="9">
        <f>I314-H314</f>
        <v>0</v>
      </c>
      <c r="K314" s="45" t="s">
        <v>113</v>
      </c>
      <c r="L314" s="47">
        <v>179000</v>
      </c>
      <c r="M314" s="47">
        <v>0</v>
      </c>
      <c r="N314" s="47">
        <v>168472</v>
      </c>
      <c r="O314" s="47">
        <v>0</v>
      </c>
    </row>
    <row r="315" spans="1:15" x14ac:dyDescent="0.3">
      <c r="A315" s="10" t="s">
        <v>50</v>
      </c>
      <c r="B315" s="11"/>
      <c r="C315" s="12">
        <f t="shared" ref="C315:I315" si="185">SUM(C301:C314)</f>
        <v>26480645</v>
      </c>
      <c r="D315" s="57">
        <f t="shared" si="185"/>
        <v>4641000</v>
      </c>
      <c r="E315" s="57">
        <f t="shared" si="185"/>
        <v>8157247</v>
      </c>
      <c r="F315" s="57">
        <f t="shared" si="185"/>
        <v>4641000</v>
      </c>
      <c r="G315" s="57">
        <f t="shared" si="185"/>
        <v>0</v>
      </c>
      <c r="H315" s="57">
        <f t="shared" si="185"/>
        <v>18323398</v>
      </c>
      <c r="I315" s="57">
        <f t="shared" si="185"/>
        <v>18323398</v>
      </c>
      <c r="J315" s="9">
        <f>I315-H315</f>
        <v>0</v>
      </c>
      <c r="K315" s="3"/>
      <c r="L315" s="47">
        <f>+SUM(L301:L314)</f>
        <v>4641000</v>
      </c>
      <c r="M315" s="47">
        <f>+SUM(M301:M314)</f>
        <v>4641000</v>
      </c>
      <c r="N315" s="47">
        <f>+SUM(N301:N314)</f>
        <v>8157247</v>
      </c>
      <c r="O315" s="47">
        <f>+SUM(O301:O314)</f>
        <v>0</v>
      </c>
    </row>
    <row r="316" spans="1:15" x14ac:dyDescent="0.3">
      <c r="A316" s="10"/>
      <c r="B316" s="11"/>
      <c r="C316" s="12"/>
      <c r="D316" s="13"/>
      <c r="E316" s="12"/>
      <c r="F316" s="13"/>
      <c r="G316" s="12"/>
      <c r="H316" s="12"/>
      <c r="I316" s="134" t="b">
        <f>I315=D318</f>
        <v>1</v>
      </c>
      <c r="J316" s="9">
        <f>H315-I315</f>
        <v>0</v>
      </c>
      <c r="L316" s="5"/>
      <c r="M316" s="5"/>
      <c r="N316" s="5"/>
      <c r="O316" s="5"/>
    </row>
    <row r="317" spans="1:15" x14ac:dyDescent="0.3">
      <c r="A317" s="10" t="s">
        <v>263</v>
      </c>
      <c r="B317" s="11" t="s">
        <v>165</v>
      </c>
      <c r="C317" s="12" t="s">
        <v>166</v>
      </c>
      <c r="D317" s="12" t="s">
        <v>264</v>
      </c>
      <c r="E317" s="12" t="s">
        <v>51</v>
      </c>
      <c r="F317" s="12"/>
      <c r="G317" s="12">
        <f>+D315-F315</f>
        <v>0</v>
      </c>
      <c r="H317" s="12"/>
      <c r="I317" s="12"/>
    </row>
    <row r="318" spans="1:15" x14ac:dyDescent="0.3">
      <c r="A318" s="14">
        <f>C315</f>
        <v>26480645</v>
      </c>
      <c r="B318" s="15">
        <f>G315</f>
        <v>0</v>
      </c>
      <c r="C318" s="12">
        <f>E315</f>
        <v>8157247</v>
      </c>
      <c r="D318" s="12">
        <f>A318+B318-C318</f>
        <v>18323398</v>
      </c>
      <c r="E318" s="13">
        <f>I315-D318</f>
        <v>0</v>
      </c>
      <c r="F318" s="12"/>
      <c r="G318" s="12"/>
      <c r="H318" s="12"/>
      <c r="I318" s="12"/>
    </row>
    <row r="319" spans="1:15" x14ac:dyDescent="0.3">
      <c r="A319" s="14"/>
      <c r="B319" s="15"/>
      <c r="C319" s="12"/>
      <c r="D319" s="12"/>
      <c r="E319" s="13"/>
      <c r="F319" s="12"/>
      <c r="G319" s="12"/>
      <c r="H319" s="12"/>
      <c r="I319" s="12"/>
    </row>
    <row r="320" spans="1:15" x14ac:dyDescent="0.3">
      <c r="A320" s="16" t="s">
        <v>52</v>
      </c>
      <c r="B320" s="16"/>
      <c r="C320" s="16"/>
      <c r="D320" s="17"/>
      <c r="E320" s="17"/>
      <c r="F320" s="17"/>
      <c r="G320" s="17"/>
      <c r="H320" s="17"/>
      <c r="I320" s="17"/>
    </row>
    <row r="321" spans="1:11" x14ac:dyDescent="0.3">
      <c r="A321" s="18" t="s">
        <v>265</v>
      </c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1" x14ac:dyDescent="0.3">
      <c r="A322" s="19"/>
      <c r="B322" s="17"/>
      <c r="C322" s="20"/>
      <c r="D322" s="20"/>
      <c r="E322" s="20"/>
      <c r="F322" s="20"/>
      <c r="G322" s="20"/>
      <c r="H322" s="17"/>
      <c r="I322" s="17"/>
    </row>
    <row r="323" spans="1:11" ht="45" customHeight="1" x14ac:dyDescent="0.3">
      <c r="A323" s="169" t="s">
        <v>53</v>
      </c>
      <c r="B323" s="171" t="s">
        <v>54</v>
      </c>
      <c r="C323" s="173" t="s">
        <v>266</v>
      </c>
      <c r="D323" s="174" t="s">
        <v>55</v>
      </c>
      <c r="E323" s="175"/>
      <c r="F323" s="175"/>
      <c r="G323" s="176"/>
      <c r="H323" s="177" t="s">
        <v>56</v>
      </c>
      <c r="I323" s="165" t="s">
        <v>57</v>
      </c>
      <c r="J323" s="212"/>
    </row>
    <row r="324" spans="1:11" ht="28.5" customHeight="1" x14ac:dyDescent="0.3">
      <c r="A324" s="170"/>
      <c r="B324" s="172"/>
      <c r="C324" s="22"/>
      <c r="D324" s="21" t="s">
        <v>24</v>
      </c>
      <c r="E324" s="21" t="s">
        <v>25</v>
      </c>
      <c r="F324" s="22" t="s">
        <v>123</v>
      </c>
      <c r="G324" s="21" t="s">
        <v>58</v>
      </c>
      <c r="H324" s="178"/>
      <c r="I324" s="166"/>
      <c r="J324" s="168" t="s">
        <v>267</v>
      </c>
      <c r="K324" s="143"/>
    </row>
    <row r="325" spans="1:11" x14ac:dyDescent="0.3">
      <c r="A325" s="23"/>
      <c r="B325" s="24" t="s">
        <v>59</v>
      </c>
      <c r="C325" s="25"/>
      <c r="D325" s="25"/>
      <c r="E325" s="25"/>
      <c r="F325" s="25"/>
      <c r="G325" s="25"/>
      <c r="H325" s="25"/>
      <c r="I325" s="26"/>
      <c r="J325" s="168"/>
      <c r="K325" s="143"/>
    </row>
    <row r="326" spans="1:11" x14ac:dyDescent="0.3">
      <c r="A326" s="122" t="s">
        <v>103</v>
      </c>
      <c r="B326" s="127" t="s">
        <v>47</v>
      </c>
      <c r="C326" s="32">
        <f>+C304</f>
        <v>409530</v>
      </c>
      <c r="D326" s="31"/>
      <c r="E326" s="32">
        <f t="shared" ref="E326:E336" si="186">+D304</f>
        <v>435000</v>
      </c>
      <c r="F326" s="32"/>
      <c r="G326" s="32"/>
      <c r="H326" s="55">
        <f t="shared" ref="H326:H336" si="187">+F304</f>
        <v>0</v>
      </c>
      <c r="I326" s="32">
        <f t="shared" ref="I326:I336" si="188">+E304</f>
        <v>755325</v>
      </c>
      <c r="J326" s="30">
        <f t="shared" ref="J326" si="189">+SUM(C326:G326)-(H326+I326)</f>
        <v>89205</v>
      </c>
      <c r="K326" s="144" t="b">
        <f>J326=I304</f>
        <v>1</v>
      </c>
    </row>
    <row r="327" spans="1:11" x14ac:dyDescent="0.3">
      <c r="A327" s="122" t="str">
        <f>+A326</f>
        <v>DECEMBRE</v>
      </c>
      <c r="B327" s="127" t="s">
        <v>256</v>
      </c>
      <c r="C327" s="32">
        <f t="shared" ref="C327:C328" si="190">+C305</f>
        <v>9700</v>
      </c>
      <c r="D327" s="31"/>
      <c r="E327" s="32">
        <f t="shared" si="186"/>
        <v>389000</v>
      </c>
      <c r="F327" s="32"/>
      <c r="G327" s="32"/>
      <c r="H327" s="55">
        <f t="shared" si="187"/>
        <v>0</v>
      </c>
      <c r="I327" s="32">
        <f t="shared" si="188"/>
        <v>162500</v>
      </c>
      <c r="J327" s="101">
        <f t="shared" ref="J327" si="191">+SUM(C327:G327)-(H327+I327)</f>
        <v>236200</v>
      </c>
      <c r="K327" s="144" t="b">
        <f>J327=I305</f>
        <v>1</v>
      </c>
    </row>
    <row r="328" spans="1:11" x14ac:dyDescent="0.3">
      <c r="A328" s="122" t="str">
        <f t="shared" ref="A328:A336" si="192">+A327</f>
        <v>DECEMBRE</v>
      </c>
      <c r="B328" s="127" t="s">
        <v>31</v>
      </c>
      <c r="C328" s="32">
        <f t="shared" si="190"/>
        <v>265425</v>
      </c>
      <c r="D328" s="31"/>
      <c r="E328" s="32">
        <f t="shared" si="186"/>
        <v>0</v>
      </c>
      <c r="F328" s="32"/>
      <c r="G328" s="32"/>
      <c r="H328" s="55">
        <f t="shared" si="187"/>
        <v>125000</v>
      </c>
      <c r="I328" s="32">
        <f t="shared" si="188"/>
        <v>128750</v>
      </c>
      <c r="J328" s="101">
        <f t="shared" ref="J328" si="193">+SUM(C328:G328)-(H328+I328)</f>
        <v>11675</v>
      </c>
      <c r="K328" s="144" t="b">
        <f t="shared" ref="K328:K336" si="194">J328=I306</f>
        <v>1</v>
      </c>
    </row>
    <row r="329" spans="1:11" x14ac:dyDescent="0.3">
      <c r="A329" s="122" t="str">
        <f t="shared" si="192"/>
        <v>DECEMBRE</v>
      </c>
      <c r="B329" s="129" t="s">
        <v>84</v>
      </c>
      <c r="C329" s="120">
        <f>+C307</f>
        <v>233614</v>
      </c>
      <c r="D329" s="123"/>
      <c r="E329" s="120">
        <f t="shared" si="186"/>
        <v>0</v>
      </c>
      <c r="F329" s="137"/>
      <c r="G329" s="137"/>
      <c r="H329" s="155">
        <f t="shared" si="187"/>
        <v>0</v>
      </c>
      <c r="I329" s="120">
        <f t="shared" si="188"/>
        <v>0</v>
      </c>
      <c r="J329" s="121">
        <f>+SUM(C329:G329)-(H329+I329)</f>
        <v>233614</v>
      </c>
      <c r="K329" s="144" t="b">
        <f t="shared" si="194"/>
        <v>1</v>
      </c>
    </row>
    <row r="330" spans="1:11" x14ac:dyDescent="0.3">
      <c r="A330" s="122" t="str">
        <f t="shared" si="192"/>
        <v>DECEMBRE</v>
      </c>
      <c r="B330" s="129" t="s">
        <v>83</v>
      </c>
      <c r="C330" s="120">
        <f>+C308</f>
        <v>249769</v>
      </c>
      <c r="D330" s="123"/>
      <c r="E330" s="120">
        <f t="shared" si="186"/>
        <v>0</v>
      </c>
      <c r="F330" s="137"/>
      <c r="G330" s="137"/>
      <c r="H330" s="155">
        <f t="shared" si="187"/>
        <v>0</v>
      </c>
      <c r="I330" s="120">
        <f t="shared" si="188"/>
        <v>0</v>
      </c>
      <c r="J330" s="121">
        <f t="shared" ref="J330:J336" si="195">+SUM(C330:G330)-(H330+I330)</f>
        <v>249769</v>
      </c>
      <c r="K330" s="144" t="b">
        <f t="shared" si="194"/>
        <v>1</v>
      </c>
    </row>
    <row r="331" spans="1:11" x14ac:dyDescent="0.3">
      <c r="A331" s="122" t="str">
        <f t="shared" si="192"/>
        <v>DECEMBRE</v>
      </c>
      <c r="B331" s="127" t="s">
        <v>143</v>
      </c>
      <c r="C331" s="32">
        <f>+C309</f>
        <v>596200</v>
      </c>
      <c r="D331" s="31"/>
      <c r="E331" s="32">
        <f t="shared" si="186"/>
        <v>0</v>
      </c>
      <c r="F331" s="32"/>
      <c r="G331" s="104"/>
      <c r="H331" s="55">
        <f t="shared" si="187"/>
        <v>501000</v>
      </c>
      <c r="I331" s="32">
        <f t="shared" si="188"/>
        <v>83400</v>
      </c>
      <c r="J331" s="30">
        <f t="shared" si="195"/>
        <v>11800</v>
      </c>
      <c r="K331" s="144" t="b">
        <f t="shared" si="194"/>
        <v>1</v>
      </c>
    </row>
    <row r="332" spans="1:11" x14ac:dyDescent="0.3">
      <c r="A332" s="122" t="str">
        <f t="shared" si="192"/>
        <v>DECEMBRE</v>
      </c>
      <c r="B332" s="127" t="s">
        <v>197</v>
      </c>
      <c r="C332" s="32">
        <f t="shared" ref="C332:C336" si="196">+C310</f>
        <v>144700</v>
      </c>
      <c r="D332" s="31"/>
      <c r="E332" s="32">
        <f t="shared" si="186"/>
        <v>326000</v>
      </c>
      <c r="F332" s="32"/>
      <c r="G332" s="104"/>
      <c r="H332" s="55">
        <f t="shared" si="187"/>
        <v>159000</v>
      </c>
      <c r="I332" s="32">
        <f t="shared" si="188"/>
        <v>292950</v>
      </c>
      <c r="J332" s="30">
        <f t="shared" si="195"/>
        <v>18750</v>
      </c>
      <c r="K332" s="144" t="b">
        <f t="shared" si="194"/>
        <v>1</v>
      </c>
    </row>
    <row r="333" spans="1:11" x14ac:dyDescent="0.3">
      <c r="A333" s="122" t="str">
        <f t="shared" si="192"/>
        <v>DECEMBRE</v>
      </c>
      <c r="B333" s="127" t="s">
        <v>93</v>
      </c>
      <c r="C333" s="32">
        <f t="shared" si="196"/>
        <v>-2900</v>
      </c>
      <c r="D333" s="31"/>
      <c r="E333" s="32">
        <f t="shared" si="186"/>
        <v>0</v>
      </c>
      <c r="F333" s="32"/>
      <c r="G333" s="104"/>
      <c r="H333" s="55">
        <f t="shared" si="187"/>
        <v>0</v>
      </c>
      <c r="I333" s="32">
        <f t="shared" si="188"/>
        <v>0</v>
      </c>
      <c r="J333" s="30">
        <f t="shared" si="195"/>
        <v>-2900</v>
      </c>
      <c r="K333" s="144" t="b">
        <f t="shared" si="194"/>
        <v>1</v>
      </c>
    </row>
    <row r="334" spans="1:11" x14ac:dyDescent="0.3">
      <c r="A334" s="122" t="str">
        <f t="shared" si="192"/>
        <v>DECEMBRE</v>
      </c>
      <c r="B334" s="127" t="s">
        <v>255</v>
      </c>
      <c r="C334" s="32">
        <f t="shared" si="196"/>
        <v>103900</v>
      </c>
      <c r="D334" s="31"/>
      <c r="E334" s="32">
        <f t="shared" si="186"/>
        <v>205000</v>
      </c>
      <c r="F334" s="32"/>
      <c r="G334" s="104"/>
      <c r="H334" s="55">
        <f t="shared" si="187"/>
        <v>37000</v>
      </c>
      <c r="I334" s="32">
        <f t="shared" si="188"/>
        <v>271900</v>
      </c>
      <c r="J334" s="30">
        <f t="shared" si="195"/>
        <v>0</v>
      </c>
      <c r="K334" s="144" t="b">
        <f t="shared" si="194"/>
        <v>1</v>
      </c>
    </row>
    <row r="335" spans="1:11" x14ac:dyDescent="0.3">
      <c r="A335" s="122" t="str">
        <f t="shared" si="192"/>
        <v>DECEMBRE</v>
      </c>
      <c r="B335" s="127" t="s">
        <v>29</v>
      </c>
      <c r="C335" s="32">
        <f t="shared" si="196"/>
        <v>175900</v>
      </c>
      <c r="D335" s="31"/>
      <c r="E335" s="32">
        <f t="shared" si="186"/>
        <v>646000</v>
      </c>
      <c r="F335" s="32"/>
      <c r="G335" s="104"/>
      <c r="H335" s="55">
        <f t="shared" si="187"/>
        <v>50000</v>
      </c>
      <c r="I335" s="32">
        <f t="shared" si="188"/>
        <v>623300</v>
      </c>
      <c r="J335" s="30">
        <f t="shared" si="195"/>
        <v>148600</v>
      </c>
      <c r="K335" s="144" t="b">
        <f t="shared" si="194"/>
        <v>1</v>
      </c>
    </row>
    <row r="336" spans="1:11" x14ac:dyDescent="0.3">
      <c r="A336" s="122" t="str">
        <f t="shared" si="192"/>
        <v>DECEMBRE</v>
      </c>
      <c r="B336" s="128" t="s">
        <v>113</v>
      </c>
      <c r="C336" s="32">
        <f t="shared" si="196"/>
        <v>-20702</v>
      </c>
      <c r="D336" s="119"/>
      <c r="E336" s="32">
        <f t="shared" si="186"/>
        <v>179000</v>
      </c>
      <c r="F336" s="51"/>
      <c r="G336" s="138"/>
      <c r="H336" s="55">
        <f t="shared" si="187"/>
        <v>0</v>
      </c>
      <c r="I336" s="32">
        <f t="shared" si="188"/>
        <v>168472</v>
      </c>
      <c r="J336" s="30">
        <f t="shared" si="195"/>
        <v>-10174</v>
      </c>
      <c r="K336" s="144" t="b">
        <f t="shared" si="194"/>
        <v>1</v>
      </c>
    </row>
    <row r="337" spans="1:16" x14ac:dyDescent="0.3">
      <c r="A337" s="34" t="s">
        <v>60</v>
      </c>
      <c r="B337" s="35"/>
      <c r="C337" s="35"/>
      <c r="D337" s="35"/>
      <c r="E337" s="35"/>
      <c r="F337" s="35"/>
      <c r="G337" s="35"/>
      <c r="H337" s="35"/>
      <c r="I337" s="35"/>
      <c r="J337" s="36"/>
      <c r="K337" s="143"/>
    </row>
    <row r="338" spans="1:16" x14ac:dyDescent="0.3">
      <c r="A338" s="122" t="str">
        <f>A336</f>
        <v>DECEMBRE</v>
      </c>
      <c r="B338" s="37" t="s">
        <v>61</v>
      </c>
      <c r="C338" s="38">
        <f>+C303</f>
        <v>2476103</v>
      </c>
      <c r="D338" s="49"/>
      <c r="E338" s="49">
        <f>D303</f>
        <v>2461000</v>
      </c>
      <c r="F338" s="49"/>
      <c r="G338" s="125"/>
      <c r="H338" s="51">
        <f>+F303</f>
        <v>1769000</v>
      </c>
      <c r="I338" s="126">
        <f>+E303</f>
        <v>1832504</v>
      </c>
      <c r="J338" s="30">
        <f>+SUM(C338:G338)-(H338+I338)</f>
        <v>1335599</v>
      </c>
      <c r="K338" s="144" t="b">
        <f>J338=I303</f>
        <v>1</v>
      </c>
    </row>
    <row r="339" spans="1:16" x14ac:dyDescent="0.3">
      <c r="A339" s="43" t="s">
        <v>62</v>
      </c>
      <c r="B339" s="24"/>
      <c r="C339" s="35"/>
      <c r="D339" s="24"/>
      <c r="E339" s="24"/>
      <c r="F339" s="24"/>
      <c r="G339" s="24"/>
      <c r="H339" s="24"/>
      <c r="I339" s="24"/>
      <c r="J339" s="36"/>
      <c r="K339" s="143"/>
    </row>
    <row r="340" spans="1:16" x14ac:dyDescent="0.3">
      <c r="A340" s="122" t="str">
        <f>+A338</f>
        <v>DECEMBRE</v>
      </c>
      <c r="B340" s="37" t="s">
        <v>156</v>
      </c>
      <c r="C340" s="125">
        <f>+C301</f>
        <v>16218242</v>
      </c>
      <c r="D340" s="132">
        <f>+G301</f>
        <v>0</v>
      </c>
      <c r="E340" s="49"/>
      <c r="F340" s="49"/>
      <c r="G340" s="49"/>
      <c r="H340" s="51">
        <f>+F301</f>
        <v>2000000</v>
      </c>
      <c r="I340" s="53">
        <f>+E301</f>
        <v>693345</v>
      </c>
      <c r="J340" s="30">
        <f>+SUM(C340:G340)-(H340+I340)</f>
        <v>13524897</v>
      </c>
      <c r="K340" s="144" t="b">
        <f>+J340=I301</f>
        <v>1</v>
      </c>
    </row>
    <row r="341" spans="1:16" x14ac:dyDescent="0.3">
      <c r="A341" s="122" t="str">
        <f t="shared" ref="A341" si="197">+A340</f>
        <v>DECEMBRE</v>
      </c>
      <c r="B341" s="37" t="s">
        <v>64</v>
      </c>
      <c r="C341" s="125">
        <f>+C302</f>
        <v>5621164</v>
      </c>
      <c r="D341" s="49">
        <f>+G302</f>
        <v>0</v>
      </c>
      <c r="E341" s="48"/>
      <c r="F341" s="48"/>
      <c r="G341" s="48"/>
      <c r="H341" s="32">
        <f>+F302</f>
        <v>0</v>
      </c>
      <c r="I341" s="50">
        <f>+E302</f>
        <v>3144801</v>
      </c>
      <c r="J341" s="30">
        <f>SUM(C341:G341)-(H341+I341)</f>
        <v>2476363</v>
      </c>
      <c r="K341" s="144" t="b">
        <f>+J341=I302</f>
        <v>1</v>
      </c>
    </row>
    <row r="342" spans="1:16" ht="15.6" x14ac:dyDescent="0.3">
      <c r="C342" s="141">
        <f>SUM(C326:C341)</f>
        <v>26480645</v>
      </c>
      <c r="I342" s="140">
        <f>SUM(I326:I341)</f>
        <v>8157247</v>
      </c>
      <c r="J342" s="105">
        <f>+SUM(J326:J341)</f>
        <v>18323398</v>
      </c>
      <c r="K342" s="5" t="b">
        <f>J342=I315</f>
        <v>1</v>
      </c>
    </row>
    <row r="343" spans="1:16" ht="15.6" x14ac:dyDescent="0.3">
      <c r="C343" s="141"/>
      <c r="I343" s="140"/>
      <c r="J343" s="105"/>
    </row>
    <row r="344" spans="1:16" ht="15.6" x14ac:dyDescent="0.3">
      <c r="A344" s="160"/>
      <c r="B344" s="160"/>
      <c r="C344" s="161"/>
      <c r="D344" s="160"/>
      <c r="E344" s="160"/>
      <c r="F344" s="160"/>
      <c r="G344" s="160"/>
      <c r="H344" s="160"/>
      <c r="I344" s="162"/>
      <c r="J344" s="163"/>
      <c r="K344" s="160"/>
      <c r="L344" s="164"/>
      <c r="M344" s="164"/>
      <c r="N344" s="164"/>
      <c r="O344" s="164"/>
      <c r="P344" s="160"/>
    </row>
    <row r="346" spans="1:16" ht="15.6" x14ac:dyDescent="0.3">
      <c r="A346" s="6" t="s">
        <v>36</v>
      </c>
      <c r="B346" s="6" t="s">
        <v>1</v>
      </c>
      <c r="C346" s="6">
        <v>44866</v>
      </c>
      <c r="D346" s="7" t="s">
        <v>37</v>
      </c>
      <c r="E346" s="7" t="s">
        <v>38</v>
      </c>
      <c r="F346" s="7" t="s">
        <v>39</v>
      </c>
      <c r="G346" s="7" t="s">
        <v>40</v>
      </c>
      <c r="H346" s="6">
        <v>44895</v>
      </c>
      <c r="I346" s="7" t="s">
        <v>41</v>
      </c>
      <c r="K346" s="45"/>
      <c r="L346" s="45" t="s">
        <v>42</v>
      </c>
      <c r="M346" s="45" t="s">
        <v>43</v>
      </c>
      <c r="N346" s="45" t="s">
        <v>44</v>
      </c>
      <c r="O346" s="45" t="s">
        <v>45</v>
      </c>
    </row>
    <row r="347" spans="1:16" x14ac:dyDescent="0.3">
      <c r="A347" s="58" t="str">
        <f>K347</f>
        <v>BCI</v>
      </c>
      <c r="B347" s="59" t="s">
        <v>46</v>
      </c>
      <c r="C347" s="61">
        <v>9603727</v>
      </c>
      <c r="D347" s="61">
        <f>+L347</f>
        <v>0</v>
      </c>
      <c r="E347" s="61">
        <f>+N347</f>
        <v>173438</v>
      </c>
      <c r="F347" s="61">
        <f>+M347</f>
        <v>6000000</v>
      </c>
      <c r="G347" s="61">
        <f t="shared" ref="G347:G360" si="198">+O347</f>
        <v>12787953</v>
      </c>
      <c r="H347" s="61">
        <v>16218242</v>
      </c>
      <c r="I347" s="61">
        <f>+C347+D347-E347-F347+G347</f>
        <v>16218242</v>
      </c>
      <c r="J347" s="9">
        <f>I347-H347</f>
        <v>0</v>
      </c>
      <c r="K347" s="45" t="s">
        <v>24</v>
      </c>
      <c r="L347" s="47">
        <v>0</v>
      </c>
      <c r="M347" s="47">
        <v>6000000</v>
      </c>
      <c r="N347" s="47">
        <v>173438</v>
      </c>
      <c r="O347" s="47">
        <v>12787953</v>
      </c>
    </row>
    <row r="348" spans="1:16" x14ac:dyDescent="0.3">
      <c r="A348" s="58" t="str">
        <f t="shared" ref="A348:A360" si="199">K348</f>
        <v>BCI-Sous Compte</v>
      </c>
      <c r="B348" s="59" t="s">
        <v>46</v>
      </c>
      <c r="C348" s="61">
        <v>9538949</v>
      </c>
      <c r="D348" s="61">
        <f t="shared" ref="D348:D358" si="200">+L348</f>
        <v>0</v>
      </c>
      <c r="E348" s="61">
        <f t="shared" ref="E348:E352" si="201">+N348</f>
        <v>3917785</v>
      </c>
      <c r="F348" s="61">
        <f t="shared" ref="F348:F355" si="202">+M348</f>
        <v>0</v>
      </c>
      <c r="G348" s="61">
        <f t="shared" si="198"/>
        <v>0</v>
      </c>
      <c r="H348" s="61">
        <v>5621164</v>
      </c>
      <c r="I348" s="61">
        <f>+C348+D348-E348-F348+G348</f>
        <v>5621164</v>
      </c>
      <c r="J348" s="9">
        <f t="shared" ref="J348:J356" si="203">I348-H348</f>
        <v>0</v>
      </c>
      <c r="K348" s="45" t="s">
        <v>148</v>
      </c>
      <c r="L348" s="46">
        <v>0</v>
      </c>
      <c r="M348" s="47">
        <v>0</v>
      </c>
      <c r="N348" s="47">
        <v>3917785</v>
      </c>
      <c r="O348" s="47">
        <v>0</v>
      </c>
    </row>
    <row r="349" spans="1:16" x14ac:dyDescent="0.3">
      <c r="A349" s="58" t="str">
        <f t="shared" si="199"/>
        <v>Caisse</v>
      </c>
      <c r="B349" s="59" t="s">
        <v>25</v>
      </c>
      <c r="C349" s="61">
        <v>2105331</v>
      </c>
      <c r="D349" s="61">
        <f t="shared" si="200"/>
        <v>6149000</v>
      </c>
      <c r="E349" s="61">
        <f t="shared" si="201"/>
        <v>1843228</v>
      </c>
      <c r="F349" s="61">
        <f t="shared" si="202"/>
        <v>3935000</v>
      </c>
      <c r="G349" s="61">
        <f t="shared" si="198"/>
        <v>0</v>
      </c>
      <c r="H349" s="61">
        <v>2476103</v>
      </c>
      <c r="I349" s="61">
        <f>+C349+D349-E349-F349+G349</f>
        <v>2476103</v>
      </c>
      <c r="J349" s="102">
        <f t="shared" si="203"/>
        <v>0</v>
      </c>
      <c r="K349" s="45" t="s">
        <v>25</v>
      </c>
      <c r="L349" s="47">
        <v>6149000</v>
      </c>
      <c r="M349" s="47">
        <v>3935000</v>
      </c>
      <c r="N349" s="47">
        <v>1843228</v>
      </c>
      <c r="O349" s="47">
        <v>0</v>
      </c>
    </row>
    <row r="350" spans="1:16" x14ac:dyDescent="0.3">
      <c r="A350" s="58" t="str">
        <f t="shared" si="199"/>
        <v>Crépin</v>
      </c>
      <c r="B350" s="59" t="s">
        <v>154</v>
      </c>
      <c r="C350" s="61">
        <v>113930</v>
      </c>
      <c r="D350" s="61">
        <f t="shared" si="200"/>
        <v>614000</v>
      </c>
      <c r="E350" s="61">
        <f t="shared" si="201"/>
        <v>238400</v>
      </c>
      <c r="F350" s="61">
        <f t="shared" si="202"/>
        <v>80000</v>
      </c>
      <c r="G350" s="61">
        <f t="shared" si="198"/>
        <v>0</v>
      </c>
      <c r="H350" s="61">
        <v>409530</v>
      </c>
      <c r="I350" s="61">
        <f>+C350+D350-E350-F350+G350</f>
        <v>409530</v>
      </c>
      <c r="J350" s="9">
        <f t="shared" si="203"/>
        <v>0</v>
      </c>
      <c r="K350" s="45" t="s">
        <v>47</v>
      </c>
      <c r="L350" s="47">
        <v>614000</v>
      </c>
      <c r="M350" s="47">
        <v>80000</v>
      </c>
      <c r="N350" s="47">
        <v>238400</v>
      </c>
      <c r="O350" s="47">
        <v>0</v>
      </c>
    </row>
    <row r="351" spans="1:16" x14ac:dyDescent="0.3">
      <c r="A351" s="58" t="str">
        <f t="shared" si="199"/>
        <v>Donald</v>
      </c>
      <c r="B351" s="59" t="s">
        <v>154</v>
      </c>
      <c r="C351" s="61">
        <v>13000</v>
      </c>
      <c r="D351" s="61">
        <f t="shared" si="200"/>
        <v>521000</v>
      </c>
      <c r="E351" s="61">
        <f t="shared" si="201"/>
        <v>504300</v>
      </c>
      <c r="F351" s="61">
        <f t="shared" si="202"/>
        <v>20000</v>
      </c>
      <c r="G351" s="61">
        <f t="shared" si="198"/>
        <v>0</v>
      </c>
      <c r="H351" s="61">
        <v>9700</v>
      </c>
      <c r="I351" s="61">
        <f t="shared" ref="I351:I352" si="204">+C351+D351-E351-F351+G351</f>
        <v>9700</v>
      </c>
      <c r="J351" s="9">
        <f t="shared" si="203"/>
        <v>0</v>
      </c>
      <c r="K351" s="45" t="s">
        <v>256</v>
      </c>
      <c r="L351" s="47">
        <v>521000</v>
      </c>
      <c r="M351" s="47">
        <v>20000</v>
      </c>
      <c r="N351" s="47">
        <v>504300</v>
      </c>
      <c r="O351" s="47">
        <v>0</v>
      </c>
    </row>
    <row r="352" spans="1:16" x14ac:dyDescent="0.3">
      <c r="A352" s="58" t="str">
        <f t="shared" si="199"/>
        <v>Evariste</v>
      </c>
      <c r="B352" s="59" t="s">
        <v>155</v>
      </c>
      <c r="C352" s="61">
        <v>11575</v>
      </c>
      <c r="D352" s="61">
        <f t="shared" si="200"/>
        <v>324000</v>
      </c>
      <c r="E352" s="61">
        <f t="shared" si="201"/>
        <v>70150</v>
      </c>
      <c r="F352" s="61">
        <f t="shared" si="202"/>
        <v>0</v>
      </c>
      <c r="G352" s="61">
        <f t="shared" si="198"/>
        <v>0</v>
      </c>
      <c r="H352" s="61">
        <v>265425</v>
      </c>
      <c r="I352" s="61">
        <f t="shared" si="204"/>
        <v>265425</v>
      </c>
      <c r="J352" s="9">
        <f t="shared" si="203"/>
        <v>0</v>
      </c>
      <c r="K352" s="45" t="s">
        <v>31</v>
      </c>
      <c r="L352" s="47">
        <v>324000</v>
      </c>
      <c r="M352" s="47">
        <v>0</v>
      </c>
      <c r="N352" s="47">
        <v>70150</v>
      </c>
      <c r="O352" s="47">
        <v>0</v>
      </c>
    </row>
    <row r="353" spans="1:15" x14ac:dyDescent="0.3">
      <c r="A353" s="58" t="str">
        <f t="shared" si="199"/>
        <v>I55S</v>
      </c>
      <c r="B353" s="116" t="s">
        <v>4</v>
      </c>
      <c r="C353" s="118">
        <v>233614</v>
      </c>
      <c r="D353" s="118">
        <f t="shared" si="200"/>
        <v>0</v>
      </c>
      <c r="E353" s="118">
        <f>+N353</f>
        <v>0</v>
      </c>
      <c r="F353" s="118">
        <f t="shared" si="202"/>
        <v>0</v>
      </c>
      <c r="G353" s="118">
        <f t="shared" si="198"/>
        <v>0</v>
      </c>
      <c r="H353" s="118">
        <v>233614</v>
      </c>
      <c r="I353" s="118">
        <f>+C353+D353-E353-F353+G353</f>
        <v>233614</v>
      </c>
      <c r="J353" s="9">
        <f t="shared" si="203"/>
        <v>0</v>
      </c>
      <c r="K353" s="45" t="s">
        <v>84</v>
      </c>
      <c r="L353" s="47">
        <v>0</v>
      </c>
      <c r="M353" s="47">
        <v>0</v>
      </c>
      <c r="N353" s="47">
        <v>0</v>
      </c>
      <c r="O353" s="47">
        <v>0</v>
      </c>
    </row>
    <row r="354" spans="1:15" x14ac:dyDescent="0.3">
      <c r="A354" s="58" t="str">
        <f t="shared" si="199"/>
        <v>I73X</v>
      </c>
      <c r="B354" s="116" t="s">
        <v>4</v>
      </c>
      <c r="C354" s="118">
        <v>249769</v>
      </c>
      <c r="D354" s="118">
        <f t="shared" si="200"/>
        <v>0</v>
      </c>
      <c r="E354" s="118">
        <f>+N354</f>
        <v>0</v>
      </c>
      <c r="F354" s="118">
        <f t="shared" si="202"/>
        <v>0</v>
      </c>
      <c r="G354" s="118">
        <f t="shared" si="198"/>
        <v>0</v>
      </c>
      <c r="H354" s="118">
        <v>249769</v>
      </c>
      <c r="I354" s="118">
        <f t="shared" ref="I354:I358" si="205">+C354+D354-E354-F354+G354</f>
        <v>249769</v>
      </c>
      <c r="J354" s="9">
        <f t="shared" si="203"/>
        <v>0</v>
      </c>
      <c r="K354" s="45" t="s">
        <v>83</v>
      </c>
      <c r="L354" s="47">
        <v>0</v>
      </c>
      <c r="M354" s="47">
        <v>0</v>
      </c>
      <c r="N354" s="47">
        <v>0</v>
      </c>
      <c r="O354" s="47">
        <v>0</v>
      </c>
    </row>
    <row r="355" spans="1:15" s="188" customFormat="1" ht="15.6" x14ac:dyDescent="0.3">
      <c r="A355" s="58" t="str">
        <f t="shared" ref="A355" si="206">K355</f>
        <v>Grace</v>
      </c>
      <c r="B355" s="183" t="s">
        <v>2</v>
      </c>
      <c r="C355" s="184">
        <v>0</v>
      </c>
      <c r="D355" s="61">
        <f t="shared" ref="D355" si="207">+L355</f>
        <v>950000</v>
      </c>
      <c r="E355" s="61">
        <f t="shared" ref="E355" si="208">+N355</f>
        <v>33800</v>
      </c>
      <c r="F355" s="61">
        <f t="shared" si="202"/>
        <v>320000</v>
      </c>
      <c r="G355" s="61">
        <f t="shared" ref="G355" si="209">+O355</f>
        <v>0</v>
      </c>
      <c r="H355" s="184">
        <v>596200</v>
      </c>
      <c r="I355" s="184">
        <f t="shared" ref="I355" si="210">+C355+D355-E355-F355+G355</f>
        <v>596200</v>
      </c>
      <c r="J355" s="185">
        <f>I355-H355</f>
        <v>0</v>
      </c>
      <c r="K355" s="186" t="s">
        <v>143</v>
      </c>
      <c r="L355" s="187">
        <v>950000</v>
      </c>
      <c r="M355" s="187">
        <v>320000</v>
      </c>
      <c r="N355" s="47">
        <v>33800</v>
      </c>
      <c r="O355" s="187">
        <v>0</v>
      </c>
    </row>
    <row r="356" spans="1:15" x14ac:dyDescent="0.3">
      <c r="A356" s="58" t="str">
        <f t="shared" si="199"/>
        <v>Hurielle</v>
      </c>
      <c r="B356" s="98" t="s">
        <v>154</v>
      </c>
      <c r="C356" s="61">
        <v>46900</v>
      </c>
      <c r="D356" s="61">
        <f t="shared" si="200"/>
        <v>603000</v>
      </c>
      <c r="E356" s="61">
        <f>+N356</f>
        <v>456200</v>
      </c>
      <c r="F356" s="61">
        <f>+M356</f>
        <v>49000</v>
      </c>
      <c r="G356" s="61">
        <f t="shared" si="198"/>
        <v>0</v>
      </c>
      <c r="H356" s="61">
        <v>144700</v>
      </c>
      <c r="I356" s="61">
        <f t="shared" si="205"/>
        <v>144700</v>
      </c>
      <c r="J356" s="9">
        <f t="shared" si="203"/>
        <v>0</v>
      </c>
      <c r="K356" s="45" t="s">
        <v>197</v>
      </c>
      <c r="L356" s="47">
        <v>603000</v>
      </c>
      <c r="M356" s="47">
        <v>49000</v>
      </c>
      <c r="N356" s="47">
        <v>456200</v>
      </c>
      <c r="O356" s="47">
        <v>0</v>
      </c>
    </row>
    <row r="357" spans="1:15" s="188" customFormat="1" ht="15.6" x14ac:dyDescent="0.3">
      <c r="A357" s="58" t="str">
        <f t="shared" si="199"/>
        <v>Merveille</v>
      </c>
      <c r="B357" s="183" t="s">
        <v>2</v>
      </c>
      <c r="C357" s="184">
        <v>14100</v>
      </c>
      <c r="D357" s="61">
        <f t="shared" si="200"/>
        <v>0</v>
      </c>
      <c r="E357" s="61">
        <f t="shared" ref="E357:E360" si="211">+N357</f>
        <v>17000</v>
      </c>
      <c r="F357" s="61">
        <f t="shared" ref="F357:F360" si="212">+M357</f>
        <v>0</v>
      </c>
      <c r="G357" s="61">
        <f t="shared" si="198"/>
        <v>0</v>
      </c>
      <c r="H357" s="184">
        <v>-2900</v>
      </c>
      <c r="I357" s="184">
        <f t="shared" si="205"/>
        <v>-2900</v>
      </c>
      <c r="J357" s="185">
        <f>I357-H357</f>
        <v>0</v>
      </c>
      <c r="K357" s="186" t="s">
        <v>93</v>
      </c>
      <c r="L357" s="187">
        <v>0</v>
      </c>
      <c r="M357" s="187">
        <v>0</v>
      </c>
      <c r="N357" s="47">
        <v>17000</v>
      </c>
      <c r="O357" s="187">
        <v>0</v>
      </c>
    </row>
    <row r="358" spans="1:15" x14ac:dyDescent="0.3">
      <c r="A358" s="58" t="str">
        <f t="shared" si="199"/>
        <v>P10</v>
      </c>
      <c r="B358" s="98" t="s">
        <v>4</v>
      </c>
      <c r="C358" s="61">
        <v>-3000</v>
      </c>
      <c r="D358" s="61">
        <f t="shared" si="200"/>
        <v>685000</v>
      </c>
      <c r="E358" s="61">
        <f t="shared" si="211"/>
        <v>578100</v>
      </c>
      <c r="F358" s="61">
        <f t="shared" si="212"/>
        <v>0</v>
      </c>
      <c r="G358" s="61">
        <f t="shared" si="198"/>
        <v>0</v>
      </c>
      <c r="H358" s="61">
        <v>103900</v>
      </c>
      <c r="I358" s="61">
        <f t="shared" si="205"/>
        <v>103900</v>
      </c>
      <c r="J358" s="9">
        <f t="shared" ref="J358:J359" si="213">I358-H358</f>
        <v>0</v>
      </c>
      <c r="K358" s="45" t="s">
        <v>255</v>
      </c>
      <c r="L358" s="47">
        <v>685000</v>
      </c>
      <c r="M358" s="47">
        <v>0</v>
      </c>
      <c r="N358" s="47">
        <v>578100</v>
      </c>
      <c r="O358" s="47">
        <v>0</v>
      </c>
    </row>
    <row r="359" spans="1:15" ht="15.6" x14ac:dyDescent="0.3">
      <c r="A359" s="58" t="str">
        <f t="shared" si="199"/>
        <v>P29</v>
      </c>
      <c r="B359" s="59" t="s">
        <v>4</v>
      </c>
      <c r="C359" s="61">
        <v>56000</v>
      </c>
      <c r="D359" s="61">
        <f>+L359</f>
        <v>538000</v>
      </c>
      <c r="E359" s="61">
        <f t="shared" si="211"/>
        <v>418100</v>
      </c>
      <c r="F359" s="61">
        <f t="shared" si="212"/>
        <v>0</v>
      </c>
      <c r="G359" s="61">
        <f t="shared" si="198"/>
        <v>0</v>
      </c>
      <c r="H359" s="61">
        <v>175900</v>
      </c>
      <c r="I359" s="61">
        <f>+C359+D359-E359-F359+G359</f>
        <v>175900</v>
      </c>
      <c r="J359" s="9">
        <f t="shared" si="213"/>
        <v>0</v>
      </c>
      <c r="K359" s="45" t="s">
        <v>29</v>
      </c>
      <c r="L359" s="47">
        <v>538000</v>
      </c>
      <c r="M359" s="47">
        <v>0</v>
      </c>
      <c r="N359" s="187">
        <v>418100</v>
      </c>
      <c r="O359" s="47">
        <v>0</v>
      </c>
    </row>
    <row r="360" spans="1:15" x14ac:dyDescent="0.3">
      <c r="A360" s="58" t="str">
        <f t="shared" si="199"/>
        <v>Tiffany</v>
      </c>
      <c r="B360" s="59" t="s">
        <v>2</v>
      </c>
      <c r="C360" s="61">
        <v>18298</v>
      </c>
      <c r="D360" s="61">
        <f t="shared" ref="D360" si="214">+L360</f>
        <v>20000</v>
      </c>
      <c r="E360" s="61">
        <f t="shared" si="211"/>
        <v>59000</v>
      </c>
      <c r="F360" s="61">
        <f t="shared" si="212"/>
        <v>0</v>
      </c>
      <c r="G360" s="61">
        <f t="shared" si="198"/>
        <v>0</v>
      </c>
      <c r="H360" s="61">
        <v>-20702</v>
      </c>
      <c r="I360" s="61">
        <f>+C360+D360-E360-F360+G360</f>
        <v>-20702</v>
      </c>
      <c r="J360" s="9">
        <f>I360-H360</f>
        <v>0</v>
      </c>
      <c r="K360" s="45" t="s">
        <v>113</v>
      </c>
      <c r="L360" s="47">
        <v>20000</v>
      </c>
      <c r="M360" s="47">
        <v>0</v>
      </c>
      <c r="N360" s="47">
        <v>59000</v>
      </c>
      <c r="O360" s="47">
        <v>0</v>
      </c>
    </row>
    <row r="361" spans="1:15" x14ac:dyDescent="0.3">
      <c r="A361" s="10" t="s">
        <v>50</v>
      </c>
      <c r="B361" s="11"/>
      <c r="C361" s="12">
        <f t="shared" ref="C361:I361" si="215">SUM(C347:C360)</f>
        <v>22002193</v>
      </c>
      <c r="D361" s="57">
        <f t="shared" si="215"/>
        <v>10404000</v>
      </c>
      <c r="E361" s="57">
        <f t="shared" si="215"/>
        <v>8309501</v>
      </c>
      <c r="F361" s="57">
        <f t="shared" si="215"/>
        <v>10404000</v>
      </c>
      <c r="G361" s="57">
        <f t="shared" si="215"/>
        <v>12787953</v>
      </c>
      <c r="H361" s="57">
        <f t="shared" si="215"/>
        <v>26480645</v>
      </c>
      <c r="I361" s="57">
        <f t="shared" si="215"/>
        <v>26480645</v>
      </c>
      <c r="J361" s="9">
        <f>I361-H361</f>
        <v>0</v>
      </c>
      <c r="K361" s="3"/>
      <c r="L361" s="47">
        <f>+SUM(L347:L360)</f>
        <v>10404000</v>
      </c>
      <c r="M361" s="47">
        <f>+SUM(M347:M360)</f>
        <v>10404000</v>
      </c>
      <c r="N361" s="47">
        <f>+SUM(N347:N360)</f>
        <v>8309501</v>
      </c>
      <c r="O361" s="47">
        <f>+SUM(O347:O360)</f>
        <v>12787953</v>
      </c>
    </row>
    <row r="362" spans="1:15" x14ac:dyDescent="0.3">
      <c r="A362" s="10"/>
      <c r="B362" s="11"/>
      <c r="C362" s="12"/>
      <c r="D362" s="13"/>
      <c r="E362" s="12"/>
      <c r="F362" s="13"/>
      <c r="G362" s="12"/>
      <c r="H362" s="12"/>
      <c r="I362" s="134" t="b">
        <f>I361=D364</f>
        <v>1</v>
      </c>
      <c r="J362" s="9">
        <f>H361-I361</f>
        <v>0</v>
      </c>
      <c r="L362" s="5"/>
      <c r="M362" s="5"/>
      <c r="N362" s="5"/>
      <c r="O362" s="5"/>
    </row>
    <row r="363" spans="1:15" x14ac:dyDescent="0.3">
      <c r="A363" s="10" t="s">
        <v>257</v>
      </c>
      <c r="B363" s="11" t="s">
        <v>258</v>
      </c>
      <c r="C363" s="12" t="s">
        <v>163</v>
      </c>
      <c r="D363" s="12" t="s">
        <v>259</v>
      </c>
      <c r="E363" s="12" t="s">
        <v>51</v>
      </c>
      <c r="F363" s="12"/>
      <c r="G363" s="12">
        <f>+D361-F361</f>
        <v>0</v>
      </c>
      <c r="H363" s="12"/>
      <c r="I363" s="12"/>
    </row>
    <row r="364" spans="1:15" x14ac:dyDescent="0.3">
      <c r="A364" s="14">
        <f>C361</f>
        <v>22002193</v>
      </c>
      <c r="B364" s="15">
        <f>G361</f>
        <v>12787953</v>
      </c>
      <c r="C364" s="12">
        <f>E361</f>
        <v>8309501</v>
      </c>
      <c r="D364" s="12">
        <f>A364+B364-C364</f>
        <v>26480645</v>
      </c>
      <c r="E364" s="13">
        <f>I361-D364</f>
        <v>0</v>
      </c>
      <c r="F364" s="12"/>
      <c r="G364" s="12"/>
      <c r="H364" s="12"/>
      <c r="I364" s="12"/>
    </row>
    <row r="365" spans="1:15" x14ac:dyDescent="0.3">
      <c r="A365" s="14"/>
      <c r="B365" s="15"/>
      <c r="C365" s="12"/>
      <c r="D365" s="12"/>
      <c r="E365" s="13"/>
      <c r="F365" s="12"/>
      <c r="G365" s="12"/>
      <c r="H365" s="12"/>
      <c r="I365" s="12"/>
    </row>
    <row r="366" spans="1:15" x14ac:dyDescent="0.3">
      <c r="A366" s="16" t="s">
        <v>52</v>
      </c>
      <c r="B366" s="16"/>
      <c r="C366" s="16"/>
      <c r="D366" s="17"/>
      <c r="E366" s="17"/>
      <c r="F366" s="17"/>
      <c r="G366" s="17"/>
      <c r="H366" s="17"/>
      <c r="I366" s="17"/>
    </row>
    <row r="367" spans="1:15" x14ac:dyDescent="0.3">
      <c r="A367" s="18" t="s">
        <v>262</v>
      </c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5" x14ac:dyDescent="0.3">
      <c r="A368" s="19"/>
      <c r="B368" s="17"/>
      <c r="C368" s="20"/>
      <c r="D368" s="20"/>
      <c r="E368" s="20"/>
      <c r="F368" s="20"/>
      <c r="G368" s="20"/>
      <c r="H368" s="17"/>
      <c r="I368" s="17"/>
    </row>
    <row r="369" spans="1:11" ht="45" customHeight="1" x14ac:dyDescent="0.3">
      <c r="A369" s="169" t="s">
        <v>53</v>
      </c>
      <c r="B369" s="171" t="s">
        <v>54</v>
      </c>
      <c r="C369" s="173" t="s">
        <v>261</v>
      </c>
      <c r="D369" s="174" t="s">
        <v>55</v>
      </c>
      <c r="E369" s="175"/>
      <c r="F369" s="175"/>
      <c r="G369" s="176"/>
      <c r="H369" s="177" t="s">
        <v>56</v>
      </c>
      <c r="I369" s="165" t="s">
        <v>57</v>
      </c>
      <c r="J369" s="17"/>
    </row>
    <row r="370" spans="1:11" ht="28.5" customHeight="1" x14ac:dyDescent="0.3">
      <c r="A370" s="170"/>
      <c r="B370" s="172"/>
      <c r="C370" s="22"/>
      <c r="D370" s="21" t="s">
        <v>24</v>
      </c>
      <c r="E370" s="21" t="s">
        <v>25</v>
      </c>
      <c r="F370" s="22" t="s">
        <v>123</v>
      </c>
      <c r="G370" s="21" t="s">
        <v>58</v>
      </c>
      <c r="H370" s="178"/>
      <c r="I370" s="166"/>
      <c r="J370" s="167" t="s">
        <v>260</v>
      </c>
      <c r="K370" s="143"/>
    </row>
    <row r="371" spans="1:11" x14ac:dyDescent="0.3">
      <c r="A371" s="23"/>
      <c r="B371" s="24" t="s">
        <v>59</v>
      </c>
      <c r="C371" s="25"/>
      <c r="D371" s="25"/>
      <c r="E371" s="25"/>
      <c r="F371" s="25"/>
      <c r="G371" s="25"/>
      <c r="H371" s="25"/>
      <c r="I371" s="26"/>
      <c r="J371" s="168"/>
      <c r="K371" s="143"/>
    </row>
    <row r="372" spans="1:11" x14ac:dyDescent="0.3">
      <c r="A372" s="122" t="s">
        <v>98</v>
      </c>
      <c r="B372" s="127" t="s">
        <v>47</v>
      </c>
      <c r="C372" s="32">
        <f>+C350</f>
        <v>113930</v>
      </c>
      <c r="D372" s="31"/>
      <c r="E372" s="32">
        <f t="shared" ref="E372:E377" si="216">+D350</f>
        <v>614000</v>
      </c>
      <c r="F372" s="32"/>
      <c r="G372" s="32"/>
      <c r="H372" s="55">
        <f t="shared" ref="H372:H377" si="217">+F350</f>
        <v>80000</v>
      </c>
      <c r="I372" s="32">
        <f t="shared" ref="I372:I377" si="218">+E350</f>
        <v>238400</v>
      </c>
      <c r="J372" s="30">
        <f t="shared" ref="J372:J374" si="219">+SUM(C372:G372)-(H372+I372)</f>
        <v>409530</v>
      </c>
      <c r="K372" s="144" t="b">
        <f>J372=I350</f>
        <v>1</v>
      </c>
    </row>
    <row r="373" spans="1:11" x14ac:dyDescent="0.3">
      <c r="A373" s="122" t="str">
        <f>+A372</f>
        <v>NOVEMBRE</v>
      </c>
      <c r="B373" s="127" t="s">
        <v>256</v>
      </c>
      <c r="C373" s="32">
        <f t="shared" ref="C373:C374" si="220">+C351</f>
        <v>13000</v>
      </c>
      <c r="D373" s="31"/>
      <c r="E373" s="32">
        <f t="shared" si="216"/>
        <v>521000</v>
      </c>
      <c r="F373" s="32"/>
      <c r="G373" s="32"/>
      <c r="H373" s="55">
        <f t="shared" si="217"/>
        <v>20000</v>
      </c>
      <c r="I373" s="32">
        <f t="shared" si="218"/>
        <v>504300</v>
      </c>
      <c r="J373" s="101">
        <f t="shared" ref="J373" si="221">+SUM(C373:G373)-(H373+I373)</f>
        <v>9700</v>
      </c>
      <c r="K373" s="144" t="b">
        <f>J373=I351</f>
        <v>1</v>
      </c>
    </row>
    <row r="374" spans="1:11" x14ac:dyDescent="0.3">
      <c r="A374" s="122" t="str">
        <f t="shared" ref="A374:A382" si="222">+A373</f>
        <v>NOVEMBRE</v>
      </c>
      <c r="B374" s="127" t="s">
        <v>31</v>
      </c>
      <c r="C374" s="32">
        <f t="shared" si="220"/>
        <v>11575</v>
      </c>
      <c r="D374" s="31"/>
      <c r="E374" s="32">
        <f t="shared" si="216"/>
        <v>324000</v>
      </c>
      <c r="F374" s="32"/>
      <c r="G374" s="32"/>
      <c r="H374" s="55">
        <f t="shared" si="217"/>
        <v>0</v>
      </c>
      <c r="I374" s="32">
        <f t="shared" si="218"/>
        <v>70150</v>
      </c>
      <c r="J374" s="101">
        <f t="shared" si="219"/>
        <v>265425</v>
      </c>
      <c r="K374" s="144" t="b">
        <f t="shared" ref="K374:K382" si="223">J374=I352</f>
        <v>1</v>
      </c>
    </row>
    <row r="375" spans="1:11" x14ac:dyDescent="0.3">
      <c r="A375" s="122" t="str">
        <f t="shared" si="222"/>
        <v>NOVEMBRE</v>
      </c>
      <c r="B375" s="129" t="s">
        <v>84</v>
      </c>
      <c r="C375" s="120">
        <f>+C353</f>
        <v>233614</v>
      </c>
      <c r="D375" s="123"/>
      <c r="E375" s="120">
        <f t="shared" si="216"/>
        <v>0</v>
      </c>
      <c r="F375" s="137"/>
      <c r="G375" s="137"/>
      <c r="H375" s="155">
        <f t="shared" si="217"/>
        <v>0</v>
      </c>
      <c r="I375" s="120">
        <f t="shared" si="218"/>
        <v>0</v>
      </c>
      <c r="J375" s="121">
        <f>+SUM(C375:G375)-(H375+I375)</f>
        <v>233614</v>
      </c>
      <c r="K375" s="144" t="b">
        <f t="shared" si="223"/>
        <v>1</v>
      </c>
    </row>
    <row r="376" spans="1:11" x14ac:dyDescent="0.3">
      <c r="A376" s="122" t="str">
        <f t="shared" si="222"/>
        <v>NOVEMBRE</v>
      </c>
      <c r="B376" s="129" t="s">
        <v>83</v>
      </c>
      <c r="C376" s="120">
        <f>+C354</f>
        <v>249769</v>
      </c>
      <c r="D376" s="123"/>
      <c r="E376" s="120">
        <f t="shared" si="216"/>
        <v>0</v>
      </c>
      <c r="F376" s="137"/>
      <c r="G376" s="137"/>
      <c r="H376" s="155">
        <f t="shared" si="217"/>
        <v>0</v>
      </c>
      <c r="I376" s="120">
        <f t="shared" si="218"/>
        <v>0</v>
      </c>
      <c r="J376" s="121">
        <f t="shared" ref="J376:J382" si="224">+SUM(C376:G376)-(H376+I376)</f>
        <v>249769</v>
      </c>
      <c r="K376" s="144" t="b">
        <f t="shared" si="223"/>
        <v>1</v>
      </c>
    </row>
    <row r="377" spans="1:11" x14ac:dyDescent="0.3">
      <c r="A377" s="122" t="str">
        <f t="shared" si="222"/>
        <v>NOVEMBRE</v>
      </c>
      <c r="B377" s="127" t="s">
        <v>143</v>
      </c>
      <c r="C377" s="32">
        <f>+C355</f>
        <v>0</v>
      </c>
      <c r="D377" s="31"/>
      <c r="E377" s="32">
        <f t="shared" si="216"/>
        <v>950000</v>
      </c>
      <c r="F377" s="32"/>
      <c r="G377" s="104"/>
      <c r="H377" s="55">
        <f t="shared" si="217"/>
        <v>320000</v>
      </c>
      <c r="I377" s="32">
        <f t="shared" si="218"/>
        <v>33800</v>
      </c>
      <c r="J377" s="30">
        <f t="shared" si="224"/>
        <v>596200</v>
      </c>
      <c r="K377" s="144" t="b">
        <f t="shared" si="223"/>
        <v>1</v>
      </c>
    </row>
    <row r="378" spans="1:11" x14ac:dyDescent="0.3">
      <c r="A378" s="122" t="str">
        <f t="shared" si="222"/>
        <v>NOVEMBRE</v>
      </c>
      <c r="B378" s="127" t="s">
        <v>197</v>
      </c>
      <c r="C378" s="32">
        <f t="shared" ref="C378:C382" si="225">+C356</f>
        <v>46900</v>
      </c>
      <c r="D378" s="31"/>
      <c r="E378" s="32">
        <f t="shared" ref="E378:E382" si="226">+D356</f>
        <v>603000</v>
      </c>
      <c r="F378" s="32"/>
      <c r="G378" s="104"/>
      <c r="H378" s="55">
        <f t="shared" ref="H378:H382" si="227">+F356</f>
        <v>49000</v>
      </c>
      <c r="I378" s="32">
        <f t="shared" ref="I378:I382" si="228">+E356</f>
        <v>456200</v>
      </c>
      <c r="J378" s="30">
        <f t="shared" si="224"/>
        <v>144700</v>
      </c>
      <c r="K378" s="144" t="b">
        <f t="shared" si="223"/>
        <v>1</v>
      </c>
    </row>
    <row r="379" spans="1:11" x14ac:dyDescent="0.3">
      <c r="A379" s="122" t="str">
        <f t="shared" si="222"/>
        <v>NOVEMBRE</v>
      </c>
      <c r="B379" s="127" t="s">
        <v>93</v>
      </c>
      <c r="C379" s="32">
        <f t="shared" si="225"/>
        <v>14100</v>
      </c>
      <c r="D379" s="31"/>
      <c r="E379" s="32">
        <f t="shared" si="226"/>
        <v>0</v>
      </c>
      <c r="F379" s="32"/>
      <c r="G379" s="104"/>
      <c r="H379" s="55">
        <f t="shared" si="227"/>
        <v>0</v>
      </c>
      <c r="I379" s="32">
        <f t="shared" si="228"/>
        <v>17000</v>
      </c>
      <c r="J379" s="30">
        <f t="shared" si="224"/>
        <v>-2900</v>
      </c>
      <c r="K379" s="144" t="b">
        <f t="shared" si="223"/>
        <v>1</v>
      </c>
    </row>
    <row r="380" spans="1:11" x14ac:dyDescent="0.3">
      <c r="A380" s="122" t="str">
        <f t="shared" si="222"/>
        <v>NOVEMBRE</v>
      </c>
      <c r="B380" s="127" t="s">
        <v>255</v>
      </c>
      <c r="C380" s="32">
        <f t="shared" si="225"/>
        <v>-3000</v>
      </c>
      <c r="D380" s="31"/>
      <c r="E380" s="32">
        <f t="shared" si="226"/>
        <v>685000</v>
      </c>
      <c r="F380" s="32"/>
      <c r="G380" s="104"/>
      <c r="H380" s="55">
        <f t="shared" si="227"/>
        <v>0</v>
      </c>
      <c r="I380" s="32">
        <f t="shared" si="228"/>
        <v>578100</v>
      </c>
      <c r="J380" s="30">
        <f t="shared" si="224"/>
        <v>103900</v>
      </c>
      <c r="K380" s="144" t="b">
        <f t="shared" si="223"/>
        <v>1</v>
      </c>
    </row>
    <row r="381" spans="1:11" x14ac:dyDescent="0.3">
      <c r="A381" s="122" t="str">
        <f t="shared" si="222"/>
        <v>NOVEMBRE</v>
      </c>
      <c r="B381" s="127" t="s">
        <v>29</v>
      </c>
      <c r="C381" s="32">
        <f t="shared" si="225"/>
        <v>56000</v>
      </c>
      <c r="D381" s="31"/>
      <c r="E381" s="32">
        <f t="shared" si="226"/>
        <v>538000</v>
      </c>
      <c r="F381" s="32"/>
      <c r="G381" s="104"/>
      <c r="H381" s="55">
        <f t="shared" si="227"/>
        <v>0</v>
      </c>
      <c r="I381" s="32">
        <f t="shared" si="228"/>
        <v>418100</v>
      </c>
      <c r="J381" s="30">
        <f t="shared" si="224"/>
        <v>175900</v>
      </c>
      <c r="K381" s="144" t="b">
        <f t="shared" si="223"/>
        <v>1</v>
      </c>
    </row>
    <row r="382" spans="1:11" x14ac:dyDescent="0.3">
      <c r="A382" s="122" t="str">
        <f t="shared" si="222"/>
        <v>NOVEMBRE</v>
      </c>
      <c r="B382" s="128" t="s">
        <v>113</v>
      </c>
      <c r="C382" s="32">
        <f t="shared" si="225"/>
        <v>18298</v>
      </c>
      <c r="D382" s="119"/>
      <c r="E382" s="32">
        <f t="shared" si="226"/>
        <v>20000</v>
      </c>
      <c r="F382" s="51"/>
      <c r="G382" s="138"/>
      <c r="H382" s="55">
        <f t="shared" si="227"/>
        <v>0</v>
      </c>
      <c r="I382" s="32">
        <f t="shared" si="228"/>
        <v>59000</v>
      </c>
      <c r="J382" s="30">
        <f t="shared" si="224"/>
        <v>-20702</v>
      </c>
      <c r="K382" s="144" t="b">
        <f t="shared" si="223"/>
        <v>1</v>
      </c>
    </row>
    <row r="383" spans="1:11" x14ac:dyDescent="0.3">
      <c r="A383" s="34" t="s">
        <v>60</v>
      </c>
      <c r="B383" s="35"/>
      <c r="C383" s="35"/>
      <c r="D383" s="35"/>
      <c r="E383" s="35"/>
      <c r="F383" s="35"/>
      <c r="G383" s="35"/>
      <c r="H383" s="35"/>
      <c r="I383" s="35"/>
      <c r="J383" s="36"/>
      <c r="K383" s="143"/>
    </row>
    <row r="384" spans="1:11" x14ac:dyDescent="0.3">
      <c r="A384" s="122" t="str">
        <f>A382</f>
        <v>NOVEMBRE</v>
      </c>
      <c r="B384" s="37" t="s">
        <v>61</v>
      </c>
      <c r="C384" s="38">
        <f>+C349</f>
        <v>2105331</v>
      </c>
      <c r="D384" s="49"/>
      <c r="E384" s="49">
        <f>D349</f>
        <v>6149000</v>
      </c>
      <c r="F384" s="49"/>
      <c r="G384" s="125"/>
      <c r="H384" s="51">
        <f>+F349</f>
        <v>3935000</v>
      </c>
      <c r="I384" s="126">
        <f>+E349</f>
        <v>1843228</v>
      </c>
      <c r="J384" s="30">
        <f>+SUM(C384:G384)-(H384+I384)</f>
        <v>2476103</v>
      </c>
      <c r="K384" s="144" t="b">
        <f>J384=I349</f>
        <v>1</v>
      </c>
    </row>
    <row r="385" spans="1:16" x14ac:dyDescent="0.3">
      <c r="A385" s="43" t="s">
        <v>62</v>
      </c>
      <c r="B385" s="24"/>
      <c r="C385" s="35"/>
      <c r="D385" s="24"/>
      <c r="E385" s="24"/>
      <c r="F385" s="24"/>
      <c r="G385" s="24"/>
      <c r="H385" s="24"/>
      <c r="I385" s="24"/>
      <c r="J385" s="36"/>
      <c r="K385" s="143"/>
    </row>
    <row r="386" spans="1:16" x14ac:dyDescent="0.3">
      <c r="A386" s="122" t="str">
        <f>+A384</f>
        <v>NOVEMBRE</v>
      </c>
      <c r="B386" s="37" t="s">
        <v>156</v>
      </c>
      <c r="C386" s="125">
        <f>+C347</f>
        <v>9603727</v>
      </c>
      <c r="D386" s="132">
        <f>+G347</f>
        <v>12787953</v>
      </c>
      <c r="E386" s="49"/>
      <c r="F386" s="49"/>
      <c r="G386" s="49"/>
      <c r="H386" s="51">
        <f>+F347</f>
        <v>6000000</v>
      </c>
      <c r="I386" s="53">
        <f>+E347</f>
        <v>173438</v>
      </c>
      <c r="J386" s="30">
        <f>+SUM(C386:G386)-(H386+I386)</f>
        <v>16218242</v>
      </c>
      <c r="K386" s="144" t="b">
        <f>+J386=I347</f>
        <v>1</v>
      </c>
    </row>
    <row r="387" spans="1:16" x14ac:dyDescent="0.3">
      <c r="A387" s="122" t="str">
        <f t="shared" ref="A387" si="229">+A386</f>
        <v>NOVEMBRE</v>
      </c>
      <c r="B387" s="37" t="s">
        <v>64</v>
      </c>
      <c r="C387" s="125">
        <f>+C348</f>
        <v>9538949</v>
      </c>
      <c r="D387" s="49">
        <f>+G348</f>
        <v>0</v>
      </c>
      <c r="E387" s="48"/>
      <c r="F387" s="48"/>
      <c r="G387" s="48"/>
      <c r="H387" s="32">
        <f>+F348</f>
        <v>0</v>
      </c>
      <c r="I387" s="50">
        <f>+E348</f>
        <v>3917785</v>
      </c>
      <c r="J387" s="30">
        <f>SUM(C387:G387)-(H387+I387)</f>
        <v>5621164</v>
      </c>
      <c r="K387" s="144" t="b">
        <f>+J387=I348</f>
        <v>1</v>
      </c>
    </row>
    <row r="388" spans="1:16" ht="15.6" x14ac:dyDescent="0.3">
      <c r="C388" s="141">
        <f>SUM(C372:C387)</f>
        <v>22002193</v>
      </c>
      <c r="I388" s="140">
        <f>SUM(I372:I387)</f>
        <v>8309501</v>
      </c>
      <c r="J388" s="105">
        <f>+SUM(J372:J387)</f>
        <v>26480645</v>
      </c>
      <c r="K388" s="5" t="b">
        <f>J388=I361</f>
        <v>1</v>
      </c>
    </row>
    <row r="389" spans="1:16" ht="15.6" x14ac:dyDescent="0.3">
      <c r="C389" s="141"/>
      <c r="I389" s="140"/>
      <c r="J389" s="105"/>
    </row>
    <row r="390" spans="1:16" ht="15.6" x14ac:dyDescent="0.3">
      <c r="A390" s="160"/>
      <c r="B390" s="160"/>
      <c r="C390" s="161"/>
      <c r="D390" s="160"/>
      <c r="E390" s="160"/>
      <c r="F390" s="160"/>
      <c r="G390" s="160"/>
      <c r="H390" s="160"/>
      <c r="I390" s="162"/>
      <c r="J390" s="163"/>
      <c r="K390" s="160"/>
      <c r="L390" s="164"/>
      <c r="M390" s="164"/>
      <c r="N390" s="164"/>
      <c r="O390" s="164"/>
      <c r="P390" s="160"/>
    </row>
    <row r="393" spans="1:16" ht="15.6" x14ac:dyDescent="0.3">
      <c r="A393" s="6" t="s">
        <v>36</v>
      </c>
      <c r="B393" s="6" t="s">
        <v>1</v>
      </c>
      <c r="C393" s="6">
        <v>44835</v>
      </c>
      <c r="D393" s="7" t="s">
        <v>37</v>
      </c>
      <c r="E393" s="7" t="s">
        <v>38</v>
      </c>
      <c r="F393" s="7" t="s">
        <v>39</v>
      </c>
      <c r="G393" s="7" t="s">
        <v>40</v>
      </c>
      <c r="H393" s="6">
        <v>44865</v>
      </c>
      <c r="I393" s="7" t="s">
        <v>41</v>
      </c>
      <c r="K393" s="45"/>
      <c r="L393" s="45" t="s">
        <v>42</v>
      </c>
      <c r="M393" s="45" t="s">
        <v>43</v>
      </c>
      <c r="N393" s="45" t="s">
        <v>44</v>
      </c>
      <c r="O393" s="45" t="s">
        <v>45</v>
      </c>
    </row>
    <row r="394" spans="1:16" x14ac:dyDescent="0.3">
      <c r="A394" s="58" t="str">
        <f>K394</f>
        <v>BCI</v>
      </c>
      <c r="B394" s="59" t="s">
        <v>46</v>
      </c>
      <c r="C394" s="61">
        <v>14237475</v>
      </c>
      <c r="D394" s="61">
        <f>+L394</f>
        <v>0</v>
      </c>
      <c r="E394" s="61">
        <f>+N394</f>
        <v>633748</v>
      </c>
      <c r="F394" s="61">
        <f>+M394</f>
        <v>4000000</v>
      </c>
      <c r="G394" s="61">
        <f t="shared" ref="G394:G407" si="230">+O394</f>
        <v>0</v>
      </c>
      <c r="H394" s="61">
        <v>9603727</v>
      </c>
      <c r="I394" s="61">
        <f>+C394+D394-E394-F394+G394</f>
        <v>9603727</v>
      </c>
      <c r="J394" s="9">
        <f>I394-H394</f>
        <v>0</v>
      </c>
      <c r="K394" s="45" t="s">
        <v>24</v>
      </c>
      <c r="L394" s="47">
        <v>0</v>
      </c>
      <c r="M394" s="47">
        <v>4000000</v>
      </c>
      <c r="N394" s="47">
        <v>633748</v>
      </c>
      <c r="O394" s="47">
        <v>0</v>
      </c>
    </row>
    <row r="395" spans="1:16" x14ac:dyDescent="0.3">
      <c r="A395" s="58" t="str">
        <f t="shared" ref="A395:A407" si="231">K395</f>
        <v>BCI-Sous Compte</v>
      </c>
      <c r="B395" s="59" t="s">
        <v>46</v>
      </c>
      <c r="C395" s="61">
        <v>8844061</v>
      </c>
      <c r="D395" s="61">
        <f t="shared" ref="D395:D407" si="232">+L395</f>
        <v>0</v>
      </c>
      <c r="E395" s="61">
        <f t="shared" ref="E395:E399" si="233">+N395</f>
        <v>4731844</v>
      </c>
      <c r="F395" s="61">
        <f t="shared" ref="F395:F401" si="234">+M395</f>
        <v>0</v>
      </c>
      <c r="G395" s="61">
        <f t="shared" si="230"/>
        <v>5426732</v>
      </c>
      <c r="H395" s="61">
        <v>9538949</v>
      </c>
      <c r="I395" s="61">
        <f>+C395+D395-E395-F395+G395</f>
        <v>9538949</v>
      </c>
      <c r="J395" s="9">
        <f>I395-H395</f>
        <v>0</v>
      </c>
      <c r="K395" s="45" t="s">
        <v>148</v>
      </c>
      <c r="L395" s="46">
        <v>0</v>
      </c>
      <c r="M395" s="47">
        <v>0</v>
      </c>
      <c r="N395" s="47">
        <v>4731844</v>
      </c>
      <c r="O395" s="47">
        <v>5426732</v>
      </c>
    </row>
    <row r="396" spans="1:16" x14ac:dyDescent="0.3">
      <c r="A396" s="58" t="str">
        <f t="shared" si="231"/>
        <v>Caisse</v>
      </c>
      <c r="B396" s="59" t="s">
        <v>25</v>
      </c>
      <c r="C396" s="61">
        <v>1081474</v>
      </c>
      <c r="D396" s="61">
        <f t="shared" si="232"/>
        <v>4595950</v>
      </c>
      <c r="E396" s="61">
        <f t="shared" si="233"/>
        <v>2106393</v>
      </c>
      <c r="F396" s="61">
        <f t="shared" si="234"/>
        <v>1465700</v>
      </c>
      <c r="G396" s="61">
        <f t="shared" si="230"/>
        <v>0</v>
      </c>
      <c r="H396" s="61">
        <v>2105331</v>
      </c>
      <c r="I396" s="61">
        <f>+C396+D396-E396-F396+G396</f>
        <v>2105331</v>
      </c>
      <c r="J396" s="102">
        <f t="shared" ref="J396:J402" si="235">I396-H396</f>
        <v>0</v>
      </c>
      <c r="K396" s="45" t="s">
        <v>25</v>
      </c>
      <c r="L396" s="47">
        <v>4595950</v>
      </c>
      <c r="M396" s="47">
        <v>1465700</v>
      </c>
      <c r="N396" s="47">
        <v>2106393</v>
      </c>
      <c r="O396" s="47">
        <v>0</v>
      </c>
    </row>
    <row r="397" spans="1:16" x14ac:dyDescent="0.3">
      <c r="A397" s="58" t="str">
        <f t="shared" si="231"/>
        <v>Crépin</v>
      </c>
      <c r="B397" s="59" t="s">
        <v>154</v>
      </c>
      <c r="C397" s="61">
        <v>483330</v>
      </c>
      <c r="D397" s="61">
        <f t="shared" si="232"/>
        <v>552500</v>
      </c>
      <c r="E397" s="61">
        <f t="shared" si="233"/>
        <v>521900</v>
      </c>
      <c r="F397" s="61">
        <f t="shared" si="234"/>
        <v>400000</v>
      </c>
      <c r="G397" s="61">
        <f t="shared" si="230"/>
        <v>0</v>
      </c>
      <c r="H397" s="61">
        <v>113930</v>
      </c>
      <c r="I397" s="61">
        <f>+C397+D397-E397-F397+G397</f>
        <v>113930</v>
      </c>
      <c r="J397" s="9">
        <f t="shared" si="235"/>
        <v>0</v>
      </c>
      <c r="K397" s="45" t="s">
        <v>47</v>
      </c>
      <c r="L397" s="47">
        <v>552500</v>
      </c>
      <c r="M397" s="47">
        <v>400000</v>
      </c>
      <c r="N397" s="47">
        <v>521900</v>
      </c>
      <c r="O397" s="47">
        <v>0</v>
      </c>
    </row>
    <row r="398" spans="1:16" x14ac:dyDescent="0.3">
      <c r="A398" s="58" t="str">
        <f t="shared" si="231"/>
        <v>Donald</v>
      </c>
      <c r="B398" s="59" t="s">
        <v>154</v>
      </c>
      <c r="C398" s="61">
        <v>0</v>
      </c>
      <c r="D398" s="61">
        <f t="shared" si="232"/>
        <v>20000</v>
      </c>
      <c r="E398" s="61">
        <f t="shared" si="233"/>
        <v>7000</v>
      </c>
      <c r="F398" s="61">
        <f t="shared" si="234"/>
        <v>0</v>
      </c>
      <c r="G398" s="61">
        <f t="shared" si="230"/>
        <v>0</v>
      </c>
      <c r="H398" s="61">
        <v>13000</v>
      </c>
      <c r="I398" s="61">
        <f t="shared" ref="I398:I399" si="236">+C398+D398-E398-F398+G398</f>
        <v>13000</v>
      </c>
      <c r="J398" s="9">
        <f t="shared" si="235"/>
        <v>0</v>
      </c>
      <c r="K398" s="45" t="s">
        <v>256</v>
      </c>
      <c r="L398" s="47">
        <v>20000</v>
      </c>
      <c r="M398" s="47">
        <v>0</v>
      </c>
      <c r="N398" s="47">
        <v>7000</v>
      </c>
      <c r="O398" s="47">
        <v>0</v>
      </c>
    </row>
    <row r="399" spans="1:16" x14ac:dyDescent="0.3">
      <c r="A399" s="58" t="str">
        <f t="shared" si="231"/>
        <v>Evariste</v>
      </c>
      <c r="B399" s="59" t="s">
        <v>155</v>
      </c>
      <c r="C399" s="61">
        <v>76225</v>
      </c>
      <c r="D399" s="61">
        <f t="shared" si="232"/>
        <v>15000</v>
      </c>
      <c r="E399" s="61">
        <f t="shared" si="233"/>
        <v>34650</v>
      </c>
      <c r="F399" s="61">
        <f t="shared" si="234"/>
        <v>45000</v>
      </c>
      <c r="G399" s="61">
        <f t="shared" si="230"/>
        <v>0</v>
      </c>
      <c r="H399" s="61">
        <v>11575</v>
      </c>
      <c r="I399" s="61">
        <f t="shared" si="236"/>
        <v>11575</v>
      </c>
      <c r="J399" s="9">
        <f t="shared" si="235"/>
        <v>0</v>
      </c>
      <c r="K399" s="45" t="s">
        <v>31</v>
      </c>
      <c r="L399" s="47">
        <v>15000</v>
      </c>
      <c r="M399" s="47">
        <v>45000</v>
      </c>
      <c r="N399" s="47">
        <v>34650</v>
      </c>
      <c r="O399" s="47">
        <v>0</v>
      </c>
    </row>
    <row r="400" spans="1:16" x14ac:dyDescent="0.3">
      <c r="A400" s="58" t="str">
        <f t="shared" si="231"/>
        <v>I55S</v>
      </c>
      <c r="B400" s="116" t="s">
        <v>4</v>
      </c>
      <c r="C400" s="118">
        <v>233614</v>
      </c>
      <c r="D400" s="118">
        <f t="shared" si="232"/>
        <v>0</v>
      </c>
      <c r="E400" s="118">
        <f>+N400</f>
        <v>0</v>
      </c>
      <c r="F400" s="118">
        <f t="shared" si="234"/>
        <v>0</v>
      </c>
      <c r="G400" s="118">
        <f t="shared" si="230"/>
        <v>0</v>
      </c>
      <c r="H400" s="118">
        <v>233614</v>
      </c>
      <c r="I400" s="118">
        <f>+C400+D400-E400-F400+G400</f>
        <v>233614</v>
      </c>
      <c r="J400" s="9">
        <f t="shared" si="235"/>
        <v>0</v>
      </c>
      <c r="K400" s="45" t="s">
        <v>84</v>
      </c>
      <c r="L400" s="47">
        <v>0</v>
      </c>
      <c r="M400" s="47">
        <v>0</v>
      </c>
      <c r="N400" s="47">
        <v>0</v>
      </c>
      <c r="O400" s="47">
        <v>0</v>
      </c>
    </row>
    <row r="401" spans="1:15" x14ac:dyDescent="0.3">
      <c r="A401" s="58" t="str">
        <f t="shared" si="231"/>
        <v>I73X</v>
      </c>
      <c r="B401" s="116" t="s">
        <v>4</v>
      </c>
      <c r="C401" s="118">
        <v>249769</v>
      </c>
      <c r="D401" s="118">
        <f t="shared" si="232"/>
        <v>0</v>
      </c>
      <c r="E401" s="118">
        <f>+N401</f>
        <v>0</v>
      </c>
      <c r="F401" s="118">
        <f t="shared" si="234"/>
        <v>0</v>
      </c>
      <c r="G401" s="118">
        <f t="shared" si="230"/>
        <v>0</v>
      </c>
      <c r="H401" s="118">
        <v>249769</v>
      </c>
      <c r="I401" s="118">
        <f t="shared" ref="I401:I404" si="237">+C401+D401-E401-F401+G401</f>
        <v>249769</v>
      </c>
      <c r="J401" s="9">
        <f t="shared" si="235"/>
        <v>0</v>
      </c>
      <c r="K401" s="45" t="s">
        <v>83</v>
      </c>
      <c r="L401" s="47">
        <v>0</v>
      </c>
      <c r="M401" s="47">
        <v>0</v>
      </c>
      <c r="N401" s="47">
        <v>0</v>
      </c>
      <c r="O401" s="47">
        <v>0</v>
      </c>
    </row>
    <row r="402" spans="1:15" x14ac:dyDescent="0.3">
      <c r="A402" s="58" t="str">
        <f t="shared" si="231"/>
        <v>Hurielle</v>
      </c>
      <c r="B402" s="98" t="s">
        <v>154</v>
      </c>
      <c r="C402" s="61">
        <v>41200</v>
      </c>
      <c r="D402" s="61">
        <f t="shared" si="232"/>
        <v>294000</v>
      </c>
      <c r="E402" s="61">
        <f>+N402</f>
        <v>258300</v>
      </c>
      <c r="F402" s="61">
        <f>+M402</f>
        <v>30000</v>
      </c>
      <c r="G402" s="61">
        <f t="shared" si="230"/>
        <v>0</v>
      </c>
      <c r="H402" s="61">
        <v>46900</v>
      </c>
      <c r="I402" s="61">
        <f t="shared" si="237"/>
        <v>46900</v>
      </c>
      <c r="J402" s="9">
        <f t="shared" si="235"/>
        <v>0</v>
      </c>
      <c r="K402" s="45" t="s">
        <v>197</v>
      </c>
      <c r="L402" s="47">
        <v>294000</v>
      </c>
      <c r="M402" s="47">
        <v>30000</v>
      </c>
      <c r="N402" s="47">
        <v>258300</v>
      </c>
      <c r="O402" s="47">
        <v>0</v>
      </c>
    </row>
    <row r="403" spans="1:15" s="188" customFormat="1" ht="15.6" x14ac:dyDescent="0.3">
      <c r="A403" s="58" t="str">
        <f t="shared" si="231"/>
        <v>Merveille</v>
      </c>
      <c r="B403" s="183" t="s">
        <v>2</v>
      </c>
      <c r="C403" s="184">
        <v>98100</v>
      </c>
      <c r="D403" s="61">
        <f t="shared" si="232"/>
        <v>0</v>
      </c>
      <c r="E403" s="61">
        <f t="shared" ref="E403:E407" si="238">+N403</f>
        <v>24000</v>
      </c>
      <c r="F403" s="61">
        <f t="shared" ref="F403:F407" si="239">+M403</f>
        <v>60000</v>
      </c>
      <c r="G403" s="61">
        <f t="shared" si="230"/>
        <v>0</v>
      </c>
      <c r="H403" s="184">
        <v>14100</v>
      </c>
      <c r="I403" s="184">
        <f t="shared" si="237"/>
        <v>14100</v>
      </c>
      <c r="J403" s="185">
        <f>I403-H403</f>
        <v>0</v>
      </c>
      <c r="K403" s="186" t="s">
        <v>93</v>
      </c>
      <c r="L403" s="187">
        <v>0</v>
      </c>
      <c r="M403" s="187">
        <v>60000</v>
      </c>
      <c r="N403" s="47">
        <v>24000</v>
      </c>
      <c r="O403" s="187">
        <v>0</v>
      </c>
    </row>
    <row r="404" spans="1:15" x14ac:dyDescent="0.3">
      <c r="A404" s="58" t="str">
        <f t="shared" si="231"/>
        <v>P10</v>
      </c>
      <c r="B404" s="59" t="s">
        <v>4</v>
      </c>
      <c r="C404" s="61">
        <v>0</v>
      </c>
      <c r="D404" s="61">
        <f t="shared" si="232"/>
        <v>105000</v>
      </c>
      <c r="E404" s="61">
        <f t="shared" si="238"/>
        <v>98000</v>
      </c>
      <c r="F404" s="61">
        <f t="shared" si="239"/>
        <v>10000</v>
      </c>
      <c r="G404" s="61">
        <f t="shared" si="230"/>
        <v>0</v>
      </c>
      <c r="H404" s="61">
        <v>-3000</v>
      </c>
      <c r="I404" s="61">
        <f t="shared" si="237"/>
        <v>-3000</v>
      </c>
      <c r="J404" s="9">
        <f t="shared" ref="J404:J405" si="240">I404-H404</f>
        <v>0</v>
      </c>
      <c r="K404" s="45" t="s">
        <v>255</v>
      </c>
      <c r="L404" s="47">
        <v>105000</v>
      </c>
      <c r="M404" s="47">
        <v>10000</v>
      </c>
      <c r="N404" s="47">
        <v>98000</v>
      </c>
      <c r="O404" s="47">
        <v>0</v>
      </c>
    </row>
    <row r="405" spans="1:15" ht="15.6" x14ac:dyDescent="0.3">
      <c r="A405" s="58" t="str">
        <f t="shared" si="231"/>
        <v>P29</v>
      </c>
      <c r="B405" s="59" t="s">
        <v>4</v>
      </c>
      <c r="C405" s="61">
        <v>60950</v>
      </c>
      <c r="D405" s="61">
        <f>+L405</f>
        <v>315000</v>
      </c>
      <c r="E405" s="61">
        <f t="shared" si="238"/>
        <v>259000</v>
      </c>
      <c r="F405" s="61">
        <f t="shared" si="239"/>
        <v>60950</v>
      </c>
      <c r="G405" s="61">
        <f t="shared" si="230"/>
        <v>0</v>
      </c>
      <c r="H405" s="61">
        <v>56000</v>
      </c>
      <c r="I405" s="61">
        <f>+C405+D405-E405-F405+G405</f>
        <v>56000</v>
      </c>
      <c r="J405" s="9">
        <f t="shared" si="240"/>
        <v>0</v>
      </c>
      <c r="K405" s="45" t="s">
        <v>29</v>
      </c>
      <c r="L405" s="47">
        <v>315000</v>
      </c>
      <c r="M405" s="47">
        <v>60950</v>
      </c>
      <c r="N405" s="187">
        <v>259000</v>
      </c>
      <c r="O405" s="47">
        <v>0</v>
      </c>
    </row>
    <row r="406" spans="1:15" x14ac:dyDescent="0.3">
      <c r="A406" s="58" t="str">
        <f t="shared" si="231"/>
        <v>Tiffany</v>
      </c>
      <c r="B406" s="59" t="s">
        <v>2</v>
      </c>
      <c r="C406" s="61">
        <v>26298</v>
      </c>
      <c r="D406" s="61">
        <f t="shared" si="232"/>
        <v>150000</v>
      </c>
      <c r="E406" s="61">
        <f t="shared" si="238"/>
        <v>158000</v>
      </c>
      <c r="F406" s="61">
        <f t="shared" si="239"/>
        <v>0</v>
      </c>
      <c r="G406" s="61">
        <f t="shared" si="230"/>
        <v>0</v>
      </c>
      <c r="H406" s="61">
        <v>18298</v>
      </c>
      <c r="I406" s="61">
        <f>+C406+D406-E406-F406+G406</f>
        <v>18298</v>
      </c>
      <c r="J406" s="9">
        <f>I406-H406</f>
        <v>0</v>
      </c>
      <c r="K406" s="45" t="s">
        <v>113</v>
      </c>
      <c r="L406" s="47">
        <v>150000</v>
      </c>
      <c r="M406" s="47">
        <v>0</v>
      </c>
      <c r="N406" s="47">
        <v>158000</v>
      </c>
      <c r="O406" s="47">
        <v>0</v>
      </c>
    </row>
    <row r="407" spans="1:15" x14ac:dyDescent="0.3">
      <c r="A407" s="58" t="str">
        <f t="shared" si="231"/>
        <v>Yan</v>
      </c>
      <c r="B407" s="59" t="s">
        <v>154</v>
      </c>
      <c r="C407" s="61">
        <v>-1700</v>
      </c>
      <c r="D407" s="61">
        <f t="shared" si="232"/>
        <v>24200</v>
      </c>
      <c r="E407" s="61">
        <f t="shared" si="238"/>
        <v>22500</v>
      </c>
      <c r="F407" s="61">
        <f t="shared" si="239"/>
        <v>0</v>
      </c>
      <c r="G407" s="61">
        <f t="shared" si="230"/>
        <v>0</v>
      </c>
      <c r="H407" s="61">
        <v>0</v>
      </c>
      <c r="I407" s="61">
        <f t="shared" ref="I407" si="241">+C407+D407-E407-F407+G407</f>
        <v>0</v>
      </c>
      <c r="J407" s="9">
        <f t="shared" ref="J407" si="242">I407-H407</f>
        <v>0</v>
      </c>
      <c r="K407" s="45" t="s">
        <v>212</v>
      </c>
      <c r="L407" s="47">
        <v>24200</v>
      </c>
      <c r="M407" s="47">
        <v>0</v>
      </c>
      <c r="N407" s="47">
        <v>22500</v>
      </c>
      <c r="O407" s="47">
        <v>0</v>
      </c>
    </row>
    <row r="408" spans="1:15" x14ac:dyDescent="0.3">
      <c r="A408" s="10" t="s">
        <v>50</v>
      </c>
      <c r="B408" s="11"/>
      <c r="C408" s="12">
        <f t="shared" ref="C408:G408" si="243">SUM(C394:C407)</f>
        <v>25430796</v>
      </c>
      <c r="D408" s="57">
        <f t="shared" si="243"/>
        <v>6071650</v>
      </c>
      <c r="E408" s="57">
        <f t="shared" si="243"/>
        <v>8855335</v>
      </c>
      <c r="F408" s="57">
        <f t="shared" si="243"/>
        <v>6071650</v>
      </c>
      <c r="G408" s="57">
        <f t="shared" si="243"/>
        <v>5426732</v>
      </c>
      <c r="H408" s="57">
        <f>SUM(H394:H407)</f>
        <v>22002193</v>
      </c>
      <c r="I408" s="57">
        <f t="shared" ref="I408" si="244">SUM(I394:I407)</f>
        <v>22002193</v>
      </c>
      <c r="J408" s="9">
        <f>I408-H408</f>
        <v>0</v>
      </c>
      <c r="K408" s="3"/>
      <c r="L408" s="47">
        <f>+SUM(L394:L407)</f>
        <v>6071650</v>
      </c>
      <c r="M408" s="47">
        <f>+SUM(M394:M407)</f>
        <v>6071650</v>
      </c>
      <c r="N408" s="47">
        <f>+SUM(N394:N407)</f>
        <v>8855335</v>
      </c>
      <c r="O408" s="47">
        <f>+SUM(O394:O407)</f>
        <v>5426732</v>
      </c>
    </row>
    <row r="409" spans="1:15" x14ac:dyDescent="0.3">
      <c r="A409" s="10"/>
      <c r="B409" s="11"/>
      <c r="C409" s="12"/>
      <c r="D409" s="13"/>
      <c r="E409" s="12"/>
      <c r="F409" s="13"/>
      <c r="G409" s="12"/>
      <c r="H409" s="12"/>
      <c r="I409" s="134" t="b">
        <f>I408=D411</f>
        <v>1</v>
      </c>
      <c r="J409" s="9">
        <f>H408-I408</f>
        <v>0</v>
      </c>
      <c r="L409" s="5"/>
      <c r="M409" s="5"/>
      <c r="N409" s="5"/>
      <c r="O409" s="5"/>
    </row>
    <row r="410" spans="1:15" x14ac:dyDescent="0.3">
      <c r="A410" s="10" t="s">
        <v>248</v>
      </c>
      <c r="B410" s="11" t="s">
        <v>249</v>
      </c>
      <c r="C410" s="12" t="s">
        <v>250</v>
      </c>
      <c r="D410" s="12" t="s">
        <v>251</v>
      </c>
      <c r="E410" s="12" t="s">
        <v>51</v>
      </c>
      <c r="F410" s="12"/>
      <c r="G410" s="12">
        <f>+D408-F408</f>
        <v>0</v>
      </c>
      <c r="H410" s="12"/>
      <c r="I410" s="12"/>
    </row>
    <row r="411" spans="1:15" x14ac:dyDescent="0.3">
      <c r="A411" s="14">
        <f>C408</f>
        <v>25430796</v>
      </c>
      <c r="B411" s="15">
        <f>G408</f>
        <v>5426732</v>
      </c>
      <c r="C411" s="12">
        <f>E408</f>
        <v>8855335</v>
      </c>
      <c r="D411" s="12">
        <f>A411+B411-C411</f>
        <v>22002193</v>
      </c>
      <c r="E411" s="13">
        <f>I408-D411</f>
        <v>0</v>
      </c>
      <c r="F411" s="12"/>
      <c r="G411" s="12"/>
      <c r="H411" s="12"/>
      <c r="I411" s="12"/>
    </row>
    <row r="412" spans="1:15" x14ac:dyDescent="0.3">
      <c r="A412" s="14"/>
      <c r="B412" s="15"/>
      <c r="C412" s="12"/>
      <c r="D412" s="12"/>
      <c r="E412" s="13"/>
      <c r="F412" s="12"/>
      <c r="G412" s="12"/>
      <c r="H412" s="12"/>
      <c r="I412" s="12"/>
    </row>
    <row r="413" spans="1:15" x14ac:dyDescent="0.3">
      <c r="A413" s="16" t="s">
        <v>52</v>
      </c>
      <c r="B413" s="16"/>
      <c r="C413" s="16"/>
      <c r="D413" s="17"/>
      <c r="E413" s="17"/>
      <c r="F413" s="17"/>
      <c r="G413" s="17"/>
      <c r="H413" s="17"/>
      <c r="I413" s="17"/>
    </row>
    <row r="414" spans="1:15" x14ac:dyDescent="0.3">
      <c r="A414" s="18" t="s">
        <v>254</v>
      </c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5" x14ac:dyDescent="0.3">
      <c r="A415" s="19"/>
      <c r="B415" s="17"/>
      <c r="C415" s="20"/>
      <c r="D415" s="20"/>
      <c r="E415" s="20"/>
      <c r="F415" s="20"/>
      <c r="G415" s="20"/>
      <c r="H415" s="17"/>
      <c r="I415" s="17"/>
    </row>
    <row r="416" spans="1:15" ht="45" customHeight="1" x14ac:dyDescent="0.3">
      <c r="A416" s="169" t="s">
        <v>53</v>
      </c>
      <c r="B416" s="171" t="s">
        <v>54</v>
      </c>
      <c r="C416" s="173" t="s">
        <v>252</v>
      </c>
      <c r="D416" s="174" t="s">
        <v>55</v>
      </c>
      <c r="E416" s="175"/>
      <c r="F416" s="175"/>
      <c r="G416" s="176"/>
      <c r="H416" s="177" t="s">
        <v>56</v>
      </c>
      <c r="I416" s="165" t="s">
        <v>57</v>
      </c>
      <c r="J416" s="17"/>
    </row>
    <row r="417" spans="1:11" ht="28.5" customHeight="1" x14ac:dyDescent="0.3">
      <c r="A417" s="170"/>
      <c r="B417" s="172"/>
      <c r="C417" s="22"/>
      <c r="D417" s="21" t="s">
        <v>24</v>
      </c>
      <c r="E417" s="21" t="s">
        <v>25</v>
      </c>
      <c r="F417" s="22" t="s">
        <v>123</v>
      </c>
      <c r="G417" s="21" t="s">
        <v>58</v>
      </c>
      <c r="H417" s="178"/>
      <c r="I417" s="166"/>
      <c r="J417" s="167" t="s">
        <v>253</v>
      </c>
      <c r="K417" s="143"/>
    </row>
    <row r="418" spans="1:11" x14ac:dyDescent="0.3">
      <c r="A418" s="23"/>
      <c r="B418" s="24" t="s">
        <v>59</v>
      </c>
      <c r="C418" s="25"/>
      <c r="D418" s="25"/>
      <c r="E418" s="25"/>
      <c r="F418" s="25"/>
      <c r="G418" s="25"/>
      <c r="H418" s="25"/>
      <c r="I418" s="26"/>
      <c r="J418" s="168"/>
      <c r="K418" s="143"/>
    </row>
    <row r="419" spans="1:11" x14ac:dyDescent="0.3">
      <c r="A419" s="122" t="s">
        <v>90</v>
      </c>
      <c r="B419" s="127" t="s">
        <v>47</v>
      </c>
      <c r="C419" s="32">
        <f>+C397</f>
        <v>483330</v>
      </c>
      <c r="D419" s="31"/>
      <c r="E419" s="32">
        <f>+D397</f>
        <v>552500</v>
      </c>
      <c r="F419" s="32"/>
      <c r="G419" s="32"/>
      <c r="H419" s="55">
        <f>+F397</f>
        <v>400000</v>
      </c>
      <c r="I419" s="32">
        <f>+E397</f>
        <v>521900</v>
      </c>
      <c r="J419" s="30">
        <f t="shared" ref="J419" si="245">+SUM(C419:G419)-(H419+I419)</f>
        <v>113930</v>
      </c>
      <c r="K419" s="144" t="b">
        <f>J419=I397</f>
        <v>1</v>
      </c>
    </row>
    <row r="420" spans="1:11" x14ac:dyDescent="0.3">
      <c r="A420" s="122" t="str">
        <f>+A419</f>
        <v>OCTOBRE</v>
      </c>
      <c r="B420" s="127" t="s">
        <v>256</v>
      </c>
      <c r="C420" s="32">
        <f>+C398</f>
        <v>0</v>
      </c>
      <c r="D420" s="31"/>
      <c r="E420" s="32">
        <f>+D398</f>
        <v>20000</v>
      </c>
      <c r="F420" s="32"/>
      <c r="G420" s="32"/>
      <c r="H420" s="55">
        <f>+F398</f>
        <v>0</v>
      </c>
      <c r="I420" s="32">
        <f>+E398</f>
        <v>7000</v>
      </c>
      <c r="J420" s="101">
        <f>+SUM(C420:G420)-(H420+I420)</f>
        <v>13000</v>
      </c>
      <c r="K420" s="144" t="b">
        <f>J420=I398</f>
        <v>1</v>
      </c>
    </row>
    <row r="421" spans="1:11" x14ac:dyDescent="0.3">
      <c r="A421" s="122" t="str">
        <f t="shared" ref="A421:A425" si="246">+A420</f>
        <v>OCTOBRE</v>
      </c>
      <c r="B421" s="129" t="s">
        <v>84</v>
      </c>
      <c r="C421" s="120">
        <f t="shared" ref="C421:C422" si="247">+C400</f>
        <v>233614</v>
      </c>
      <c r="D421" s="123"/>
      <c r="E421" s="120">
        <f t="shared" ref="E421:E422" si="248">+D400</f>
        <v>0</v>
      </c>
      <c r="F421" s="137"/>
      <c r="G421" s="137"/>
      <c r="H421" s="155">
        <f t="shared" ref="H421:H422" si="249">+F400</f>
        <v>0</v>
      </c>
      <c r="I421" s="120">
        <f t="shared" ref="I421:I422" si="250">+E400</f>
        <v>0</v>
      </c>
      <c r="J421" s="121">
        <f>+SUM(C421:G421)-(H421+I421)</f>
        <v>233614</v>
      </c>
      <c r="K421" s="144" t="b">
        <f t="shared" ref="K421:K422" si="251">J421=I400</f>
        <v>1</v>
      </c>
    </row>
    <row r="422" spans="1:11" x14ac:dyDescent="0.3">
      <c r="A422" s="122" t="str">
        <f t="shared" si="246"/>
        <v>OCTOBRE</v>
      </c>
      <c r="B422" s="129" t="s">
        <v>83</v>
      </c>
      <c r="C422" s="120">
        <f t="shared" si="247"/>
        <v>249769</v>
      </c>
      <c r="D422" s="123"/>
      <c r="E422" s="120">
        <f t="shared" si="248"/>
        <v>0</v>
      </c>
      <c r="F422" s="137"/>
      <c r="G422" s="137"/>
      <c r="H422" s="155">
        <f t="shared" si="249"/>
        <v>0</v>
      </c>
      <c r="I422" s="120">
        <f t="shared" si="250"/>
        <v>0</v>
      </c>
      <c r="J422" s="121">
        <f t="shared" ref="J422:J429" si="252">+SUM(C422:G422)-(H422+I422)</f>
        <v>249769</v>
      </c>
      <c r="K422" s="144" t="b">
        <f t="shared" si="251"/>
        <v>1</v>
      </c>
    </row>
    <row r="423" spans="1:11" x14ac:dyDescent="0.3">
      <c r="A423" s="122" t="str">
        <f t="shared" si="246"/>
        <v>OCTOBRE</v>
      </c>
      <c r="B423" s="127" t="s">
        <v>31</v>
      </c>
      <c r="C423" s="32">
        <f>C399</f>
        <v>76225</v>
      </c>
      <c r="D423" s="31"/>
      <c r="E423" s="32">
        <f>+D399</f>
        <v>15000</v>
      </c>
      <c r="F423" s="32"/>
      <c r="G423" s="104"/>
      <c r="H423" s="55">
        <f>+F399</f>
        <v>45000</v>
      </c>
      <c r="I423" s="32">
        <f>+E399</f>
        <v>34650</v>
      </c>
      <c r="J423" s="30">
        <f t="shared" si="252"/>
        <v>11575</v>
      </c>
      <c r="K423" s="144" t="b">
        <f>J423=I399</f>
        <v>1</v>
      </c>
    </row>
    <row r="424" spans="1:11" x14ac:dyDescent="0.3">
      <c r="A424" s="122" t="str">
        <f t="shared" si="246"/>
        <v>OCTOBRE</v>
      </c>
      <c r="B424" s="127" t="s">
        <v>197</v>
      </c>
      <c r="C424" s="32">
        <f>C402</f>
        <v>41200</v>
      </c>
      <c r="D424" s="31"/>
      <c r="E424" s="32">
        <f>+D402</f>
        <v>294000</v>
      </c>
      <c r="F424" s="32"/>
      <c r="G424" s="104"/>
      <c r="H424" s="55">
        <f>+F402</f>
        <v>30000</v>
      </c>
      <c r="I424" s="32">
        <f>+E402</f>
        <v>258300</v>
      </c>
      <c r="J424" s="30">
        <f t="shared" si="252"/>
        <v>46900</v>
      </c>
      <c r="K424" s="144" t="b">
        <f>J424=I402</f>
        <v>1</v>
      </c>
    </row>
    <row r="425" spans="1:11" x14ac:dyDescent="0.3">
      <c r="A425" s="122" t="str">
        <f t="shared" si="246"/>
        <v>OCTOBRE</v>
      </c>
      <c r="B425" s="127" t="s">
        <v>93</v>
      </c>
      <c r="C425" s="32">
        <f t="shared" ref="C425:C429" si="253">C403</f>
        <v>98100</v>
      </c>
      <c r="D425" s="31"/>
      <c r="E425" s="32">
        <f t="shared" ref="E425:E429" si="254">+D403</f>
        <v>0</v>
      </c>
      <c r="F425" s="32"/>
      <c r="G425" s="104"/>
      <c r="H425" s="55">
        <f t="shared" ref="H425:H429" si="255">+F403</f>
        <v>60000</v>
      </c>
      <c r="I425" s="32">
        <f t="shared" ref="I425:I429" si="256">+E403</f>
        <v>24000</v>
      </c>
      <c r="J425" s="30">
        <f t="shared" si="252"/>
        <v>14100</v>
      </c>
      <c r="K425" s="144" t="b">
        <f t="shared" ref="K425:K429" si="257">J425=I403</f>
        <v>1</v>
      </c>
    </row>
    <row r="426" spans="1:11" x14ac:dyDescent="0.3">
      <c r="A426" s="122" t="str">
        <f>+A424</f>
        <v>OCTOBRE</v>
      </c>
      <c r="B426" s="127" t="s">
        <v>255</v>
      </c>
      <c r="C426" s="32">
        <f t="shared" si="253"/>
        <v>0</v>
      </c>
      <c r="D426" s="31"/>
      <c r="E426" s="32">
        <f t="shared" si="254"/>
        <v>105000</v>
      </c>
      <c r="F426" s="32"/>
      <c r="G426" s="104"/>
      <c r="H426" s="55">
        <f t="shared" si="255"/>
        <v>10000</v>
      </c>
      <c r="I426" s="32">
        <f t="shared" si="256"/>
        <v>98000</v>
      </c>
      <c r="J426" s="30">
        <f t="shared" si="252"/>
        <v>-3000</v>
      </c>
      <c r="K426" s="144" t="b">
        <f t="shared" si="257"/>
        <v>1</v>
      </c>
    </row>
    <row r="427" spans="1:11" x14ac:dyDescent="0.3">
      <c r="A427" s="122" t="str">
        <f t="shared" ref="A427:A429" si="258">+A425</f>
        <v>OCTOBRE</v>
      </c>
      <c r="B427" s="127" t="s">
        <v>29</v>
      </c>
      <c r="C427" s="32">
        <f t="shared" si="253"/>
        <v>60950</v>
      </c>
      <c r="D427" s="31"/>
      <c r="E427" s="32">
        <f t="shared" si="254"/>
        <v>315000</v>
      </c>
      <c r="F427" s="32"/>
      <c r="G427" s="104"/>
      <c r="H427" s="55">
        <f t="shared" si="255"/>
        <v>60950</v>
      </c>
      <c r="I427" s="32">
        <f t="shared" si="256"/>
        <v>259000</v>
      </c>
      <c r="J427" s="30">
        <f t="shared" si="252"/>
        <v>56000</v>
      </c>
      <c r="K427" s="144" t="b">
        <f t="shared" si="257"/>
        <v>1</v>
      </c>
    </row>
    <row r="428" spans="1:11" x14ac:dyDescent="0.3">
      <c r="A428" s="122" t="str">
        <f t="shared" si="258"/>
        <v>OCTOBRE</v>
      </c>
      <c r="B428" s="128" t="s">
        <v>113</v>
      </c>
      <c r="C428" s="32">
        <f t="shared" si="253"/>
        <v>26298</v>
      </c>
      <c r="D428" s="119"/>
      <c r="E428" s="32">
        <f t="shared" si="254"/>
        <v>150000</v>
      </c>
      <c r="F428" s="51"/>
      <c r="G428" s="138"/>
      <c r="H428" s="55">
        <f t="shared" si="255"/>
        <v>0</v>
      </c>
      <c r="I428" s="32">
        <f t="shared" si="256"/>
        <v>158000</v>
      </c>
      <c r="J428" s="30">
        <f t="shared" si="252"/>
        <v>18298</v>
      </c>
      <c r="K428" s="144" t="b">
        <f t="shared" si="257"/>
        <v>1</v>
      </c>
    </row>
    <row r="429" spans="1:11" x14ac:dyDescent="0.3">
      <c r="A429" s="122" t="str">
        <f t="shared" si="258"/>
        <v>OCTOBRE</v>
      </c>
      <c r="B429" s="128" t="s">
        <v>212</v>
      </c>
      <c r="C429" s="32">
        <f t="shared" si="253"/>
        <v>-1700</v>
      </c>
      <c r="D429" s="119"/>
      <c r="E429" s="32">
        <f t="shared" si="254"/>
        <v>24200</v>
      </c>
      <c r="F429" s="51"/>
      <c r="G429" s="138"/>
      <c r="H429" s="55">
        <f t="shared" si="255"/>
        <v>0</v>
      </c>
      <c r="I429" s="32">
        <f t="shared" si="256"/>
        <v>22500</v>
      </c>
      <c r="J429" s="30">
        <f t="shared" si="252"/>
        <v>0</v>
      </c>
      <c r="K429" s="144" t="b">
        <f t="shared" si="257"/>
        <v>1</v>
      </c>
    </row>
    <row r="430" spans="1:11" x14ac:dyDescent="0.3">
      <c r="A430" s="34" t="s">
        <v>60</v>
      </c>
      <c r="B430" s="35"/>
      <c r="C430" s="35"/>
      <c r="D430" s="35"/>
      <c r="E430" s="35"/>
      <c r="F430" s="35"/>
      <c r="G430" s="35"/>
      <c r="H430" s="35"/>
      <c r="I430" s="35"/>
      <c r="J430" s="36"/>
      <c r="K430" s="143"/>
    </row>
    <row r="431" spans="1:11" x14ac:dyDescent="0.3">
      <c r="A431" s="122" t="str">
        <f>A429</f>
        <v>OCTOBRE</v>
      </c>
      <c r="B431" s="37" t="s">
        <v>61</v>
      </c>
      <c r="C431" s="38">
        <f>+C396</f>
        <v>1081474</v>
      </c>
      <c r="D431" s="49"/>
      <c r="E431" s="49">
        <f>D396</f>
        <v>4595950</v>
      </c>
      <c r="F431" s="49"/>
      <c r="G431" s="125"/>
      <c r="H431" s="51">
        <f>+F396</f>
        <v>1465700</v>
      </c>
      <c r="I431" s="126">
        <f>+E396</f>
        <v>2106393</v>
      </c>
      <c r="J431" s="30">
        <f>+SUM(C431:G431)-(H431+I431)</f>
        <v>2105331</v>
      </c>
      <c r="K431" s="144" t="b">
        <f>J431=I396</f>
        <v>1</v>
      </c>
    </row>
    <row r="432" spans="1:11" x14ac:dyDescent="0.3">
      <c r="A432" s="43" t="s">
        <v>62</v>
      </c>
      <c r="B432" s="24"/>
      <c r="C432" s="35"/>
      <c r="D432" s="24"/>
      <c r="E432" s="24"/>
      <c r="F432" s="24"/>
      <c r="G432" s="24"/>
      <c r="H432" s="24"/>
      <c r="I432" s="24"/>
      <c r="J432" s="36"/>
      <c r="K432" s="143"/>
    </row>
    <row r="433" spans="1:16" x14ac:dyDescent="0.3">
      <c r="A433" s="122" t="str">
        <f>+A431</f>
        <v>OCTOBRE</v>
      </c>
      <c r="B433" s="37" t="s">
        <v>156</v>
      </c>
      <c r="C433" s="125">
        <f>+C394</f>
        <v>14237475</v>
      </c>
      <c r="D433" s="132">
        <f>+G394</f>
        <v>0</v>
      </c>
      <c r="E433" s="49"/>
      <c r="F433" s="49"/>
      <c r="G433" s="49"/>
      <c r="H433" s="51">
        <f>+F394</f>
        <v>4000000</v>
      </c>
      <c r="I433" s="53">
        <f>+E394</f>
        <v>633748</v>
      </c>
      <c r="J433" s="30">
        <f>+SUM(C433:G433)-(H433+I433)</f>
        <v>9603727</v>
      </c>
      <c r="K433" s="144" t="b">
        <f>+J433=I394</f>
        <v>1</v>
      </c>
    </row>
    <row r="434" spans="1:16" x14ac:dyDescent="0.3">
      <c r="A434" s="122" t="str">
        <f t="shared" ref="A434" si="259">+A433</f>
        <v>OCTOBRE</v>
      </c>
      <c r="B434" s="37" t="s">
        <v>64</v>
      </c>
      <c r="C434" s="125">
        <f>+C395</f>
        <v>8844061</v>
      </c>
      <c r="D434" s="49">
        <f>+G395</f>
        <v>5426732</v>
      </c>
      <c r="E434" s="48"/>
      <c r="F434" s="48"/>
      <c r="G434" s="48"/>
      <c r="H434" s="32">
        <f>+F395</f>
        <v>0</v>
      </c>
      <c r="I434" s="50">
        <f>+E395</f>
        <v>4731844</v>
      </c>
      <c r="J434" s="30">
        <f>SUM(C434:G434)-(H434+I434)</f>
        <v>9538949</v>
      </c>
      <c r="K434" s="144" t="b">
        <f>+J434=I395</f>
        <v>1</v>
      </c>
    </row>
    <row r="435" spans="1:16" ht="15.6" x14ac:dyDescent="0.3">
      <c r="C435" s="141">
        <f>SUM(C419:C434)</f>
        <v>25430796</v>
      </c>
      <c r="I435" s="140">
        <f>SUM(I419:I434)</f>
        <v>8855335</v>
      </c>
      <c r="J435" s="105">
        <f>+SUM(J419:J434)</f>
        <v>22002193</v>
      </c>
      <c r="K435" s="5" t="b">
        <f>J435=I408</f>
        <v>1</v>
      </c>
    </row>
    <row r="436" spans="1:16" ht="15.6" x14ac:dyDescent="0.3">
      <c r="A436" s="160"/>
      <c r="B436" s="160"/>
      <c r="C436" s="161"/>
      <c r="D436" s="160"/>
      <c r="E436" s="160"/>
      <c r="F436" s="160"/>
      <c r="G436" s="160"/>
      <c r="H436" s="160"/>
      <c r="I436" s="162"/>
      <c r="J436" s="163"/>
      <c r="K436" s="160"/>
      <c r="L436" s="164"/>
      <c r="M436" s="164"/>
      <c r="N436" s="164"/>
      <c r="O436" s="164"/>
      <c r="P436" s="160"/>
    </row>
    <row r="437" spans="1:16" ht="15.6" x14ac:dyDescent="0.3">
      <c r="C437" s="141"/>
      <c r="I437" s="140"/>
      <c r="J437" s="105"/>
    </row>
    <row r="440" spans="1:16" ht="15.6" x14ac:dyDescent="0.3">
      <c r="A440" s="6" t="s">
        <v>36</v>
      </c>
      <c r="B440" s="6" t="s">
        <v>1</v>
      </c>
      <c r="C440" s="6">
        <v>44805</v>
      </c>
      <c r="D440" s="7" t="s">
        <v>37</v>
      </c>
      <c r="E440" s="7" t="s">
        <v>38</v>
      </c>
      <c r="F440" s="7" t="s">
        <v>39</v>
      </c>
      <c r="G440" s="7" t="s">
        <v>40</v>
      </c>
      <c r="H440" s="6" t="s">
        <v>240</v>
      </c>
      <c r="I440" s="7" t="s">
        <v>41</v>
      </c>
      <c r="K440" s="45"/>
      <c r="L440" s="45" t="s">
        <v>42</v>
      </c>
      <c r="M440" s="45" t="s">
        <v>43</v>
      </c>
      <c r="N440" s="45" t="s">
        <v>44</v>
      </c>
      <c r="O440" s="45" t="s">
        <v>45</v>
      </c>
    </row>
    <row r="441" spans="1:16" x14ac:dyDescent="0.3">
      <c r="A441" s="58" t="str">
        <f>K441</f>
        <v>BCI</v>
      </c>
      <c r="B441" s="59" t="s">
        <v>46</v>
      </c>
      <c r="C441" s="61">
        <v>23820820</v>
      </c>
      <c r="D441" s="61">
        <f>+L441</f>
        <v>0</v>
      </c>
      <c r="E441" s="61">
        <f>+N441</f>
        <v>583345</v>
      </c>
      <c r="F441" s="61">
        <f>+M441</f>
        <v>9000000</v>
      </c>
      <c r="G441" s="61">
        <f t="shared" ref="G441:G453" si="260">+O441</f>
        <v>0</v>
      </c>
      <c r="H441" s="61">
        <v>14237475</v>
      </c>
      <c r="I441" s="61">
        <f>+C441+D441-E441-F441+G441</f>
        <v>14237475</v>
      </c>
      <c r="J441" s="9">
        <f>I441-H441</f>
        <v>0</v>
      </c>
      <c r="K441" s="45" t="s">
        <v>24</v>
      </c>
      <c r="L441" s="47">
        <v>0</v>
      </c>
      <c r="M441" s="47">
        <v>9000000</v>
      </c>
      <c r="N441" s="47">
        <v>583345</v>
      </c>
      <c r="O441" s="47">
        <v>0</v>
      </c>
    </row>
    <row r="442" spans="1:16" x14ac:dyDescent="0.3">
      <c r="A442" s="58" t="str">
        <f t="shared" ref="A442:A453" si="261">K442</f>
        <v>BCI-Sous Compte</v>
      </c>
      <c r="B442" s="59" t="s">
        <v>46</v>
      </c>
      <c r="C442" s="61">
        <v>14424581</v>
      </c>
      <c r="D442" s="61">
        <f t="shared" ref="D442:D453" si="262">+L442</f>
        <v>0</v>
      </c>
      <c r="E442" s="61">
        <f t="shared" ref="E442:E453" si="263">+N442</f>
        <v>5580520</v>
      </c>
      <c r="F442" s="61">
        <f t="shared" ref="F442:F453" si="264">+M442</f>
        <v>0</v>
      </c>
      <c r="G442" s="61">
        <f t="shared" si="260"/>
        <v>0</v>
      </c>
      <c r="H442" s="61">
        <v>8844061</v>
      </c>
      <c r="I442" s="61">
        <f>+C442+D442-E442-F442+G442</f>
        <v>8844061</v>
      </c>
      <c r="J442" s="9">
        <f t="shared" ref="J442:J448" si="265">I442-H442</f>
        <v>0</v>
      </c>
      <c r="K442" s="45" t="s">
        <v>148</v>
      </c>
      <c r="L442" s="46">
        <v>0</v>
      </c>
      <c r="M442" s="47">
        <v>0</v>
      </c>
      <c r="N442" s="47">
        <v>5580520</v>
      </c>
      <c r="O442" s="47">
        <v>0</v>
      </c>
    </row>
    <row r="443" spans="1:16" x14ac:dyDescent="0.3">
      <c r="A443" s="58" t="str">
        <f t="shared" si="261"/>
        <v>Caisse</v>
      </c>
      <c r="B443" s="59" t="s">
        <v>25</v>
      </c>
      <c r="C443" s="61">
        <v>980042</v>
      </c>
      <c r="D443" s="61">
        <f t="shared" si="262"/>
        <v>9476115</v>
      </c>
      <c r="E443" s="61">
        <f t="shared" si="263"/>
        <v>2448183</v>
      </c>
      <c r="F443" s="61">
        <f t="shared" si="264"/>
        <v>6926500</v>
      </c>
      <c r="G443" s="61">
        <f t="shared" si="260"/>
        <v>0</v>
      </c>
      <c r="H443" s="61">
        <v>1081474</v>
      </c>
      <c r="I443" s="61">
        <f>+C443+D443-E443-F443+G443</f>
        <v>1081474</v>
      </c>
      <c r="J443" s="102">
        <f t="shared" si="265"/>
        <v>0</v>
      </c>
      <c r="K443" s="45" t="s">
        <v>25</v>
      </c>
      <c r="L443" s="47">
        <v>9476115</v>
      </c>
      <c r="M443" s="47">
        <v>6926500</v>
      </c>
      <c r="N443" s="47">
        <v>2448183</v>
      </c>
      <c r="O443" s="47">
        <v>0</v>
      </c>
    </row>
    <row r="444" spans="1:16" x14ac:dyDescent="0.3">
      <c r="A444" s="58" t="str">
        <f t="shared" si="261"/>
        <v>Crépin</v>
      </c>
      <c r="B444" s="59" t="s">
        <v>154</v>
      </c>
      <c r="C444" s="61">
        <v>65910</v>
      </c>
      <c r="D444" s="61">
        <f t="shared" si="262"/>
        <v>2886000</v>
      </c>
      <c r="E444" s="61">
        <f t="shared" si="263"/>
        <v>1968580</v>
      </c>
      <c r="F444" s="61">
        <f t="shared" si="264"/>
        <v>500000</v>
      </c>
      <c r="G444" s="61">
        <f t="shared" si="260"/>
        <v>0</v>
      </c>
      <c r="H444" s="61">
        <v>483330</v>
      </c>
      <c r="I444" s="61">
        <f>+C444+D444-E444-F444+G444</f>
        <v>483330</v>
      </c>
      <c r="J444" s="9">
        <f t="shared" si="265"/>
        <v>0</v>
      </c>
      <c r="K444" s="45" t="s">
        <v>47</v>
      </c>
      <c r="L444" s="47">
        <v>2886000</v>
      </c>
      <c r="M444" s="47">
        <v>500000</v>
      </c>
      <c r="N444" s="47">
        <v>1968580</v>
      </c>
      <c r="O444" s="47">
        <v>0</v>
      </c>
    </row>
    <row r="445" spans="1:16" x14ac:dyDescent="0.3">
      <c r="A445" s="58" t="str">
        <f t="shared" si="261"/>
        <v>Evariste</v>
      </c>
      <c r="B445" s="59" t="s">
        <v>155</v>
      </c>
      <c r="C445" s="61">
        <v>4795</v>
      </c>
      <c r="D445" s="61">
        <f t="shared" si="262"/>
        <v>782000</v>
      </c>
      <c r="E445" s="61">
        <f t="shared" si="263"/>
        <v>710570</v>
      </c>
      <c r="F445" s="61">
        <f t="shared" si="264"/>
        <v>0</v>
      </c>
      <c r="G445" s="61">
        <f t="shared" si="260"/>
        <v>0</v>
      </c>
      <c r="H445" s="61">
        <v>76225</v>
      </c>
      <c r="I445" s="61">
        <f t="shared" ref="I445" si="266">+C445+D445-E445-F445+G445</f>
        <v>76225</v>
      </c>
      <c r="J445" s="9">
        <f t="shared" si="265"/>
        <v>0</v>
      </c>
      <c r="K445" s="45" t="s">
        <v>31</v>
      </c>
      <c r="L445" s="47">
        <v>782000</v>
      </c>
      <c r="M445" s="47">
        <v>0</v>
      </c>
      <c r="N445" s="47">
        <v>710570</v>
      </c>
      <c r="O445" s="47">
        <v>0</v>
      </c>
    </row>
    <row r="446" spans="1:16" x14ac:dyDescent="0.3">
      <c r="A446" s="58" t="str">
        <f t="shared" si="261"/>
        <v>I55S</v>
      </c>
      <c r="B446" s="116" t="s">
        <v>4</v>
      </c>
      <c r="C446" s="118">
        <v>233614</v>
      </c>
      <c r="D446" s="118">
        <f t="shared" si="262"/>
        <v>0</v>
      </c>
      <c r="E446" s="118">
        <f t="shared" si="263"/>
        <v>0</v>
      </c>
      <c r="F446" s="118">
        <f t="shared" si="264"/>
        <v>0</v>
      </c>
      <c r="G446" s="118">
        <f t="shared" si="260"/>
        <v>0</v>
      </c>
      <c r="H446" s="118">
        <v>233614</v>
      </c>
      <c r="I446" s="118">
        <f>+C446+D446-E446-F446+G446</f>
        <v>233614</v>
      </c>
      <c r="J446" s="9">
        <f t="shared" si="265"/>
        <v>0</v>
      </c>
      <c r="K446" s="45" t="s">
        <v>84</v>
      </c>
      <c r="L446" s="47">
        <v>0</v>
      </c>
      <c r="M446" s="47">
        <v>0</v>
      </c>
      <c r="N446" s="47">
        <v>0</v>
      </c>
      <c r="O446" s="47">
        <v>0</v>
      </c>
    </row>
    <row r="447" spans="1:16" x14ac:dyDescent="0.3">
      <c r="A447" s="58" t="str">
        <f t="shared" si="261"/>
        <v>I73X</v>
      </c>
      <c r="B447" s="116" t="s">
        <v>4</v>
      </c>
      <c r="C447" s="118">
        <v>249769</v>
      </c>
      <c r="D447" s="118">
        <f t="shared" si="262"/>
        <v>0</v>
      </c>
      <c r="E447" s="118">
        <f t="shared" si="263"/>
        <v>0</v>
      </c>
      <c r="F447" s="118">
        <f t="shared" si="264"/>
        <v>0</v>
      </c>
      <c r="G447" s="118">
        <f t="shared" si="260"/>
        <v>0</v>
      </c>
      <c r="H447" s="118">
        <v>249769</v>
      </c>
      <c r="I447" s="118">
        <f t="shared" ref="I447:I450" si="267">+C447+D447-E447-F447+G447</f>
        <v>249769</v>
      </c>
      <c r="J447" s="9">
        <f t="shared" si="265"/>
        <v>0</v>
      </c>
      <c r="K447" s="45" t="s">
        <v>83</v>
      </c>
      <c r="L447" s="47">
        <v>0</v>
      </c>
      <c r="M447" s="47">
        <v>0</v>
      </c>
      <c r="N447" s="47">
        <v>0</v>
      </c>
      <c r="O447" s="47">
        <v>0</v>
      </c>
    </row>
    <row r="448" spans="1:16" x14ac:dyDescent="0.3">
      <c r="A448" s="58" t="str">
        <f t="shared" si="261"/>
        <v>Grace</v>
      </c>
      <c r="B448" s="98" t="s">
        <v>2</v>
      </c>
      <c r="C448" s="61">
        <v>116815</v>
      </c>
      <c r="D448" s="61">
        <f t="shared" si="262"/>
        <v>1388000</v>
      </c>
      <c r="E448" s="61">
        <f t="shared" si="263"/>
        <v>228700</v>
      </c>
      <c r="F448" s="61">
        <f t="shared" si="264"/>
        <v>1276115</v>
      </c>
      <c r="G448" s="61">
        <f t="shared" si="260"/>
        <v>0</v>
      </c>
      <c r="H448" s="61">
        <v>0</v>
      </c>
      <c r="I448" s="61">
        <f t="shared" si="267"/>
        <v>0</v>
      </c>
      <c r="J448" s="9">
        <f t="shared" si="265"/>
        <v>0</v>
      </c>
      <c r="K448" s="45" t="s">
        <v>143</v>
      </c>
      <c r="L448" s="47">
        <v>1388000</v>
      </c>
      <c r="M448" s="47">
        <v>1276115</v>
      </c>
      <c r="N448" s="47">
        <v>228700</v>
      </c>
      <c r="O448" s="47">
        <v>0</v>
      </c>
    </row>
    <row r="449" spans="1:15" s="188" customFormat="1" ht="15.6" x14ac:dyDescent="0.3">
      <c r="A449" s="58" t="str">
        <f t="shared" si="261"/>
        <v>Hurielle</v>
      </c>
      <c r="B449" s="183" t="s">
        <v>154</v>
      </c>
      <c r="C449" s="184">
        <v>700</v>
      </c>
      <c r="D449" s="61">
        <f t="shared" si="262"/>
        <v>629000</v>
      </c>
      <c r="E449" s="61">
        <f t="shared" si="263"/>
        <v>513500</v>
      </c>
      <c r="F449" s="61">
        <f t="shared" si="264"/>
        <v>75000</v>
      </c>
      <c r="G449" s="61">
        <f t="shared" si="260"/>
        <v>0</v>
      </c>
      <c r="H449" s="184">
        <f>5000+36200</f>
        <v>41200</v>
      </c>
      <c r="I449" s="184">
        <f t="shared" si="267"/>
        <v>41200</v>
      </c>
      <c r="J449" s="185">
        <f>I449-H449</f>
        <v>0</v>
      </c>
      <c r="K449" s="186" t="s">
        <v>197</v>
      </c>
      <c r="L449" s="187">
        <v>629000</v>
      </c>
      <c r="M449" s="187">
        <v>75000</v>
      </c>
      <c r="N449" s="187">
        <v>513500</v>
      </c>
      <c r="O449" s="187">
        <v>0</v>
      </c>
    </row>
    <row r="450" spans="1:15" x14ac:dyDescent="0.3">
      <c r="A450" s="58" t="str">
        <f t="shared" si="261"/>
        <v>Merveille</v>
      </c>
      <c r="B450" s="98" t="s">
        <v>2</v>
      </c>
      <c r="C450" s="61">
        <v>6900</v>
      </c>
      <c r="D450" s="61">
        <f t="shared" si="262"/>
        <v>521000</v>
      </c>
      <c r="E450" s="61">
        <f>+N450</f>
        <v>394800</v>
      </c>
      <c r="F450" s="61">
        <f t="shared" si="264"/>
        <v>35000</v>
      </c>
      <c r="G450" s="61">
        <f t="shared" si="260"/>
        <v>0</v>
      </c>
      <c r="H450" s="61">
        <f>97600+500</f>
        <v>98100</v>
      </c>
      <c r="I450" s="61">
        <f t="shared" si="267"/>
        <v>98100</v>
      </c>
      <c r="J450" s="9">
        <f t="shared" ref="J450:J451" si="268">I450-H450</f>
        <v>0</v>
      </c>
      <c r="K450" s="45" t="s">
        <v>93</v>
      </c>
      <c r="L450" s="47">
        <v>521000</v>
      </c>
      <c r="M450" s="47">
        <v>35000</v>
      </c>
      <c r="N450" s="47">
        <f>395300-500</f>
        <v>394800</v>
      </c>
      <c r="O450" s="47">
        <v>0</v>
      </c>
    </row>
    <row r="451" spans="1:15" x14ac:dyDescent="0.3">
      <c r="A451" s="58" t="str">
        <f t="shared" si="261"/>
        <v>P29</v>
      </c>
      <c r="B451" s="59" t="s">
        <v>4</v>
      </c>
      <c r="C451" s="61">
        <v>24050</v>
      </c>
      <c r="D451" s="61">
        <f t="shared" si="262"/>
        <v>885000</v>
      </c>
      <c r="E451" s="61">
        <f t="shared" si="263"/>
        <v>798100</v>
      </c>
      <c r="F451" s="61">
        <f t="shared" si="264"/>
        <v>50000</v>
      </c>
      <c r="G451" s="61">
        <f t="shared" si="260"/>
        <v>0</v>
      </c>
      <c r="H451" s="61">
        <v>60950</v>
      </c>
      <c r="I451" s="61">
        <f>+C451+D451-E451-F451+G451</f>
        <v>60950</v>
      </c>
      <c r="J451" s="9">
        <f t="shared" si="268"/>
        <v>0</v>
      </c>
      <c r="K451" s="45" t="s">
        <v>29</v>
      </c>
      <c r="L451" s="47">
        <v>885000</v>
      </c>
      <c r="M451" s="47">
        <v>50000</v>
      </c>
      <c r="N451" s="47">
        <v>798100</v>
      </c>
      <c r="O451" s="47">
        <v>0</v>
      </c>
    </row>
    <row r="452" spans="1:15" x14ac:dyDescent="0.3">
      <c r="A452" s="58" t="str">
        <f t="shared" si="261"/>
        <v>Tiffany</v>
      </c>
      <c r="B452" s="59" t="s">
        <v>2</v>
      </c>
      <c r="C452" s="61">
        <v>-653702</v>
      </c>
      <c r="D452" s="61">
        <f t="shared" si="262"/>
        <v>731000</v>
      </c>
      <c r="E452" s="61">
        <f t="shared" si="263"/>
        <v>51000</v>
      </c>
      <c r="F452" s="61">
        <f t="shared" si="264"/>
        <v>0</v>
      </c>
      <c r="G452" s="61">
        <f t="shared" si="260"/>
        <v>0</v>
      </c>
      <c r="H452" s="61">
        <v>26298</v>
      </c>
      <c r="I452" s="61">
        <f>+C452+D452-E452-F452+G452</f>
        <v>26298</v>
      </c>
      <c r="J452" s="9">
        <f>I452-H452</f>
        <v>0</v>
      </c>
      <c r="K452" s="45" t="s">
        <v>113</v>
      </c>
      <c r="L452" s="47">
        <v>731000</v>
      </c>
      <c r="M452" s="47">
        <v>0</v>
      </c>
      <c r="N452" s="47">
        <v>51000</v>
      </c>
      <c r="O452" s="47">
        <v>0</v>
      </c>
    </row>
    <row r="453" spans="1:15" x14ac:dyDescent="0.3">
      <c r="A453" s="58" t="str">
        <f t="shared" si="261"/>
        <v>Yan</v>
      </c>
      <c r="B453" s="59" t="s">
        <v>154</v>
      </c>
      <c r="C453" s="61">
        <v>0</v>
      </c>
      <c r="D453" s="61">
        <f t="shared" si="262"/>
        <v>599500</v>
      </c>
      <c r="E453" s="61">
        <f t="shared" si="263"/>
        <v>566200</v>
      </c>
      <c r="F453" s="61">
        <f t="shared" si="264"/>
        <v>35000</v>
      </c>
      <c r="G453" s="61">
        <f t="shared" si="260"/>
        <v>0</v>
      </c>
      <c r="H453" s="61">
        <v>-1700</v>
      </c>
      <c r="I453" s="61">
        <f t="shared" ref="I453" si="269">+C453+D453-E453-F453+G453</f>
        <v>-1700</v>
      </c>
      <c r="J453" s="9">
        <f t="shared" ref="J453" si="270">I453-H453</f>
        <v>0</v>
      </c>
      <c r="K453" s="45" t="s">
        <v>212</v>
      </c>
      <c r="L453" s="47">
        <v>599500</v>
      </c>
      <c r="M453" s="47">
        <v>35000</v>
      </c>
      <c r="N453" s="47">
        <v>566200</v>
      </c>
      <c r="O453" s="47">
        <v>0</v>
      </c>
    </row>
    <row r="454" spans="1:15" x14ac:dyDescent="0.3">
      <c r="A454" s="10" t="s">
        <v>50</v>
      </c>
      <c r="B454" s="11"/>
      <c r="C454" s="12">
        <f t="shared" ref="C454:I454" si="271">SUM(C441:C453)</f>
        <v>39274294</v>
      </c>
      <c r="D454" s="57">
        <f t="shared" si="271"/>
        <v>17897615</v>
      </c>
      <c r="E454" s="57">
        <f t="shared" si="271"/>
        <v>13843498</v>
      </c>
      <c r="F454" s="57">
        <f t="shared" si="271"/>
        <v>17897615</v>
      </c>
      <c r="G454" s="57">
        <f t="shared" si="271"/>
        <v>0</v>
      </c>
      <c r="H454" s="57">
        <f>SUM(H441:H453)</f>
        <v>25430796</v>
      </c>
      <c r="I454" s="57">
        <f t="shared" si="271"/>
        <v>25430796</v>
      </c>
      <c r="J454" s="9">
        <f>I454-H454</f>
        <v>0</v>
      </c>
      <c r="K454" s="3"/>
      <c r="L454" s="47">
        <f>+SUM(L441:L453)</f>
        <v>17897615</v>
      </c>
      <c r="M454" s="47">
        <f>+SUM(M441:M453)</f>
        <v>17897615</v>
      </c>
      <c r="N454" s="47">
        <f>+SUM(N441:N453)</f>
        <v>13843498</v>
      </c>
      <c r="O454" s="47">
        <f>+SUM(O441:O453)</f>
        <v>0</v>
      </c>
    </row>
    <row r="455" spans="1:15" x14ac:dyDescent="0.3">
      <c r="A455" s="10"/>
      <c r="B455" s="11"/>
      <c r="C455" s="12"/>
      <c r="D455" s="13"/>
      <c r="E455" s="12"/>
      <c r="F455" s="13"/>
      <c r="G455" s="12"/>
      <c r="H455" s="12"/>
      <c r="I455" s="134" t="b">
        <f>I454=D457</f>
        <v>1</v>
      </c>
      <c r="J455" s="9">
        <f>H454-I454</f>
        <v>0</v>
      </c>
      <c r="L455" s="5"/>
      <c r="M455" s="5"/>
      <c r="N455" s="5"/>
      <c r="O455" s="5"/>
    </row>
    <row r="456" spans="1:15" x14ac:dyDescent="0.3">
      <c r="A456" s="10" t="s">
        <v>244</v>
      </c>
      <c r="B456" s="11" t="s">
        <v>243</v>
      </c>
      <c r="C456" s="12" t="s">
        <v>242</v>
      </c>
      <c r="D456" s="12" t="s">
        <v>241</v>
      </c>
      <c r="E456" s="12" t="s">
        <v>51</v>
      </c>
      <c r="F456" s="12"/>
      <c r="G456" s="12">
        <f>+D454-F454</f>
        <v>0</v>
      </c>
      <c r="H456" s="12"/>
      <c r="I456" s="12"/>
    </row>
    <row r="457" spans="1:15" x14ac:dyDescent="0.3">
      <c r="A457" s="14">
        <f>C454</f>
        <v>39274294</v>
      </c>
      <c r="B457" s="15">
        <f>G454</f>
        <v>0</v>
      </c>
      <c r="C457" s="12">
        <f>E454</f>
        <v>13843498</v>
      </c>
      <c r="D457" s="12">
        <f>A457+B457-C457</f>
        <v>25430796</v>
      </c>
      <c r="E457" s="13">
        <f>I454-D457</f>
        <v>0</v>
      </c>
      <c r="F457" s="12"/>
      <c r="G457" s="12"/>
      <c r="H457" s="12"/>
      <c r="I457" s="12"/>
    </row>
    <row r="458" spans="1:15" x14ac:dyDescent="0.3">
      <c r="A458" s="14"/>
      <c r="B458" s="15"/>
      <c r="C458" s="12"/>
      <c r="D458" s="12"/>
      <c r="E458" s="13"/>
      <c r="F458" s="12"/>
      <c r="G458" s="12"/>
      <c r="H458" s="12"/>
      <c r="I458" s="12"/>
    </row>
    <row r="459" spans="1:15" x14ac:dyDescent="0.3">
      <c r="A459" s="16" t="s">
        <v>52</v>
      </c>
      <c r="B459" s="16"/>
      <c r="C459" s="16"/>
      <c r="D459" s="17"/>
      <c r="E459" s="17"/>
      <c r="F459" s="17"/>
      <c r="G459" s="17"/>
      <c r="H459" s="17"/>
      <c r="I459" s="17"/>
    </row>
    <row r="460" spans="1:15" x14ac:dyDescent="0.3">
      <c r="A460" s="18" t="s">
        <v>245</v>
      </c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5" x14ac:dyDescent="0.3">
      <c r="A461" s="19"/>
      <c r="B461" s="17"/>
      <c r="C461" s="20"/>
      <c r="D461" s="20"/>
      <c r="E461" s="20"/>
      <c r="F461" s="20"/>
      <c r="G461" s="20"/>
      <c r="H461" s="17"/>
      <c r="I461" s="17"/>
    </row>
    <row r="462" spans="1:15" ht="45" customHeight="1" x14ac:dyDescent="0.3">
      <c r="A462" s="169" t="s">
        <v>53</v>
      </c>
      <c r="B462" s="171" t="s">
        <v>54</v>
      </c>
      <c r="C462" s="173" t="s">
        <v>246</v>
      </c>
      <c r="D462" s="174" t="s">
        <v>55</v>
      </c>
      <c r="E462" s="175"/>
      <c r="F462" s="175"/>
      <c r="G462" s="176"/>
      <c r="H462" s="177" t="s">
        <v>56</v>
      </c>
      <c r="I462" s="165" t="s">
        <v>57</v>
      </c>
      <c r="J462" s="17"/>
    </row>
    <row r="463" spans="1:15" ht="28.5" customHeight="1" x14ac:dyDescent="0.3">
      <c r="A463" s="170"/>
      <c r="B463" s="172"/>
      <c r="C463" s="22"/>
      <c r="D463" s="21" t="s">
        <v>24</v>
      </c>
      <c r="E463" s="21" t="s">
        <v>25</v>
      </c>
      <c r="F463" s="22" t="s">
        <v>123</v>
      </c>
      <c r="G463" s="21" t="s">
        <v>58</v>
      </c>
      <c r="H463" s="178"/>
      <c r="I463" s="166"/>
      <c r="J463" s="167" t="s">
        <v>247</v>
      </c>
      <c r="K463" s="143"/>
    </row>
    <row r="464" spans="1:15" x14ac:dyDescent="0.3">
      <c r="A464" s="23"/>
      <c r="B464" s="24" t="s">
        <v>59</v>
      </c>
      <c r="C464" s="25"/>
      <c r="D464" s="25"/>
      <c r="E464" s="25"/>
      <c r="F464" s="25"/>
      <c r="G464" s="25"/>
      <c r="H464" s="25"/>
      <c r="I464" s="26"/>
      <c r="J464" s="168"/>
      <c r="K464" s="143"/>
    </row>
    <row r="465" spans="1:11" x14ac:dyDescent="0.3">
      <c r="A465" s="122" t="s">
        <v>79</v>
      </c>
      <c r="B465" s="127" t="s">
        <v>47</v>
      </c>
      <c r="C465" s="32">
        <f t="shared" ref="C465:C474" si="272">+C444</f>
        <v>65910</v>
      </c>
      <c r="D465" s="31"/>
      <c r="E465" s="32">
        <f t="shared" ref="E465:E474" si="273">+D444</f>
        <v>2886000</v>
      </c>
      <c r="F465" s="32"/>
      <c r="G465" s="32"/>
      <c r="H465" s="55">
        <f t="shared" ref="H465:H474" si="274">+F444</f>
        <v>500000</v>
      </c>
      <c r="I465" s="32">
        <f t="shared" ref="I465:I474" si="275">+E444</f>
        <v>1968580</v>
      </c>
      <c r="J465" s="30">
        <f t="shared" ref="J465:J466" si="276">+SUM(C465:G465)-(H465+I465)</f>
        <v>483330</v>
      </c>
      <c r="K465" s="144" t="b">
        <f t="shared" ref="K465:K474" si="277">J465=I444</f>
        <v>1</v>
      </c>
    </row>
    <row r="466" spans="1:11" x14ac:dyDescent="0.3">
      <c r="A466" s="122" t="str">
        <f>+A465</f>
        <v>SEPTEMBRE</v>
      </c>
      <c r="B466" s="127" t="s">
        <v>31</v>
      </c>
      <c r="C466" s="32">
        <f t="shared" si="272"/>
        <v>4795</v>
      </c>
      <c r="D466" s="31"/>
      <c r="E466" s="32">
        <f t="shared" si="273"/>
        <v>782000</v>
      </c>
      <c r="F466" s="32"/>
      <c r="G466" s="32"/>
      <c r="H466" s="55">
        <f t="shared" si="274"/>
        <v>0</v>
      </c>
      <c r="I466" s="32">
        <f t="shared" si="275"/>
        <v>710570</v>
      </c>
      <c r="J466" s="101">
        <f t="shared" si="276"/>
        <v>76225</v>
      </c>
      <c r="K466" s="144" t="b">
        <f t="shared" si="277"/>
        <v>1</v>
      </c>
    </row>
    <row r="467" spans="1:11" x14ac:dyDescent="0.3">
      <c r="A467" s="122" t="str">
        <f t="shared" ref="A467:A471" si="278">+A466</f>
        <v>SEPTEMBRE</v>
      </c>
      <c r="B467" s="129" t="s">
        <v>84</v>
      </c>
      <c r="C467" s="120">
        <f t="shared" si="272"/>
        <v>233614</v>
      </c>
      <c r="D467" s="123"/>
      <c r="E467" s="120">
        <f t="shared" si="273"/>
        <v>0</v>
      </c>
      <c r="F467" s="137"/>
      <c r="G467" s="137"/>
      <c r="H467" s="155">
        <f t="shared" si="274"/>
        <v>0</v>
      </c>
      <c r="I467" s="120">
        <f t="shared" si="275"/>
        <v>0</v>
      </c>
      <c r="J467" s="121">
        <f>+SUM(C467:G467)-(H467+I467)</f>
        <v>233614</v>
      </c>
      <c r="K467" s="144" t="b">
        <f t="shared" si="277"/>
        <v>1</v>
      </c>
    </row>
    <row r="468" spans="1:11" x14ac:dyDescent="0.3">
      <c r="A468" s="122" t="str">
        <f t="shared" si="278"/>
        <v>SEPTEMBRE</v>
      </c>
      <c r="B468" s="129" t="s">
        <v>83</v>
      </c>
      <c r="C468" s="120">
        <f t="shared" si="272"/>
        <v>249769</v>
      </c>
      <c r="D468" s="123"/>
      <c r="E468" s="120">
        <f t="shared" si="273"/>
        <v>0</v>
      </c>
      <c r="F468" s="137"/>
      <c r="G468" s="137"/>
      <c r="H468" s="155">
        <f t="shared" si="274"/>
        <v>0</v>
      </c>
      <c r="I468" s="120">
        <f t="shared" si="275"/>
        <v>0</v>
      </c>
      <c r="J468" s="121">
        <f t="shared" ref="J468:J474" si="279">+SUM(C468:G468)-(H468+I468)</f>
        <v>249769</v>
      </c>
      <c r="K468" s="144" t="b">
        <f t="shared" si="277"/>
        <v>1</v>
      </c>
    </row>
    <row r="469" spans="1:11" x14ac:dyDescent="0.3">
      <c r="A469" s="122" t="str">
        <f t="shared" si="278"/>
        <v>SEPTEMBRE</v>
      </c>
      <c r="B469" s="127" t="s">
        <v>143</v>
      </c>
      <c r="C469" s="32">
        <f t="shared" si="272"/>
        <v>116815</v>
      </c>
      <c r="D469" s="31"/>
      <c r="E469" s="32">
        <f t="shared" si="273"/>
        <v>1388000</v>
      </c>
      <c r="F469" s="32"/>
      <c r="G469" s="104"/>
      <c r="H469" s="55">
        <f t="shared" si="274"/>
        <v>1276115</v>
      </c>
      <c r="I469" s="32">
        <f t="shared" si="275"/>
        <v>228700</v>
      </c>
      <c r="J469" s="30">
        <f t="shared" si="279"/>
        <v>0</v>
      </c>
      <c r="K469" s="144" t="b">
        <f t="shared" si="277"/>
        <v>1</v>
      </c>
    </row>
    <row r="470" spans="1:11" x14ac:dyDescent="0.3">
      <c r="A470" s="122" t="str">
        <f t="shared" si="278"/>
        <v>SEPTEMBRE</v>
      </c>
      <c r="B470" s="127" t="s">
        <v>197</v>
      </c>
      <c r="C470" s="32">
        <f t="shared" si="272"/>
        <v>700</v>
      </c>
      <c r="D470" s="31"/>
      <c r="E470" s="32">
        <f t="shared" si="273"/>
        <v>629000</v>
      </c>
      <c r="F470" s="32"/>
      <c r="G470" s="104"/>
      <c r="H470" s="55">
        <f t="shared" si="274"/>
        <v>75000</v>
      </c>
      <c r="I470" s="32">
        <f t="shared" si="275"/>
        <v>513500</v>
      </c>
      <c r="J470" s="30">
        <f t="shared" si="279"/>
        <v>41200</v>
      </c>
      <c r="K470" s="144" t="b">
        <f t="shared" si="277"/>
        <v>1</v>
      </c>
    </row>
    <row r="471" spans="1:11" x14ac:dyDescent="0.3">
      <c r="A471" s="122" t="str">
        <f t="shared" si="278"/>
        <v>SEPTEMBRE</v>
      </c>
      <c r="B471" s="127" t="s">
        <v>93</v>
      </c>
      <c r="C471" s="32">
        <f t="shared" si="272"/>
        <v>6900</v>
      </c>
      <c r="D471" s="31"/>
      <c r="E471" s="32">
        <f t="shared" si="273"/>
        <v>521000</v>
      </c>
      <c r="F471" s="32"/>
      <c r="G471" s="104"/>
      <c r="H471" s="55">
        <f t="shared" si="274"/>
        <v>35000</v>
      </c>
      <c r="I471" s="32">
        <f t="shared" si="275"/>
        <v>394800</v>
      </c>
      <c r="J471" s="30">
        <f t="shared" si="279"/>
        <v>98100</v>
      </c>
      <c r="K471" s="144" t="b">
        <f t="shared" si="277"/>
        <v>1</v>
      </c>
    </row>
    <row r="472" spans="1:11" x14ac:dyDescent="0.3">
      <c r="A472" s="122" t="str">
        <f>+A470</f>
        <v>SEPTEMBRE</v>
      </c>
      <c r="B472" s="127" t="s">
        <v>29</v>
      </c>
      <c r="C472" s="32">
        <f t="shared" si="272"/>
        <v>24050</v>
      </c>
      <c r="D472" s="31"/>
      <c r="E472" s="32">
        <f t="shared" si="273"/>
        <v>885000</v>
      </c>
      <c r="F472" s="32"/>
      <c r="G472" s="104"/>
      <c r="H472" s="55">
        <f t="shared" si="274"/>
        <v>50000</v>
      </c>
      <c r="I472" s="32">
        <f t="shared" si="275"/>
        <v>798100</v>
      </c>
      <c r="J472" s="30">
        <f t="shared" si="279"/>
        <v>60950</v>
      </c>
      <c r="K472" s="144" t="b">
        <f t="shared" si="277"/>
        <v>1</v>
      </c>
    </row>
    <row r="473" spans="1:11" x14ac:dyDescent="0.3">
      <c r="A473" s="122" t="str">
        <f>+A471</f>
        <v>SEPTEMBRE</v>
      </c>
      <c r="B473" s="127" t="s">
        <v>113</v>
      </c>
      <c r="C473" s="32">
        <f t="shared" si="272"/>
        <v>-653702</v>
      </c>
      <c r="D473" s="31"/>
      <c r="E473" s="32">
        <f t="shared" si="273"/>
        <v>731000</v>
      </c>
      <c r="F473" s="32"/>
      <c r="G473" s="104"/>
      <c r="H473" s="55">
        <f t="shared" si="274"/>
        <v>0</v>
      </c>
      <c r="I473" s="32">
        <f t="shared" si="275"/>
        <v>51000</v>
      </c>
      <c r="J473" s="30">
        <f t="shared" si="279"/>
        <v>26298</v>
      </c>
      <c r="K473" s="144" t="b">
        <f t="shared" si="277"/>
        <v>1</v>
      </c>
    </row>
    <row r="474" spans="1:11" x14ac:dyDescent="0.3">
      <c r="A474" s="122" t="str">
        <f>+A472</f>
        <v>SEPTEMBRE</v>
      </c>
      <c r="B474" s="128" t="s">
        <v>212</v>
      </c>
      <c r="C474" s="32">
        <f t="shared" si="272"/>
        <v>0</v>
      </c>
      <c r="D474" s="119"/>
      <c r="E474" s="32">
        <f t="shared" si="273"/>
        <v>599500</v>
      </c>
      <c r="F474" s="51"/>
      <c r="G474" s="138"/>
      <c r="H474" s="55">
        <f t="shared" si="274"/>
        <v>35000</v>
      </c>
      <c r="I474" s="32">
        <f t="shared" si="275"/>
        <v>566200</v>
      </c>
      <c r="J474" s="30">
        <f t="shared" si="279"/>
        <v>-1700</v>
      </c>
      <c r="K474" s="144" t="b">
        <f t="shared" si="277"/>
        <v>1</v>
      </c>
    </row>
    <row r="475" spans="1:11" x14ac:dyDescent="0.3">
      <c r="A475" s="34" t="s">
        <v>60</v>
      </c>
      <c r="B475" s="35"/>
      <c r="C475" s="35"/>
      <c r="D475" s="35"/>
      <c r="E475" s="35"/>
      <c r="F475" s="35"/>
      <c r="G475" s="35"/>
      <c r="H475" s="35"/>
      <c r="I475" s="35"/>
      <c r="J475" s="36"/>
      <c r="K475" s="143"/>
    </row>
    <row r="476" spans="1:11" x14ac:dyDescent="0.3">
      <c r="A476" s="122" t="str">
        <f>A474</f>
        <v>SEPTEMBRE</v>
      </c>
      <c r="B476" s="37" t="s">
        <v>61</v>
      </c>
      <c r="C476" s="38">
        <f>+C443</f>
        <v>980042</v>
      </c>
      <c r="D476" s="49"/>
      <c r="E476" s="49">
        <f>D443</f>
        <v>9476115</v>
      </c>
      <c r="F476" s="49"/>
      <c r="G476" s="125"/>
      <c r="H476" s="51">
        <f>+F443</f>
        <v>6926500</v>
      </c>
      <c r="I476" s="126">
        <f>+E443</f>
        <v>2448183</v>
      </c>
      <c r="J476" s="30">
        <f>+SUM(C476:G476)-(H476+I476)</f>
        <v>1081474</v>
      </c>
      <c r="K476" s="144" t="b">
        <f>J476=I443</f>
        <v>1</v>
      </c>
    </row>
    <row r="477" spans="1:11" x14ac:dyDescent="0.3">
      <c r="A477" s="43" t="s">
        <v>62</v>
      </c>
      <c r="B477" s="24"/>
      <c r="C477" s="35"/>
      <c r="D477" s="24"/>
      <c r="E477" s="24"/>
      <c r="F477" s="24"/>
      <c r="G477" s="24"/>
      <c r="H477" s="24"/>
      <c r="I477" s="24"/>
      <c r="J477" s="36"/>
      <c r="K477" s="143"/>
    </row>
    <row r="478" spans="1:11" x14ac:dyDescent="0.3">
      <c r="A478" s="122" t="str">
        <f>+A476</f>
        <v>SEPTEMBRE</v>
      </c>
      <c r="B478" s="37" t="s">
        <v>156</v>
      </c>
      <c r="C478" s="125">
        <f>+C441</f>
        <v>23820820</v>
      </c>
      <c r="D478" s="132">
        <f>+G441</f>
        <v>0</v>
      </c>
      <c r="E478" s="49"/>
      <c r="F478" s="49"/>
      <c r="G478" s="49"/>
      <c r="H478" s="51">
        <f>+F441</f>
        <v>9000000</v>
      </c>
      <c r="I478" s="53">
        <f>+E441</f>
        <v>583345</v>
      </c>
      <c r="J478" s="30">
        <f>+SUM(C478:G478)-(H478+I478)</f>
        <v>14237475</v>
      </c>
      <c r="K478" s="144" t="b">
        <f>+J478=I441</f>
        <v>1</v>
      </c>
    </row>
    <row r="479" spans="1:11" x14ac:dyDescent="0.3">
      <c r="A479" s="122" t="str">
        <f t="shared" ref="A479" si="280">+A478</f>
        <v>SEPTEMBRE</v>
      </c>
      <c r="B479" s="37" t="s">
        <v>64</v>
      </c>
      <c r="C479" s="125">
        <f>+C442</f>
        <v>14424581</v>
      </c>
      <c r="D479" s="49">
        <f>+G442</f>
        <v>0</v>
      </c>
      <c r="E479" s="48"/>
      <c r="F479" s="48"/>
      <c r="G479" s="48"/>
      <c r="H479" s="32">
        <f>+F442</f>
        <v>0</v>
      </c>
      <c r="I479" s="50">
        <f>+E442</f>
        <v>5580520</v>
      </c>
      <c r="J479" s="30">
        <f>SUM(C479:G479)-(H479+I479)</f>
        <v>8844061</v>
      </c>
      <c r="K479" s="144" t="b">
        <f>+J479=I442</f>
        <v>1</v>
      </c>
    </row>
    <row r="480" spans="1:11" ht="15.6" x14ac:dyDescent="0.3">
      <c r="C480" s="141">
        <f>SUM(C465:C479)</f>
        <v>39274294</v>
      </c>
      <c r="I480" s="140">
        <f>SUM(I465:I479)</f>
        <v>13843498</v>
      </c>
      <c r="J480" s="105">
        <f>+SUM(J465:J479)</f>
        <v>25430796</v>
      </c>
      <c r="K480" s="5" t="b">
        <f>J480=I454</f>
        <v>1</v>
      </c>
    </row>
    <row r="481" spans="1:16" ht="15.6" x14ac:dyDescent="0.3">
      <c r="A481" s="160"/>
      <c r="B481" s="160"/>
      <c r="C481" s="161"/>
      <c r="D481" s="160"/>
      <c r="E481" s="160"/>
      <c r="F481" s="160"/>
      <c r="G481" s="160"/>
      <c r="H481" s="160"/>
      <c r="I481" s="162"/>
      <c r="J481" s="163"/>
      <c r="K481" s="160"/>
      <c r="L481" s="164"/>
      <c r="M481" s="164"/>
      <c r="N481" s="164"/>
      <c r="O481" s="164"/>
      <c r="P481" s="160"/>
    </row>
    <row r="482" spans="1:16" ht="15.6" x14ac:dyDescent="0.3">
      <c r="C482" s="141"/>
      <c r="I482" s="140"/>
      <c r="J482" s="105"/>
    </row>
    <row r="483" spans="1:16" ht="15.6" x14ac:dyDescent="0.3">
      <c r="C483" s="141"/>
      <c r="I483" s="140"/>
      <c r="J483" s="105"/>
    </row>
    <row r="484" spans="1:16" ht="15.6" x14ac:dyDescent="0.3">
      <c r="A484" s="6" t="s">
        <v>36</v>
      </c>
      <c r="B484" s="6" t="s">
        <v>1</v>
      </c>
      <c r="C484" s="6">
        <v>44774</v>
      </c>
      <c r="D484" s="7" t="s">
        <v>37</v>
      </c>
      <c r="E484" s="7" t="s">
        <v>38</v>
      </c>
      <c r="F484" s="7" t="s">
        <v>39</v>
      </c>
      <c r="G484" s="7" t="s">
        <v>40</v>
      </c>
      <c r="H484" s="6">
        <v>44804</v>
      </c>
      <c r="I484" s="7" t="s">
        <v>41</v>
      </c>
      <c r="K484" s="45"/>
      <c r="L484" s="45" t="s">
        <v>42</v>
      </c>
      <c r="M484" s="45" t="s">
        <v>43</v>
      </c>
      <c r="N484" s="45" t="s">
        <v>44</v>
      </c>
      <c r="O484" s="45" t="s">
        <v>45</v>
      </c>
    </row>
    <row r="485" spans="1:16" x14ac:dyDescent="0.3">
      <c r="A485" s="58" t="str">
        <f>K485</f>
        <v>BCI</v>
      </c>
      <c r="B485" s="59" t="s">
        <v>46</v>
      </c>
      <c r="C485" s="61">
        <v>168348</v>
      </c>
      <c r="D485" s="61">
        <f>+L485</f>
        <v>0</v>
      </c>
      <c r="E485" s="61">
        <f>+N485</f>
        <v>286008</v>
      </c>
      <c r="F485" s="61">
        <f>+M485</f>
        <v>1000000</v>
      </c>
      <c r="G485" s="61">
        <f t="shared" ref="G485:G495" si="281">+O485</f>
        <v>24938480</v>
      </c>
      <c r="H485" s="61">
        <v>23820820</v>
      </c>
      <c r="I485" s="61">
        <f>+C485+D485-E485-F485+G485</f>
        <v>23820820</v>
      </c>
      <c r="J485" s="9">
        <f>I485-H485</f>
        <v>0</v>
      </c>
      <c r="K485" s="45" t="s">
        <v>24</v>
      </c>
      <c r="L485" s="47">
        <v>0</v>
      </c>
      <c r="M485" s="47">
        <v>1000000</v>
      </c>
      <c r="N485" s="47">
        <v>286008</v>
      </c>
      <c r="O485" s="47">
        <v>24938480</v>
      </c>
    </row>
    <row r="486" spans="1:16" x14ac:dyDescent="0.3">
      <c r="A486" s="58" t="str">
        <f t="shared" ref="A486:A497" si="282">K486</f>
        <v>BCI-Sous Compte</v>
      </c>
      <c r="B486" s="59" t="s">
        <v>46</v>
      </c>
      <c r="C486" s="61">
        <v>21477810</v>
      </c>
      <c r="D486" s="61">
        <f t="shared" ref="D486:D497" si="283">+L486</f>
        <v>0</v>
      </c>
      <c r="E486" s="61">
        <f t="shared" ref="E486:E497" si="284">+N486</f>
        <v>4453229</v>
      </c>
      <c r="F486" s="61">
        <f t="shared" ref="F486:F497" si="285">+M486</f>
        <v>2600000</v>
      </c>
      <c r="G486" s="61">
        <f t="shared" si="281"/>
        <v>0</v>
      </c>
      <c r="H486" s="61">
        <v>14424581</v>
      </c>
      <c r="I486" s="61">
        <f>+C486+D486-E486-F486+G486</f>
        <v>14424581</v>
      </c>
      <c r="J486" s="9">
        <f t="shared" ref="J486:J492" si="286">I486-H486</f>
        <v>0</v>
      </c>
      <c r="K486" s="45" t="s">
        <v>148</v>
      </c>
      <c r="L486" s="46">
        <v>0</v>
      </c>
      <c r="M486" s="47">
        <v>2600000</v>
      </c>
      <c r="N486" s="47">
        <v>4453229</v>
      </c>
      <c r="O486" s="47">
        <v>0</v>
      </c>
    </row>
    <row r="487" spans="1:16" x14ac:dyDescent="0.3">
      <c r="A487" s="58" t="str">
        <f t="shared" si="282"/>
        <v>Caisse</v>
      </c>
      <c r="B487" s="59" t="s">
        <v>25</v>
      </c>
      <c r="C487" s="61">
        <v>103032</v>
      </c>
      <c r="D487" s="61">
        <f t="shared" si="283"/>
        <v>3946550</v>
      </c>
      <c r="E487" s="61">
        <f t="shared" si="284"/>
        <v>994290</v>
      </c>
      <c r="F487" s="61">
        <f t="shared" si="285"/>
        <v>2075250</v>
      </c>
      <c r="G487" s="61">
        <f t="shared" si="281"/>
        <v>0</v>
      </c>
      <c r="H487" s="61">
        <v>980042</v>
      </c>
      <c r="I487" s="61">
        <f>+C487+D487-E487-F487+G487</f>
        <v>980042</v>
      </c>
      <c r="J487" s="102">
        <f t="shared" si="286"/>
        <v>0</v>
      </c>
      <c r="K487" s="45" t="s">
        <v>25</v>
      </c>
      <c r="L487" s="47">
        <v>3946550</v>
      </c>
      <c r="M487" s="47">
        <v>2075250</v>
      </c>
      <c r="N487" s="47">
        <v>994290</v>
      </c>
      <c r="O487" s="47">
        <v>0</v>
      </c>
    </row>
    <row r="488" spans="1:16" x14ac:dyDescent="0.3">
      <c r="A488" s="58" t="str">
        <f t="shared" si="282"/>
        <v>Crépin</v>
      </c>
      <c r="B488" s="59" t="s">
        <v>154</v>
      </c>
      <c r="C488" s="61">
        <v>-5640</v>
      </c>
      <c r="D488" s="61">
        <f t="shared" si="283"/>
        <v>600250</v>
      </c>
      <c r="E488" s="61">
        <f t="shared" si="284"/>
        <v>421700</v>
      </c>
      <c r="F488" s="61">
        <f t="shared" si="285"/>
        <v>107000</v>
      </c>
      <c r="G488" s="61">
        <f t="shared" si="281"/>
        <v>0</v>
      </c>
      <c r="H488" s="61">
        <v>65910</v>
      </c>
      <c r="I488" s="61">
        <f>+C488+D488-E488-F488+G488</f>
        <v>65910</v>
      </c>
      <c r="J488" s="9">
        <f t="shared" si="286"/>
        <v>0</v>
      </c>
      <c r="K488" s="45" t="s">
        <v>47</v>
      </c>
      <c r="L488" s="47">
        <v>600250</v>
      </c>
      <c r="M488" s="47">
        <v>107000</v>
      </c>
      <c r="N488" s="47">
        <v>421700</v>
      </c>
      <c r="O488" s="47">
        <v>0</v>
      </c>
    </row>
    <row r="489" spans="1:16" x14ac:dyDescent="0.3">
      <c r="A489" s="58" t="str">
        <f t="shared" si="282"/>
        <v>Evariste</v>
      </c>
      <c r="B489" s="59" t="s">
        <v>155</v>
      </c>
      <c r="C489" s="61">
        <v>4795</v>
      </c>
      <c r="D489" s="61">
        <f t="shared" si="283"/>
        <v>0</v>
      </c>
      <c r="E489" s="61">
        <f t="shared" si="284"/>
        <v>0</v>
      </c>
      <c r="F489" s="61">
        <f t="shared" si="285"/>
        <v>0</v>
      </c>
      <c r="G489" s="61">
        <f t="shared" si="281"/>
        <v>0</v>
      </c>
      <c r="H489" s="61">
        <v>4795</v>
      </c>
      <c r="I489" s="61">
        <f t="shared" ref="I489" si="287">+C489+D489-E489-F489+G489</f>
        <v>4795</v>
      </c>
      <c r="J489" s="9">
        <f t="shared" si="286"/>
        <v>0</v>
      </c>
      <c r="K489" s="45" t="s">
        <v>31</v>
      </c>
      <c r="L489" s="47">
        <v>0</v>
      </c>
      <c r="M489" s="47">
        <v>0</v>
      </c>
      <c r="N489" s="47">
        <v>0</v>
      </c>
      <c r="O489" s="47">
        <v>0</v>
      </c>
    </row>
    <row r="490" spans="1:16" x14ac:dyDescent="0.3">
      <c r="A490" s="58" t="str">
        <f t="shared" si="282"/>
        <v>I55S</v>
      </c>
      <c r="B490" s="116" t="s">
        <v>4</v>
      </c>
      <c r="C490" s="118">
        <v>233614</v>
      </c>
      <c r="D490" s="118">
        <f t="shared" si="283"/>
        <v>0</v>
      </c>
      <c r="E490" s="118">
        <f t="shared" si="284"/>
        <v>0</v>
      </c>
      <c r="F490" s="118">
        <f t="shared" si="285"/>
        <v>0</v>
      </c>
      <c r="G490" s="118">
        <f t="shared" si="281"/>
        <v>0</v>
      </c>
      <c r="H490" s="118">
        <v>233614</v>
      </c>
      <c r="I490" s="118">
        <f>+C490+D490-E490-F490+G490</f>
        <v>233614</v>
      </c>
      <c r="J490" s="9">
        <f t="shared" si="286"/>
        <v>0</v>
      </c>
      <c r="K490" s="45" t="s">
        <v>84</v>
      </c>
      <c r="L490" s="47">
        <v>0</v>
      </c>
      <c r="M490" s="47">
        <v>0</v>
      </c>
      <c r="N490" s="47">
        <v>0</v>
      </c>
      <c r="O490" s="47">
        <v>0</v>
      </c>
    </row>
    <row r="491" spans="1:16" x14ac:dyDescent="0.3">
      <c r="A491" s="58" t="str">
        <f t="shared" si="282"/>
        <v>I73X</v>
      </c>
      <c r="B491" s="116" t="s">
        <v>4</v>
      </c>
      <c r="C491" s="118">
        <v>249769</v>
      </c>
      <c r="D491" s="118">
        <f t="shared" si="283"/>
        <v>0</v>
      </c>
      <c r="E491" s="118">
        <f t="shared" si="284"/>
        <v>0</v>
      </c>
      <c r="F491" s="118">
        <f t="shared" si="285"/>
        <v>0</v>
      </c>
      <c r="G491" s="118">
        <f t="shared" si="281"/>
        <v>0</v>
      </c>
      <c r="H491" s="118">
        <v>249769</v>
      </c>
      <c r="I491" s="118">
        <f t="shared" ref="I491:I494" si="288">+C491+D491-E491-F491+G491</f>
        <v>249769</v>
      </c>
      <c r="J491" s="9">
        <f t="shared" si="286"/>
        <v>0</v>
      </c>
      <c r="K491" s="45" t="s">
        <v>83</v>
      </c>
      <c r="L491" s="47">
        <v>0</v>
      </c>
      <c r="M491" s="47">
        <v>0</v>
      </c>
      <c r="N491" s="47">
        <v>0</v>
      </c>
      <c r="O491" s="47">
        <v>0</v>
      </c>
    </row>
    <row r="492" spans="1:16" x14ac:dyDescent="0.3">
      <c r="A492" s="58" t="str">
        <f t="shared" si="282"/>
        <v>Grace</v>
      </c>
      <c r="B492" s="98" t="s">
        <v>2</v>
      </c>
      <c r="C492" s="61">
        <v>18815</v>
      </c>
      <c r="D492" s="61">
        <f t="shared" si="283"/>
        <v>105000</v>
      </c>
      <c r="E492" s="61">
        <f t="shared" si="284"/>
        <v>7000</v>
      </c>
      <c r="F492" s="61">
        <f t="shared" si="285"/>
        <v>0</v>
      </c>
      <c r="G492" s="61">
        <f t="shared" si="281"/>
        <v>0</v>
      </c>
      <c r="H492" s="61">
        <v>116815</v>
      </c>
      <c r="I492" s="61">
        <f t="shared" si="288"/>
        <v>116815</v>
      </c>
      <c r="J492" s="9">
        <f t="shared" si="286"/>
        <v>0</v>
      </c>
      <c r="K492" s="45" t="s">
        <v>143</v>
      </c>
      <c r="L492" s="47">
        <v>105000</v>
      </c>
      <c r="M492" s="47">
        <v>0</v>
      </c>
      <c r="N492" s="47">
        <v>7000</v>
      </c>
      <c r="O492" s="47">
        <v>0</v>
      </c>
    </row>
    <row r="493" spans="1:16" s="188" customFormat="1" ht="15.6" x14ac:dyDescent="0.3">
      <c r="A493" s="182" t="str">
        <f t="shared" si="282"/>
        <v>Hurielle</v>
      </c>
      <c r="B493" s="183" t="s">
        <v>154</v>
      </c>
      <c r="C493" s="184">
        <v>36500</v>
      </c>
      <c r="D493" s="184">
        <f t="shared" si="283"/>
        <v>266000</v>
      </c>
      <c r="E493" s="184">
        <f t="shared" si="284"/>
        <v>213800</v>
      </c>
      <c r="F493" s="184">
        <f t="shared" si="285"/>
        <v>88000</v>
      </c>
      <c r="G493" s="184">
        <f t="shared" si="281"/>
        <v>0</v>
      </c>
      <c r="H493" s="184">
        <v>700</v>
      </c>
      <c r="I493" s="184">
        <f t="shared" si="288"/>
        <v>700</v>
      </c>
      <c r="J493" s="185">
        <f>I493-H493</f>
        <v>0</v>
      </c>
      <c r="K493" s="186" t="s">
        <v>197</v>
      </c>
      <c r="L493" s="187">
        <v>266000</v>
      </c>
      <c r="M493" s="187">
        <v>88000</v>
      </c>
      <c r="N493" s="187">
        <v>213800</v>
      </c>
      <c r="O493" s="187">
        <v>0</v>
      </c>
    </row>
    <row r="494" spans="1:16" x14ac:dyDescent="0.3">
      <c r="A494" s="58" t="str">
        <f t="shared" si="282"/>
        <v>I23C</v>
      </c>
      <c r="B494" s="98" t="s">
        <v>4</v>
      </c>
      <c r="C494" s="61">
        <v>79550</v>
      </c>
      <c r="D494" s="61">
        <f t="shared" si="283"/>
        <v>506000</v>
      </c>
      <c r="E494" s="61">
        <f t="shared" si="284"/>
        <v>484000</v>
      </c>
      <c r="F494" s="61">
        <f t="shared" si="285"/>
        <v>101550</v>
      </c>
      <c r="G494" s="61">
        <f t="shared" si="281"/>
        <v>0</v>
      </c>
      <c r="H494" s="61">
        <v>0</v>
      </c>
      <c r="I494" s="61">
        <f t="shared" si="288"/>
        <v>0</v>
      </c>
      <c r="J494" s="9">
        <f t="shared" ref="J494:J495" si="289">I494-H494</f>
        <v>0</v>
      </c>
      <c r="K494" s="45" t="s">
        <v>30</v>
      </c>
      <c r="L494" s="47">
        <v>506000</v>
      </c>
      <c r="M494" s="47">
        <v>101550</v>
      </c>
      <c r="N494" s="47">
        <v>484000</v>
      </c>
      <c r="O494" s="47">
        <v>0</v>
      </c>
    </row>
    <row r="495" spans="1:16" x14ac:dyDescent="0.3">
      <c r="A495" s="58" t="str">
        <f t="shared" si="282"/>
        <v>Merveille</v>
      </c>
      <c r="B495" s="59" t="s">
        <v>2</v>
      </c>
      <c r="C495" s="61">
        <v>5900</v>
      </c>
      <c r="D495" s="61">
        <f t="shared" si="283"/>
        <v>20000</v>
      </c>
      <c r="E495" s="61">
        <f t="shared" si="284"/>
        <v>19000</v>
      </c>
      <c r="F495" s="61">
        <f t="shared" si="285"/>
        <v>0</v>
      </c>
      <c r="G495" s="61">
        <f t="shared" si="281"/>
        <v>0</v>
      </c>
      <c r="H495" s="61">
        <v>6900</v>
      </c>
      <c r="I495" s="61">
        <f>+C495+D495-E495-F495+G495</f>
        <v>6900</v>
      </c>
      <c r="J495" s="9">
        <f t="shared" si="289"/>
        <v>0</v>
      </c>
      <c r="K495" s="45" t="s">
        <v>93</v>
      </c>
      <c r="L495" s="47">
        <v>20000</v>
      </c>
      <c r="M495" s="47">
        <v>0</v>
      </c>
      <c r="N495" s="47">
        <v>19000</v>
      </c>
      <c r="O495" s="47">
        <v>0</v>
      </c>
    </row>
    <row r="496" spans="1:16" x14ac:dyDescent="0.3">
      <c r="A496" s="58" t="str">
        <f t="shared" si="282"/>
        <v>P29</v>
      </c>
      <c r="B496" s="59" t="s">
        <v>4</v>
      </c>
      <c r="C496" s="61">
        <v>29850</v>
      </c>
      <c r="D496" s="61">
        <f t="shared" si="283"/>
        <v>578000</v>
      </c>
      <c r="E496" s="61">
        <f t="shared" si="284"/>
        <v>533800</v>
      </c>
      <c r="F496" s="61">
        <f t="shared" si="285"/>
        <v>50000</v>
      </c>
      <c r="G496" s="61">
        <f>+O496</f>
        <v>0</v>
      </c>
      <c r="H496" s="61">
        <v>24050</v>
      </c>
      <c r="I496" s="61">
        <f>+C496+D496-E496-F496+G496</f>
        <v>24050</v>
      </c>
      <c r="J496" s="9">
        <f>I496-H496</f>
        <v>0</v>
      </c>
      <c r="K496" s="45" t="s">
        <v>29</v>
      </c>
      <c r="L496" s="47">
        <v>578000</v>
      </c>
      <c r="M496" s="47">
        <v>50000</v>
      </c>
      <c r="N496" s="47">
        <v>533800</v>
      </c>
      <c r="O496" s="47">
        <v>0</v>
      </c>
    </row>
    <row r="497" spans="1:15" x14ac:dyDescent="0.3">
      <c r="A497" s="58" t="str">
        <f t="shared" si="282"/>
        <v>Tiffany</v>
      </c>
      <c r="B497" s="59" t="s">
        <v>2</v>
      </c>
      <c r="C497" s="61">
        <v>1123541</v>
      </c>
      <c r="D497" s="61">
        <f t="shared" si="283"/>
        <v>0</v>
      </c>
      <c r="E497" s="61">
        <f t="shared" si="284"/>
        <v>1777243</v>
      </c>
      <c r="F497" s="61">
        <f t="shared" si="285"/>
        <v>0</v>
      </c>
      <c r="G497" s="61">
        <f t="shared" ref="G497" si="290">+O497</f>
        <v>0</v>
      </c>
      <c r="H497" s="61">
        <v>-653702</v>
      </c>
      <c r="I497" s="61">
        <f t="shared" ref="I497" si="291">+C497+D497-E497-F497+G497</f>
        <v>-653702</v>
      </c>
      <c r="J497" s="9">
        <f t="shared" ref="J497" si="292">I497-H497</f>
        <v>0</v>
      </c>
      <c r="K497" s="45" t="s">
        <v>113</v>
      </c>
      <c r="L497" s="47">
        <v>0</v>
      </c>
      <c r="M497" s="47">
        <v>0</v>
      </c>
      <c r="N497" s="47">
        <v>1777243</v>
      </c>
      <c r="O497" s="47">
        <v>0</v>
      </c>
    </row>
    <row r="498" spans="1:15" x14ac:dyDescent="0.3">
      <c r="A498" s="10" t="s">
        <v>50</v>
      </c>
      <c r="B498" s="11"/>
      <c r="C498" s="12">
        <f t="shared" ref="C498:I498" si="293">SUM(C485:C497)</f>
        <v>23525884</v>
      </c>
      <c r="D498" s="57">
        <f t="shared" si="293"/>
        <v>6021800</v>
      </c>
      <c r="E498" s="57">
        <f t="shared" si="293"/>
        <v>9190070</v>
      </c>
      <c r="F498" s="57">
        <f t="shared" si="293"/>
        <v>6021800</v>
      </c>
      <c r="G498" s="57">
        <f t="shared" si="293"/>
        <v>24938480</v>
      </c>
      <c r="H498" s="57">
        <f t="shared" si="293"/>
        <v>39274294</v>
      </c>
      <c r="I498" s="57">
        <f t="shared" si="293"/>
        <v>39274294</v>
      </c>
      <c r="J498" s="9">
        <f>I498-H498</f>
        <v>0</v>
      </c>
      <c r="K498" s="3"/>
      <c r="L498" s="47">
        <f>+SUM(L485:L497)</f>
        <v>6021800</v>
      </c>
      <c r="M498" s="47">
        <f>+SUM(M485:M497)</f>
        <v>6021800</v>
      </c>
      <c r="N498" s="47">
        <f>+SUM(N485:N497)</f>
        <v>9190070</v>
      </c>
      <c r="O498" s="47">
        <f>+SUM(O485:O497)</f>
        <v>24938480</v>
      </c>
    </row>
    <row r="499" spans="1:15" x14ac:dyDescent="0.3">
      <c r="A499" s="10"/>
      <c r="B499" s="11"/>
      <c r="C499" s="12"/>
      <c r="D499" s="13"/>
      <c r="E499" s="12"/>
      <c r="F499" s="13"/>
      <c r="G499" s="12"/>
      <c r="H499" s="12"/>
      <c r="I499" s="134" t="b">
        <f>I498=D501</f>
        <v>1</v>
      </c>
      <c r="L499" s="5"/>
      <c r="M499" s="5"/>
      <c r="N499" s="5"/>
      <c r="O499" s="5"/>
    </row>
    <row r="500" spans="1:15" x14ac:dyDescent="0.3">
      <c r="A500" s="10" t="s">
        <v>231</v>
      </c>
      <c r="B500" s="11" t="s">
        <v>232</v>
      </c>
      <c r="C500" s="12" t="s">
        <v>233</v>
      </c>
      <c r="D500" s="12" t="s">
        <v>234</v>
      </c>
      <c r="E500" s="12" t="s">
        <v>51</v>
      </c>
      <c r="F500" s="12"/>
      <c r="G500" s="12">
        <f>+D498-F498</f>
        <v>0</v>
      </c>
      <c r="H500" s="12"/>
      <c r="I500" s="12"/>
    </row>
    <row r="501" spans="1:15" x14ac:dyDescent="0.3">
      <c r="A501" s="14">
        <f>C498</f>
        <v>23525884</v>
      </c>
      <c r="B501" s="15">
        <f>G498</f>
        <v>24938480</v>
      </c>
      <c r="C501" s="12">
        <f>E498</f>
        <v>9190070</v>
      </c>
      <c r="D501" s="12">
        <f>A501+B501-C501</f>
        <v>39274294</v>
      </c>
      <c r="E501" s="13">
        <f>I498-D501</f>
        <v>0</v>
      </c>
      <c r="F501" s="12"/>
      <c r="G501" s="12"/>
      <c r="H501" s="12"/>
      <c r="I501" s="12"/>
    </row>
    <row r="502" spans="1:15" x14ac:dyDescent="0.3">
      <c r="A502" s="14"/>
      <c r="B502" s="15"/>
      <c r="C502" s="12"/>
      <c r="D502" s="12"/>
      <c r="E502" s="13"/>
      <c r="F502" s="12"/>
      <c r="G502" s="12"/>
      <c r="H502" s="12"/>
      <c r="I502" s="12"/>
    </row>
    <row r="503" spans="1:15" x14ac:dyDescent="0.3">
      <c r="A503" s="16" t="s">
        <v>52</v>
      </c>
      <c r="B503" s="16"/>
      <c r="C503" s="16"/>
      <c r="D503" s="17"/>
      <c r="E503" s="17"/>
      <c r="F503" s="17"/>
      <c r="G503" s="17"/>
      <c r="H503" s="17"/>
      <c r="I503" s="17"/>
    </row>
    <row r="504" spans="1:15" x14ac:dyDescent="0.3">
      <c r="A504" s="18" t="s">
        <v>236</v>
      </c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5" x14ac:dyDescent="0.3">
      <c r="A505" s="19"/>
      <c r="B505" s="17"/>
      <c r="C505" s="20"/>
      <c r="D505" s="20"/>
      <c r="E505" s="20"/>
      <c r="F505" s="20"/>
      <c r="G505" s="20"/>
      <c r="H505" s="17"/>
      <c r="I505" s="17"/>
    </row>
    <row r="506" spans="1:15" x14ac:dyDescent="0.3">
      <c r="A506" s="169" t="s">
        <v>53</v>
      </c>
      <c r="B506" s="171" t="s">
        <v>54</v>
      </c>
      <c r="C506" s="173" t="s">
        <v>237</v>
      </c>
      <c r="D506" s="174" t="s">
        <v>55</v>
      </c>
      <c r="E506" s="175"/>
      <c r="F506" s="175"/>
      <c r="G506" s="176"/>
      <c r="H506" s="177" t="s">
        <v>56</v>
      </c>
      <c r="I506" s="165" t="s">
        <v>57</v>
      </c>
      <c r="J506" s="17"/>
    </row>
    <row r="507" spans="1:15" ht="28.5" customHeight="1" x14ac:dyDescent="0.3">
      <c r="A507" s="170"/>
      <c r="B507" s="172"/>
      <c r="C507" s="22"/>
      <c r="D507" s="21" t="s">
        <v>24</v>
      </c>
      <c r="E507" s="21" t="s">
        <v>25</v>
      </c>
      <c r="F507" s="22" t="s">
        <v>123</v>
      </c>
      <c r="G507" s="21" t="s">
        <v>58</v>
      </c>
      <c r="H507" s="178"/>
      <c r="I507" s="166"/>
      <c r="J507" s="167" t="s">
        <v>238</v>
      </c>
      <c r="K507" s="143"/>
    </row>
    <row r="508" spans="1:15" x14ac:dyDescent="0.3">
      <c r="A508" s="23"/>
      <c r="B508" s="24" t="s">
        <v>59</v>
      </c>
      <c r="C508" s="25"/>
      <c r="D508" s="25"/>
      <c r="E508" s="25"/>
      <c r="F508" s="25"/>
      <c r="G508" s="25"/>
      <c r="H508" s="25"/>
      <c r="I508" s="26"/>
      <c r="J508" s="168"/>
      <c r="K508" s="143"/>
    </row>
    <row r="509" spans="1:15" x14ac:dyDescent="0.3">
      <c r="A509" s="122" t="s">
        <v>139</v>
      </c>
      <c r="B509" s="127" t="s">
        <v>47</v>
      </c>
      <c r="C509" s="32">
        <f t="shared" ref="C509:C518" si="294">+C488</f>
        <v>-5640</v>
      </c>
      <c r="D509" s="31"/>
      <c r="E509" s="32">
        <f t="shared" ref="E509:E518" si="295">+D488</f>
        <v>600250</v>
      </c>
      <c r="F509" s="32"/>
      <c r="G509" s="32"/>
      <c r="H509" s="55">
        <f t="shared" ref="H509:H518" si="296">+F488</f>
        <v>107000</v>
      </c>
      <c r="I509" s="32">
        <f t="shared" ref="I509:I518" si="297">+E488</f>
        <v>421700</v>
      </c>
      <c r="J509" s="30">
        <f t="shared" ref="J509:J510" si="298">+SUM(C509:G509)-(H509+I509)</f>
        <v>65910</v>
      </c>
      <c r="K509" s="144" t="b">
        <f t="shared" ref="K509:K518" si="299">J509=I488</f>
        <v>1</v>
      </c>
    </row>
    <row r="510" spans="1:15" x14ac:dyDescent="0.3">
      <c r="A510" s="122" t="str">
        <f>+A509</f>
        <v>AOUT</v>
      </c>
      <c r="B510" s="127" t="s">
        <v>31</v>
      </c>
      <c r="C510" s="32">
        <f t="shared" si="294"/>
        <v>4795</v>
      </c>
      <c r="D510" s="31"/>
      <c r="E510" s="32">
        <f t="shared" si="295"/>
        <v>0</v>
      </c>
      <c r="F510" s="32"/>
      <c r="G510" s="32"/>
      <c r="H510" s="55">
        <f t="shared" si="296"/>
        <v>0</v>
      </c>
      <c r="I510" s="32">
        <f t="shared" si="297"/>
        <v>0</v>
      </c>
      <c r="J510" s="101">
        <f t="shared" si="298"/>
        <v>4795</v>
      </c>
      <c r="K510" s="144" t="b">
        <f t="shared" si="299"/>
        <v>1</v>
      </c>
    </row>
    <row r="511" spans="1:15" x14ac:dyDescent="0.3">
      <c r="A511" s="122" t="str">
        <f t="shared" ref="A511:A515" si="300">+A510</f>
        <v>AOUT</v>
      </c>
      <c r="B511" s="129" t="s">
        <v>84</v>
      </c>
      <c r="C511" s="120">
        <f t="shared" si="294"/>
        <v>233614</v>
      </c>
      <c r="D511" s="123"/>
      <c r="E511" s="120">
        <f t="shared" si="295"/>
        <v>0</v>
      </c>
      <c r="F511" s="137"/>
      <c r="G511" s="137"/>
      <c r="H511" s="155">
        <f t="shared" si="296"/>
        <v>0</v>
      </c>
      <c r="I511" s="120">
        <f t="shared" si="297"/>
        <v>0</v>
      </c>
      <c r="J511" s="121">
        <f>+SUM(C511:G511)-(H511+I511)</f>
        <v>233614</v>
      </c>
      <c r="K511" s="144" t="b">
        <f t="shared" si="299"/>
        <v>1</v>
      </c>
    </row>
    <row r="512" spans="1:15" x14ac:dyDescent="0.3">
      <c r="A512" s="122" t="str">
        <f t="shared" si="300"/>
        <v>AOUT</v>
      </c>
      <c r="B512" s="129" t="s">
        <v>83</v>
      </c>
      <c r="C512" s="120">
        <f t="shared" si="294"/>
        <v>249769</v>
      </c>
      <c r="D512" s="123"/>
      <c r="E512" s="120">
        <f t="shared" si="295"/>
        <v>0</v>
      </c>
      <c r="F512" s="137"/>
      <c r="G512" s="137"/>
      <c r="H512" s="155">
        <f t="shared" si="296"/>
        <v>0</v>
      </c>
      <c r="I512" s="120">
        <f t="shared" si="297"/>
        <v>0</v>
      </c>
      <c r="J512" s="121">
        <f t="shared" ref="J512:J518" si="301">+SUM(C512:G512)-(H512+I512)</f>
        <v>249769</v>
      </c>
      <c r="K512" s="144" t="b">
        <f t="shared" si="299"/>
        <v>1</v>
      </c>
    </row>
    <row r="513" spans="1:16" x14ac:dyDescent="0.3">
      <c r="A513" s="122" t="str">
        <f t="shared" si="300"/>
        <v>AOUT</v>
      </c>
      <c r="B513" s="127" t="s">
        <v>143</v>
      </c>
      <c r="C513" s="32">
        <f t="shared" si="294"/>
        <v>18815</v>
      </c>
      <c r="D513" s="31"/>
      <c r="E513" s="32">
        <f t="shared" si="295"/>
        <v>105000</v>
      </c>
      <c r="F513" s="32"/>
      <c r="G513" s="104"/>
      <c r="H513" s="55">
        <f t="shared" si="296"/>
        <v>0</v>
      </c>
      <c r="I513" s="32">
        <f t="shared" si="297"/>
        <v>7000</v>
      </c>
      <c r="J513" s="30">
        <f t="shared" si="301"/>
        <v>116815</v>
      </c>
      <c r="K513" s="144" t="b">
        <f t="shared" si="299"/>
        <v>1</v>
      </c>
    </row>
    <row r="514" spans="1:16" x14ac:dyDescent="0.3">
      <c r="A514" s="122" t="str">
        <f t="shared" si="300"/>
        <v>AOUT</v>
      </c>
      <c r="B514" s="127" t="s">
        <v>197</v>
      </c>
      <c r="C514" s="32">
        <f t="shared" si="294"/>
        <v>36500</v>
      </c>
      <c r="D514" s="31"/>
      <c r="E514" s="32">
        <f t="shared" si="295"/>
        <v>266000</v>
      </c>
      <c r="F514" s="32"/>
      <c r="G514" s="104"/>
      <c r="H514" s="55">
        <f t="shared" si="296"/>
        <v>88000</v>
      </c>
      <c r="I514" s="32">
        <f t="shared" si="297"/>
        <v>213800</v>
      </c>
      <c r="J514" s="30">
        <f t="shared" si="301"/>
        <v>700</v>
      </c>
      <c r="K514" s="144" t="b">
        <f t="shared" si="299"/>
        <v>1</v>
      </c>
    </row>
    <row r="515" spans="1:16" x14ac:dyDescent="0.3">
      <c r="A515" s="122" t="str">
        <f t="shared" si="300"/>
        <v>AOUT</v>
      </c>
      <c r="B515" s="127" t="s">
        <v>30</v>
      </c>
      <c r="C515" s="32">
        <f t="shared" si="294"/>
        <v>79550</v>
      </c>
      <c r="D515" s="31"/>
      <c r="E515" s="32">
        <f t="shared" si="295"/>
        <v>506000</v>
      </c>
      <c r="F515" s="32"/>
      <c r="G515" s="104"/>
      <c r="H515" s="55">
        <f t="shared" si="296"/>
        <v>101550</v>
      </c>
      <c r="I515" s="32">
        <f t="shared" si="297"/>
        <v>484000</v>
      </c>
      <c r="J515" s="30">
        <f t="shared" si="301"/>
        <v>0</v>
      </c>
      <c r="K515" s="144" t="b">
        <f t="shared" si="299"/>
        <v>1</v>
      </c>
    </row>
    <row r="516" spans="1:16" x14ac:dyDescent="0.3">
      <c r="A516" s="122" t="str">
        <f>+A514</f>
        <v>AOUT</v>
      </c>
      <c r="B516" s="127" t="s">
        <v>93</v>
      </c>
      <c r="C516" s="32">
        <f t="shared" si="294"/>
        <v>5900</v>
      </c>
      <c r="D516" s="31"/>
      <c r="E516" s="32">
        <f t="shared" si="295"/>
        <v>20000</v>
      </c>
      <c r="F516" s="32"/>
      <c r="G516" s="104"/>
      <c r="H516" s="55">
        <f t="shared" si="296"/>
        <v>0</v>
      </c>
      <c r="I516" s="32">
        <f t="shared" si="297"/>
        <v>19000</v>
      </c>
      <c r="J516" s="30">
        <f t="shared" si="301"/>
        <v>6900</v>
      </c>
      <c r="K516" s="144" t="b">
        <f t="shared" si="299"/>
        <v>1</v>
      </c>
    </row>
    <row r="517" spans="1:16" x14ac:dyDescent="0.3">
      <c r="A517" s="122" t="str">
        <f>+A515</f>
        <v>AOUT</v>
      </c>
      <c r="B517" s="127" t="s">
        <v>29</v>
      </c>
      <c r="C517" s="32">
        <f t="shared" si="294"/>
        <v>29850</v>
      </c>
      <c r="D517" s="31"/>
      <c r="E517" s="32">
        <f t="shared" si="295"/>
        <v>578000</v>
      </c>
      <c r="F517" s="32"/>
      <c r="G517" s="104"/>
      <c r="H517" s="55">
        <f t="shared" si="296"/>
        <v>50000</v>
      </c>
      <c r="I517" s="32">
        <f t="shared" si="297"/>
        <v>533800</v>
      </c>
      <c r="J517" s="30">
        <f t="shared" si="301"/>
        <v>24050</v>
      </c>
      <c r="K517" s="144" t="b">
        <f t="shared" si="299"/>
        <v>1</v>
      </c>
    </row>
    <row r="518" spans="1:16" x14ac:dyDescent="0.3">
      <c r="A518" s="122" t="str">
        <f>+A516</f>
        <v>AOUT</v>
      </c>
      <c r="B518" s="128" t="s">
        <v>113</v>
      </c>
      <c r="C518" s="32">
        <f t="shared" si="294"/>
        <v>1123541</v>
      </c>
      <c r="D518" s="119"/>
      <c r="E518" s="32">
        <f t="shared" si="295"/>
        <v>0</v>
      </c>
      <c r="F518" s="51"/>
      <c r="G518" s="138"/>
      <c r="H518" s="55">
        <f t="shared" si="296"/>
        <v>0</v>
      </c>
      <c r="I518" s="32">
        <f t="shared" si="297"/>
        <v>1777243</v>
      </c>
      <c r="J518" s="30">
        <f t="shared" si="301"/>
        <v>-653702</v>
      </c>
      <c r="K518" s="144" t="b">
        <f t="shared" si="299"/>
        <v>1</v>
      </c>
    </row>
    <row r="519" spans="1:16" x14ac:dyDescent="0.3">
      <c r="A519" s="34" t="s">
        <v>60</v>
      </c>
      <c r="B519" s="35"/>
      <c r="C519" s="35"/>
      <c r="D519" s="35"/>
      <c r="E519" s="35"/>
      <c r="F519" s="35"/>
      <c r="G519" s="35"/>
      <c r="H519" s="35"/>
      <c r="I519" s="35"/>
      <c r="J519" s="36"/>
      <c r="K519" s="143"/>
    </row>
    <row r="520" spans="1:16" x14ac:dyDescent="0.3">
      <c r="A520" s="122" t="str">
        <f>A518</f>
        <v>AOUT</v>
      </c>
      <c r="B520" s="37" t="s">
        <v>61</v>
      </c>
      <c r="C520" s="38">
        <f>+C487</f>
        <v>103032</v>
      </c>
      <c r="D520" s="49"/>
      <c r="E520" s="49">
        <f>D487</f>
        <v>3946550</v>
      </c>
      <c r="F520" s="49"/>
      <c r="G520" s="125"/>
      <c r="H520" s="51">
        <f>+F487</f>
        <v>2075250</v>
      </c>
      <c r="I520" s="126">
        <f>+E487</f>
        <v>994290</v>
      </c>
      <c r="J520" s="30">
        <f>+SUM(C520:G520)-(H520+I520)</f>
        <v>980042</v>
      </c>
      <c r="K520" s="144" t="b">
        <f>J520=I487</f>
        <v>1</v>
      </c>
    </row>
    <row r="521" spans="1:16" x14ac:dyDescent="0.3">
      <c r="A521" s="43" t="s">
        <v>62</v>
      </c>
      <c r="B521" s="24"/>
      <c r="C521" s="35"/>
      <c r="D521" s="24"/>
      <c r="E521" s="24"/>
      <c r="F521" s="24"/>
      <c r="G521" s="24"/>
      <c r="H521" s="24"/>
      <c r="I521" s="24"/>
      <c r="J521" s="36"/>
      <c r="K521" s="143"/>
    </row>
    <row r="522" spans="1:16" x14ac:dyDescent="0.3">
      <c r="A522" s="122" t="str">
        <f>+A520</f>
        <v>AOUT</v>
      </c>
      <c r="B522" s="37" t="s">
        <v>156</v>
      </c>
      <c r="C522" s="125">
        <f>+C485</f>
        <v>168348</v>
      </c>
      <c r="D522" s="132">
        <f>+G485</f>
        <v>24938480</v>
      </c>
      <c r="E522" s="49"/>
      <c r="F522" s="49"/>
      <c r="G522" s="49"/>
      <c r="H522" s="51">
        <f>+F485</f>
        <v>1000000</v>
      </c>
      <c r="I522" s="53">
        <f>+E485</f>
        <v>286008</v>
      </c>
      <c r="J522" s="30">
        <f>+SUM(C522:G522)-(H522+I522)</f>
        <v>23820820</v>
      </c>
      <c r="K522" s="144" t="b">
        <f>+J522=I485</f>
        <v>1</v>
      </c>
    </row>
    <row r="523" spans="1:16" x14ac:dyDescent="0.3">
      <c r="A523" s="122" t="str">
        <f t="shared" ref="A523" si="302">+A522</f>
        <v>AOUT</v>
      </c>
      <c r="B523" s="37" t="s">
        <v>64</v>
      </c>
      <c r="C523" s="125">
        <f>+C486</f>
        <v>21477810</v>
      </c>
      <c r="D523" s="49">
        <f>+G486</f>
        <v>0</v>
      </c>
      <c r="E523" s="48"/>
      <c r="F523" s="48"/>
      <c r="G523" s="48"/>
      <c r="H523" s="32">
        <f>+F486</f>
        <v>2600000</v>
      </c>
      <c r="I523" s="50">
        <f>+E486</f>
        <v>4453229</v>
      </c>
      <c r="J523" s="30">
        <f>SUM(C523:G523)-(H523+I523)</f>
        <v>14424581</v>
      </c>
      <c r="K523" s="144" t="b">
        <f>+J523=I486</f>
        <v>1</v>
      </c>
    </row>
    <row r="524" spans="1:16" ht="15.6" x14ac:dyDescent="0.3">
      <c r="C524" s="141">
        <f>SUM(C509:C523)</f>
        <v>23525884</v>
      </c>
      <c r="I524" s="140">
        <f>SUM(I509:I523)</f>
        <v>9190070</v>
      </c>
      <c r="J524" s="105">
        <f>+SUM(J509:J523)</f>
        <v>39274294</v>
      </c>
      <c r="K524" s="5" t="b">
        <f>J524=I498</f>
        <v>1</v>
      </c>
    </row>
    <row r="525" spans="1:16" ht="15.6" x14ac:dyDescent="0.3">
      <c r="A525" s="160"/>
      <c r="B525" s="160"/>
      <c r="C525" s="161"/>
      <c r="D525" s="160"/>
      <c r="E525" s="160"/>
      <c r="F525" s="160"/>
      <c r="G525" s="160"/>
      <c r="H525" s="160"/>
      <c r="I525" s="162"/>
      <c r="J525" s="163"/>
      <c r="K525" s="160"/>
      <c r="L525" s="164"/>
      <c r="M525" s="164"/>
      <c r="N525" s="164"/>
      <c r="O525" s="164"/>
      <c r="P525" s="160"/>
    </row>
    <row r="527" spans="1:16" ht="15.6" x14ac:dyDescent="0.3">
      <c r="A527" s="6" t="s">
        <v>36</v>
      </c>
      <c r="B527" s="6" t="s">
        <v>1</v>
      </c>
      <c r="C527" s="6">
        <v>44743</v>
      </c>
      <c r="D527" s="7" t="s">
        <v>37</v>
      </c>
      <c r="E527" s="7" t="s">
        <v>38</v>
      </c>
      <c r="F527" s="7" t="s">
        <v>39</v>
      </c>
      <c r="G527" s="7" t="s">
        <v>40</v>
      </c>
      <c r="H527" s="6">
        <v>44773</v>
      </c>
      <c r="I527" s="7" t="s">
        <v>41</v>
      </c>
      <c r="K527" s="45"/>
      <c r="L527" s="45" t="s">
        <v>42</v>
      </c>
      <c r="M527" s="45" t="s">
        <v>43</v>
      </c>
      <c r="N527" s="45" t="s">
        <v>44</v>
      </c>
      <c r="O527" s="45" t="s">
        <v>45</v>
      </c>
    </row>
    <row r="528" spans="1:16" x14ac:dyDescent="0.3">
      <c r="A528" s="58" t="str">
        <f>K528</f>
        <v>BCI</v>
      </c>
      <c r="B528" s="59" t="s">
        <v>46</v>
      </c>
      <c r="C528" s="61">
        <v>4291693</v>
      </c>
      <c r="D528" s="61">
        <f>+L528</f>
        <v>0</v>
      </c>
      <c r="E528" s="61">
        <f>+N528</f>
        <v>23345</v>
      </c>
      <c r="F528" s="61">
        <f>+M528</f>
        <v>4100000</v>
      </c>
      <c r="G528" s="61">
        <f t="shared" ref="G528:G538" si="303">+O528</f>
        <v>0</v>
      </c>
      <c r="H528" s="61">
        <v>168348</v>
      </c>
      <c r="I528" s="61">
        <f>+C528+D528-E528-F528+G528</f>
        <v>168348</v>
      </c>
      <c r="J528" s="9">
        <f>I528-H528</f>
        <v>0</v>
      </c>
      <c r="K528" s="45" t="s">
        <v>24</v>
      </c>
      <c r="L528" s="47">
        <v>0</v>
      </c>
      <c r="M528" s="47">
        <v>4100000</v>
      </c>
      <c r="N528" s="47">
        <v>23345</v>
      </c>
      <c r="O528" s="47">
        <v>0</v>
      </c>
    </row>
    <row r="529" spans="1:15" x14ac:dyDescent="0.3">
      <c r="A529" s="58" t="str">
        <f t="shared" ref="A529:A541" si="304">K529</f>
        <v>BCI-Sous Compte</v>
      </c>
      <c r="B529" s="59" t="s">
        <v>46</v>
      </c>
      <c r="C529" s="61">
        <v>4852627</v>
      </c>
      <c r="D529" s="61">
        <f t="shared" ref="D529:D532" si="305">+L529</f>
        <v>0</v>
      </c>
      <c r="E529" s="61">
        <f t="shared" ref="E529:E541" si="306">+N529</f>
        <v>3777704</v>
      </c>
      <c r="F529" s="61">
        <f t="shared" ref="F529:F541" si="307">+M529</f>
        <v>0</v>
      </c>
      <c r="G529" s="61">
        <f t="shared" si="303"/>
        <v>20402887</v>
      </c>
      <c r="H529" s="61">
        <v>21477810</v>
      </c>
      <c r="I529" s="61">
        <f>+C529+D529-E529-F529+G529</f>
        <v>21477810</v>
      </c>
      <c r="J529" s="9">
        <f t="shared" ref="J529:J535" si="308">I529-H529</f>
        <v>0</v>
      </c>
      <c r="K529" s="45" t="s">
        <v>148</v>
      </c>
      <c r="L529" s="46">
        <v>0</v>
      </c>
      <c r="M529" s="47">
        <v>0</v>
      </c>
      <c r="N529" s="47">
        <v>3777704</v>
      </c>
      <c r="O529" s="47">
        <v>20402887</v>
      </c>
    </row>
    <row r="530" spans="1:15" x14ac:dyDescent="0.3">
      <c r="A530" s="58" t="str">
        <f t="shared" si="304"/>
        <v>Caisse</v>
      </c>
      <c r="B530" s="59" t="s">
        <v>25</v>
      </c>
      <c r="C530" s="61">
        <v>1696326</v>
      </c>
      <c r="D530" s="61">
        <f t="shared" si="305"/>
        <v>4430000</v>
      </c>
      <c r="E530" s="61">
        <f t="shared" si="306"/>
        <v>1453294</v>
      </c>
      <c r="F530" s="61">
        <f t="shared" si="307"/>
        <v>4570000</v>
      </c>
      <c r="G530" s="61">
        <f t="shared" si="303"/>
        <v>0</v>
      </c>
      <c r="H530" s="61">
        <v>103032</v>
      </c>
      <c r="I530" s="61">
        <f>+C530+D530-E530-F530+G530</f>
        <v>103032</v>
      </c>
      <c r="J530" s="102">
        <f t="shared" si="308"/>
        <v>0</v>
      </c>
      <c r="K530" s="45" t="s">
        <v>25</v>
      </c>
      <c r="L530" s="47">
        <v>4430000</v>
      </c>
      <c r="M530" s="47">
        <v>4570000</v>
      </c>
      <c r="N530" s="47">
        <v>1453294</v>
      </c>
      <c r="O530" s="47">
        <v>0</v>
      </c>
    </row>
    <row r="531" spans="1:15" x14ac:dyDescent="0.3">
      <c r="A531" s="58" t="str">
        <f t="shared" si="304"/>
        <v>Crépin</v>
      </c>
      <c r="B531" s="59" t="s">
        <v>154</v>
      </c>
      <c r="C531" s="61">
        <v>9800</v>
      </c>
      <c r="D531" s="61">
        <f t="shared" si="305"/>
        <v>1043000</v>
      </c>
      <c r="E531" s="61">
        <f t="shared" si="306"/>
        <v>975940</v>
      </c>
      <c r="F531" s="61">
        <f t="shared" si="307"/>
        <v>82500</v>
      </c>
      <c r="G531" s="61">
        <f t="shared" si="303"/>
        <v>0</v>
      </c>
      <c r="H531" s="61">
        <v>-5640</v>
      </c>
      <c r="I531" s="61">
        <f>+C531+D531-E531-F531+G531</f>
        <v>-5640</v>
      </c>
      <c r="J531" s="9">
        <f t="shared" si="308"/>
        <v>0</v>
      </c>
      <c r="K531" s="45" t="s">
        <v>47</v>
      </c>
      <c r="L531" s="47">
        <v>1043000</v>
      </c>
      <c r="M531" s="47">
        <v>82500</v>
      </c>
      <c r="N531" s="47">
        <v>975940</v>
      </c>
      <c r="O531" s="47">
        <v>0</v>
      </c>
    </row>
    <row r="532" spans="1:15" x14ac:dyDescent="0.3">
      <c r="A532" s="58" t="str">
        <f t="shared" si="304"/>
        <v>Evariste</v>
      </c>
      <c r="B532" s="59" t="s">
        <v>155</v>
      </c>
      <c r="C532" s="61">
        <v>2295</v>
      </c>
      <c r="D532" s="61">
        <f t="shared" si="305"/>
        <v>242500</v>
      </c>
      <c r="E532" s="61">
        <f t="shared" si="306"/>
        <v>240000</v>
      </c>
      <c r="F532" s="61">
        <f t="shared" si="307"/>
        <v>0</v>
      </c>
      <c r="G532" s="61">
        <f t="shared" si="303"/>
        <v>0</v>
      </c>
      <c r="H532" s="61">
        <v>4795</v>
      </c>
      <c r="I532" s="61">
        <f t="shared" ref="I532" si="309">+C532+D532-E532-F532+G532</f>
        <v>4795</v>
      </c>
      <c r="J532" s="9">
        <f t="shared" si="308"/>
        <v>0</v>
      </c>
      <c r="K532" s="45" t="s">
        <v>31</v>
      </c>
      <c r="L532" s="47">
        <v>242500</v>
      </c>
      <c r="M532" s="47">
        <v>0</v>
      </c>
      <c r="N532" s="47">
        <v>240000</v>
      </c>
      <c r="O532" s="47">
        <v>0</v>
      </c>
    </row>
    <row r="533" spans="1:15" x14ac:dyDescent="0.3">
      <c r="A533" s="58" t="str">
        <f t="shared" si="304"/>
        <v>I55S</v>
      </c>
      <c r="B533" s="116" t="s">
        <v>4</v>
      </c>
      <c r="C533" s="118">
        <v>233614</v>
      </c>
      <c r="D533" s="118">
        <f t="shared" ref="D533:D541" si="310">+L533</f>
        <v>0</v>
      </c>
      <c r="E533" s="118">
        <f t="shared" si="306"/>
        <v>0</v>
      </c>
      <c r="F533" s="118">
        <f t="shared" si="307"/>
        <v>0</v>
      </c>
      <c r="G533" s="118">
        <f t="shared" si="303"/>
        <v>0</v>
      </c>
      <c r="H533" s="118">
        <v>233614</v>
      </c>
      <c r="I533" s="118">
        <f>+C533+D533-E533-F533+G533</f>
        <v>233614</v>
      </c>
      <c r="J533" s="9">
        <f t="shared" si="308"/>
        <v>0</v>
      </c>
      <c r="K533" s="45" t="s">
        <v>84</v>
      </c>
      <c r="L533" s="47">
        <v>0</v>
      </c>
      <c r="M533" s="47">
        <v>0</v>
      </c>
      <c r="N533" s="47">
        <v>0</v>
      </c>
      <c r="O533" s="47">
        <v>0</v>
      </c>
    </row>
    <row r="534" spans="1:15" x14ac:dyDescent="0.3">
      <c r="A534" s="58" t="str">
        <f t="shared" si="304"/>
        <v>I73X</v>
      </c>
      <c r="B534" s="116" t="s">
        <v>4</v>
      </c>
      <c r="C534" s="118">
        <v>249769</v>
      </c>
      <c r="D534" s="118">
        <f t="shared" si="310"/>
        <v>0</v>
      </c>
      <c r="E534" s="118">
        <f t="shared" si="306"/>
        <v>0</v>
      </c>
      <c r="F534" s="118">
        <f t="shared" si="307"/>
        <v>0</v>
      </c>
      <c r="G534" s="118">
        <f t="shared" si="303"/>
        <v>0</v>
      </c>
      <c r="H534" s="118">
        <v>249769</v>
      </c>
      <c r="I534" s="118">
        <f t="shared" ref="I534:I537" si="311">+C534+D534-E534-F534+G534</f>
        <v>249769</v>
      </c>
      <c r="J534" s="9">
        <f t="shared" si="308"/>
        <v>0</v>
      </c>
      <c r="K534" s="45" t="s">
        <v>83</v>
      </c>
      <c r="L534" s="47">
        <v>0</v>
      </c>
      <c r="M534" s="47">
        <v>0</v>
      </c>
      <c r="N534" s="47">
        <v>0</v>
      </c>
      <c r="O534" s="47">
        <v>0</v>
      </c>
    </row>
    <row r="535" spans="1:15" x14ac:dyDescent="0.3">
      <c r="A535" s="58" t="str">
        <f t="shared" si="304"/>
        <v>Grace</v>
      </c>
      <c r="B535" s="98" t="s">
        <v>2</v>
      </c>
      <c r="C535" s="61">
        <v>28600</v>
      </c>
      <c r="D535" s="61">
        <f t="shared" si="310"/>
        <v>389000</v>
      </c>
      <c r="E535" s="61">
        <f t="shared" si="306"/>
        <v>87785</v>
      </c>
      <c r="F535" s="61">
        <f t="shared" si="307"/>
        <v>311000</v>
      </c>
      <c r="G535" s="61">
        <f t="shared" si="303"/>
        <v>0</v>
      </c>
      <c r="H535" s="61">
        <v>18815</v>
      </c>
      <c r="I535" s="61">
        <f t="shared" si="311"/>
        <v>18815</v>
      </c>
      <c r="J535" s="9">
        <f t="shared" si="308"/>
        <v>0</v>
      </c>
      <c r="K535" s="45" t="s">
        <v>143</v>
      </c>
      <c r="L535" s="47">
        <v>389000</v>
      </c>
      <c r="M535" s="47">
        <v>311000</v>
      </c>
      <c r="N535" s="47">
        <v>87785</v>
      </c>
      <c r="O535" s="47">
        <v>0</v>
      </c>
    </row>
    <row r="536" spans="1:15" x14ac:dyDescent="0.3">
      <c r="A536" s="58" t="str">
        <f t="shared" si="304"/>
        <v>Hurielle</v>
      </c>
      <c r="B536" s="59" t="s">
        <v>154</v>
      </c>
      <c r="C536" s="61">
        <v>18000</v>
      </c>
      <c r="D536" s="61">
        <f t="shared" si="310"/>
        <v>354000</v>
      </c>
      <c r="E536" s="61">
        <f t="shared" si="306"/>
        <v>335500</v>
      </c>
      <c r="F536" s="61">
        <f t="shared" si="307"/>
        <v>0</v>
      </c>
      <c r="G536" s="61">
        <f t="shared" si="303"/>
        <v>0</v>
      </c>
      <c r="H536" s="61">
        <v>36500</v>
      </c>
      <c r="I536" s="61">
        <f t="shared" si="311"/>
        <v>36500</v>
      </c>
      <c r="J536" s="9">
        <f>I536-H536</f>
        <v>0</v>
      </c>
      <c r="K536" s="45" t="s">
        <v>197</v>
      </c>
      <c r="L536" s="47">
        <v>354000</v>
      </c>
      <c r="M536" s="47">
        <v>0</v>
      </c>
      <c r="N536" s="47">
        <v>335500</v>
      </c>
      <c r="O536" s="47">
        <v>0</v>
      </c>
    </row>
    <row r="537" spans="1:15" x14ac:dyDescent="0.3">
      <c r="A537" s="58" t="str">
        <f t="shared" si="304"/>
        <v>I23C</v>
      </c>
      <c r="B537" s="98" t="s">
        <v>4</v>
      </c>
      <c r="C537" s="61">
        <v>262050</v>
      </c>
      <c r="D537" s="61">
        <f t="shared" si="310"/>
        <v>602000</v>
      </c>
      <c r="E537" s="61">
        <f t="shared" si="306"/>
        <v>784500</v>
      </c>
      <c r="F537" s="61">
        <f t="shared" si="307"/>
        <v>0</v>
      </c>
      <c r="G537" s="61">
        <f t="shared" si="303"/>
        <v>0</v>
      </c>
      <c r="H537" s="61">
        <v>79550</v>
      </c>
      <c r="I537" s="61">
        <f t="shared" si="311"/>
        <v>79550</v>
      </c>
      <c r="J537" s="9">
        <f t="shared" ref="J537:J538" si="312">I537-H537</f>
        <v>0</v>
      </c>
      <c r="K537" s="45" t="s">
        <v>30</v>
      </c>
      <c r="L537" s="47">
        <v>602000</v>
      </c>
      <c r="M537" s="47">
        <v>0</v>
      </c>
      <c r="N537" s="47">
        <v>784500</v>
      </c>
      <c r="O537" s="47">
        <v>0</v>
      </c>
    </row>
    <row r="538" spans="1:15" x14ac:dyDescent="0.3">
      <c r="A538" s="58" t="str">
        <f t="shared" si="304"/>
        <v>Merveille</v>
      </c>
      <c r="B538" s="59" t="s">
        <v>2</v>
      </c>
      <c r="C538" s="61">
        <v>11900</v>
      </c>
      <c r="D538" s="61">
        <f t="shared" si="310"/>
        <v>96000</v>
      </c>
      <c r="E538" s="61">
        <f t="shared" si="306"/>
        <v>72000</v>
      </c>
      <c r="F538" s="61">
        <f t="shared" si="307"/>
        <v>30000</v>
      </c>
      <c r="G538" s="61">
        <f t="shared" si="303"/>
        <v>0</v>
      </c>
      <c r="H538" s="61">
        <v>5900</v>
      </c>
      <c r="I538" s="61">
        <f>+C538+D538-E538-F538+G538</f>
        <v>5900</v>
      </c>
      <c r="J538" s="9">
        <f t="shared" si="312"/>
        <v>0</v>
      </c>
      <c r="K538" s="45" t="s">
        <v>93</v>
      </c>
      <c r="L538" s="47">
        <v>96000</v>
      </c>
      <c r="M538" s="47">
        <v>30000</v>
      </c>
      <c r="N538" s="47">
        <v>72000</v>
      </c>
      <c r="O538" s="47">
        <v>0</v>
      </c>
    </row>
    <row r="539" spans="1:15" x14ac:dyDescent="0.3">
      <c r="A539" s="58" t="str">
        <f t="shared" si="304"/>
        <v>P29</v>
      </c>
      <c r="B539" s="59" t="s">
        <v>4</v>
      </c>
      <c r="C539" s="61">
        <v>221050</v>
      </c>
      <c r="D539" s="61">
        <f t="shared" si="310"/>
        <v>608500</v>
      </c>
      <c r="E539" s="61">
        <f t="shared" si="306"/>
        <v>799700</v>
      </c>
      <c r="F539" s="61">
        <f t="shared" si="307"/>
        <v>0</v>
      </c>
      <c r="G539" s="61">
        <f>+O539</f>
        <v>0</v>
      </c>
      <c r="H539" s="61">
        <v>29850</v>
      </c>
      <c r="I539" s="61">
        <f>+C539+D539-E539-F539+G539</f>
        <v>29850</v>
      </c>
      <c r="J539" s="9">
        <f>I539-H539</f>
        <v>0</v>
      </c>
      <c r="K539" s="45" t="s">
        <v>29</v>
      </c>
      <c r="L539" s="47">
        <v>608500</v>
      </c>
      <c r="M539" s="47">
        <v>0</v>
      </c>
      <c r="N539" s="47">
        <v>799700</v>
      </c>
      <c r="O539" s="47">
        <v>0</v>
      </c>
    </row>
    <row r="540" spans="1:15" x14ac:dyDescent="0.3">
      <c r="A540" s="58" t="str">
        <f t="shared" si="304"/>
        <v>Tiffany</v>
      </c>
      <c r="B540" s="59" t="s">
        <v>2</v>
      </c>
      <c r="C540" s="61">
        <v>-3959</v>
      </c>
      <c r="D540" s="61">
        <f t="shared" si="310"/>
        <v>1340000</v>
      </c>
      <c r="E540" s="61">
        <f t="shared" si="306"/>
        <v>12500</v>
      </c>
      <c r="F540" s="61">
        <f t="shared" si="307"/>
        <v>200000</v>
      </c>
      <c r="G540" s="61">
        <f t="shared" ref="G540:G541" si="313">+O540</f>
        <v>0</v>
      </c>
      <c r="H540" s="61">
        <v>1123541</v>
      </c>
      <c r="I540" s="61">
        <f t="shared" ref="I540" si="314">+C540+D540-E540-F540+G540</f>
        <v>1123541</v>
      </c>
      <c r="J540" s="9">
        <f t="shared" ref="J540" si="315">I540-H540</f>
        <v>0</v>
      </c>
      <c r="K540" s="45" t="s">
        <v>113</v>
      </c>
      <c r="L540" s="47">
        <v>1340000</v>
      </c>
      <c r="M540" s="47">
        <v>200000</v>
      </c>
      <c r="N540" s="47">
        <v>12500</v>
      </c>
      <c r="O540" s="47">
        <v>0</v>
      </c>
    </row>
    <row r="541" spans="1:15" x14ac:dyDescent="0.3">
      <c r="A541" s="58" t="str">
        <f t="shared" si="304"/>
        <v>Yan</v>
      </c>
      <c r="B541" s="59" t="s">
        <v>154</v>
      </c>
      <c r="C541" s="61">
        <v>95000</v>
      </c>
      <c r="D541" s="61">
        <f t="shared" si="310"/>
        <v>248500</v>
      </c>
      <c r="E541" s="61">
        <f t="shared" si="306"/>
        <v>283500</v>
      </c>
      <c r="F541" s="61">
        <f t="shared" si="307"/>
        <v>60000</v>
      </c>
      <c r="G541" s="61">
        <f t="shared" si="313"/>
        <v>0</v>
      </c>
      <c r="H541" s="61">
        <v>0</v>
      </c>
      <c r="I541" s="61">
        <f>+C541+D541-E541-F541+G541</f>
        <v>0</v>
      </c>
      <c r="J541" s="9">
        <f>I541-H541</f>
        <v>0</v>
      </c>
      <c r="K541" s="45" t="s">
        <v>212</v>
      </c>
      <c r="L541" s="47">
        <v>248500</v>
      </c>
      <c r="M541" s="47">
        <v>60000</v>
      </c>
      <c r="N541" s="47">
        <v>283500</v>
      </c>
      <c r="O541" s="47">
        <v>0</v>
      </c>
    </row>
    <row r="542" spans="1:15" x14ac:dyDescent="0.3">
      <c r="A542" s="10" t="s">
        <v>50</v>
      </c>
      <c r="B542" s="11"/>
      <c r="C542" s="12">
        <f t="shared" ref="C542:I542" si="316">SUM(C528:C541)</f>
        <v>11968765</v>
      </c>
      <c r="D542" s="57">
        <f t="shared" si="316"/>
        <v>9353500</v>
      </c>
      <c r="E542" s="57">
        <f t="shared" si="316"/>
        <v>8845768</v>
      </c>
      <c r="F542" s="57">
        <f t="shared" si="316"/>
        <v>9353500</v>
      </c>
      <c r="G542" s="57">
        <f t="shared" si="316"/>
        <v>20402887</v>
      </c>
      <c r="H542" s="57">
        <f t="shared" si="316"/>
        <v>23525884</v>
      </c>
      <c r="I542" s="57">
        <f t="shared" si="316"/>
        <v>23525884</v>
      </c>
      <c r="J542" s="9">
        <f>I542-H542</f>
        <v>0</v>
      </c>
      <c r="K542" s="3"/>
      <c r="L542" s="47">
        <f>+SUM(L528:L541)</f>
        <v>9353500</v>
      </c>
      <c r="M542" s="47">
        <f>+SUM(M528:M541)</f>
        <v>9353500</v>
      </c>
      <c r="N542" s="47">
        <f>+SUM(N528:N541)</f>
        <v>8845768</v>
      </c>
      <c r="O542" s="47">
        <f>+SUM(O528:O540)</f>
        <v>20402887</v>
      </c>
    </row>
    <row r="543" spans="1:15" x14ac:dyDescent="0.3">
      <c r="A543" s="10"/>
      <c r="B543" s="11"/>
      <c r="C543" s="12"/>
      <c r="D543" s="13"/>
      <c r="E543" s="12"/>
      <c r="F543" s="13"/>
      <c r="G543" s="12"/>
      <c r="H543" s="12"/>
      <c r="I543" s="134" t="b">
        <f>I542=D545</f>
        <v>1</v>
      </c>
      <c r="L543" s="5"/>
      <c r="M543" s="5"/>
      <c r="N543" s="5"/>
      <c r="O543" s="5"/>
    </row>
    <row r="544" spans="1:15" x14ac:dyDescent="0.3">
      <c r="A544" s="10" t="s">
        <v>227</v>
      </c>
      <c r="B544" s="11" t="s">
        <v>235</v>
      </c>
      <c r="C544" s="12" t="s">
        <v>228</v>
      </c>
      <c r="D544" s="12" t="s">
        <v>229</v>
      </c>
      <c r="E544" s="12" t="s">
        <v>51</v>
      </c>
      <c r="F544" s="12"/>
      <c r="G544" s="12">
        <f>+D542-F542</f>
        <v>0</v>
      </c>
      <c r="H544" s="12"/>
      <c r="I544" s="12"/>
    </row>
    <row r="545" spans="1:11" x14ac:dyDescent="0.3">
      <c r="A545" s="14">
        <f>C542</f>
        <v>11968765</v>
      </c>
      <c r="B545" s="15">
        <f>G542</f>
        <v>20402887</v>
      </c>
      <c r="C545" s="12">
        <f>E542</f>
        <v>8845768</v>
      </c>
      <c r="D545" s="12">
        <f>A545+B545-C545</f>
        <v>23525884</v>
      </c>
      <c r="E545" s="13">
        <f>I542-D545</f>
        <v>0</v>
      </c>
      <c r="F545" s="12"/>
      <c r="G545" s="12"/>
      <c r="H545" s="12"/>
      <c r="I545" s="12"/>
    </row>
    <row r="546" spans="1:11" x14ac:dyDescent="0.3">
      <c r="A546" s="14"/>
      <c r="B546" s="15"/>
      <c r="C546" s="12"/>
      <c r="D546" s="12"/>
      <c r="E546" s="13"/>
      <c r="F546" s="12"/>
      <c r="G546" s="12"/>
      <c r="H546" s="12"/>
      <c r="I546" s="12"/>
    </row>
    <row r="547" spans="1:11" x14ac:dyDescent="0.3">
      <c r="A547" s="16" t="s">
        <v>52</v>
      </c>
      <c r="B547" s="16"/>
      <c r="C547" s="16"/>
      <c r="D547" s="17"/>
      <c r="E547" s="17"/>
      <c r="F547" s="17"/>
      <c r="G547" s="17"/>
      <c r="H547" s="17"/>
      <c r="I547" s="17"/>
    </row>
    <row r="548" spans="1:11" x14ac:dyDescent="0.3">
      <c r="A548" s="18" t="s">
        <v>226</v>
      </c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1" x14ac:dyDescent="0.3">
      <c r="A549" s="19"/>
      <c r="B549" s="17"/>
      <c r="C549" s="20"/>
      <c r="D549" s="20"/>
      <c r="E549" s="20"/>
      <c r="F549" s="20"/>
      <c r="G549" s="20"/>
      <c r="H549" s="17"/>
      <c r="I549" s="17"/>
    </row>
    <row r="550" spans="1:11" x14ac:dyDescent="0.3">
      <c r="A550" s="169" t="s">
        <v>53</v>
      </c>
      <c r="B550" s="171" t="s">
        <v>54</v>
      </c>
      <c r="C550" s="173" t="s">
        <v>224</v>
      </c>
      <c r="D550" s="174" t="s">
        <v>55</v>
      </c>
      <c r="E550" s="175"/>
      <c r="F550" s="175"/>
      <c r="G550" s="176"/>
      <c r="H550" s="177" t="s">
        <v>56</v>
      </c>
      <c r="I550" s="165" t="s">
        <v>57</v>
      </c>
      <c r="J550" s="17"/>
    </row>
    <row r="551" spans="1:11" ht="28.5" customHeight="1" x14ac:dyDescent="0.3">
      <c r="A551" s="170"/>
      <c r="B551" s="172"/>
      <c r="C551" s="22"/>
      <c r="D551" s="21" t="s">
        <v>24</v>
      </c>
      <c r="E551" s="21" t="s">
        <v>25</v>
      </c>
      <c r="F551" s="22" t="s">
        <v>123</v>
      </c>
      <c r="G551" s="21" t="s">
        <v>58</v>
      </c>
      <c r="H551" s="178"/>
      <c r="I551" s="166"/>
      <c r="J551" s="167" t="s">
        <v>225</v>
      </c>
      <c r="K551" s="143"/>
    </row>
    <row r="552" spans="1:11" x14ac:dyDescent="0.3">
      <c r="A552" s="23"/>
      <c r="B552" s="24" t="s">
        <v>59</v>
      </c>
      <c r="C552" s="25"/>
      <c r="D552" s="25"/>
      <c r="E552" s="25"/>
      <c r="F552" s="25"/>
      <c r="G552" s="25"/>
      <c r="H552" s="25"/>
      <c r="I552" s="26"/>
      <c r="J552" s="168"/>
      <c r="K552" s="143"/>
    </row>
    <row r="553" spans="1:11" x14ac:dyDescent="0.3">
      <c r="A553" s="122" t="s">
        <v>72</v>
      </c>
      <c r="B553" s="127" t="s">
        <v>47</v>
      </c>
      <c r="C553" s="32">
        <f>+C531</f>
        <v>9800</v>
      </c>
      <c r="D553" s="31"/>
      <c r="E553" s="32">
        <f t="shared" ref="E553:E563" si="317">+D531</f>
        <v>1043000</v>
      </c>
      <c r="F553" s="32"/>
      <c r="G553" s="32"/>
      <c r="H553" s="55">
        <f t="shared" ref="H553:H563" si="318">+F531</f>
        <v>82500</v>
      </c>
      <c r="I553" s="32">
        <f t="shared" ref="I553:I563" si="319">+E531</f>
        <v>975940</v>
      </c>
      <c r="J553" s="30">
        <f t="shared" ref="J553:J554" si="320">+SUM(C553:G553)-(H553+I553)</f>
        <v>-5640</v>
      </c>
      <c r="K553" s="144" t="b">
        <f t="shared" ref="K553:K563" si="321">J553=I531</f>
        <v>1</v>
      </c>
    </row>
    <row r="554" spans="1:11" x14ac:dyDescent="0.3">
      <c r="A554" s="122" t="str">
        <f>+A553</f>
        <v>JUILLET</v>
      </c>
      <c r="B554" s="127" t="s">
        <v>31</v>
      </c>
      <c r="C554" s="32">
        <f>+C532</f>
        <v>2295</v>
      </c>
      <c r="D554" s="31"/>
      <c r="E554" s="32">
        <f t="shared" si="317"/>
        <v>242500</v>
      </c>
      <c r="F554" s="32"/>
      <c r="G554" s="32"/>
      <c r="H554" s="55">
        <f t="shared" si="318"/>
        <v>0</v>
      </c>
      <c r="I554" s="32">
        <f t="shared" si="319"/>
        <v>240000</v>
      </c>
      <c r="J554" s="101">
        <f t="shared" si="320"/>
        <v>4795</v>
      </c>
      <c r="K554" s="144" t="b">
        <f t="shared" si="321"/>
        <v>1</v>
      </c>
    </row>
    <row r="555" spans="1:11" x14ac:dyDescent="0.3">
      <c r="A555" s="122" t="str">
        <f t="shared" ref="A555:A559" si="322">+A554</f>
        <v>JUILLET</v>
      </c>
      <c r="B555" s="129" t="s">
        <v>84</v>
      </c>
      <c r="C555" s="120">
        <f>+C533</f>
        <v>233614</v>
      </c>
      <c r="D555" s="123"/>
      <c r="E555" s="120">
        <f t="shared" si="317"/>
        <v>0</v>
      </c>
      <c r="F555" s="137"/>
      <c r="G555" s="137"/>
      <c r="H555" s="155">
        <f t="shared" si="318"/>
        <v>0</v>
      </c>
      <c r="I555" s="120">
        <f t="shared" si="319"/>
        <v>0</v>
      </c>
      <c r="J555" s="121">
        <f>+SUM(C555:G555)-(H555+I555)</f>
        <v>233614</v>
      </c>
      <c r="K555" s="144" t="b">
        <f t="shared" si="321"/>
        <v>1</v>
      </c>
    </row>
    <row r="556" spans="1:11" x14ac:dyDescent="0.3">
      <c r="A556" s="122" t="str">
        <f t="shared" si="322"/>
        <v>JUILLET</v>
      </c>
      <c r="B556" s="129" t="s">
        <v>83</v>
      </c>
      <c r="C556" s="120">
        <f>+C534</f>
        <v>249769</v>
      </c>
      <c r="D556" s="123"/>
      <c r="E556" s="120">
        <f t="shared" si="317"/>
        <v>0</v>
      </c>
      <c r="F556" s="137"/>
      <c r="G556" s="137"/>
      <c r="H556" s="155">
        <f t="shared" si="318"/>
        <v>0</v>
      </c>
      <c r="I556" s="120">
        <f t="shared" si="319"/>
        <v>0</v>
      </c>
      <c r="J556" s="121">
        <f t="shared" ref="J556:J563" si="323">+SUM(C556:G556)-(H556+I556)</f>
        <v>249769</v>
      </c>
      <c r="K556" s="144" t="b">
        <f t="shared" si="321"/>
        <v>1</v>
      </c>
    </row>
    <row r="557" spans="1:11" x14ac:dyDescent="0.3">
      <c r="A557" s="122" t="str">
        <f t="shared" si="322"/>
        <v>JUILLET</v>
      </c>
      <c r="B557" s="127" t="s">
        <v>143</v>
      </c>
      <c r="C557" s="32">
        <f>+C535</f>
        <v>28600</v>
      </c>
      <c r="D557" s="31"/>
      <c r="E557" s="32">
        <f t="shared" si="317"/>
        <v>389000</v>
      </c>
      <c r="F557" s="32"/>
      <c r="G557" s="104"/>
      <c r="H557" s="55">
        <f t="shared" si="318"/>
        <v>311000</v>
      </c>
      <c r="I557" s="32">
        <f t="shared" si="319"/>
        <v>87785</v>
      </c>
      <c r="J557" s="30">
        <f t="shared" si="323"/>
        <v>18815</v>
      </c>
      <c r="K557" s="144" t="b">
        <f t="shared" si="321"/>
        <v>1</v>
      </c>
    </row>
    <row r="558" spans="1:11" x14ac:dyDescent="0.3">
      <c r="A558" s="122" t="str">
        <f t="shared" si="322"/>
        <v>JUILLET</v>
      </c>
      <c r="B558" s="127" t="s">
        <v>197</v>
      </c>
      <c r="C558" s="32">
        <f t="shared" ref="C558:C563" si="324">+C536</f>
        <v>18000</v>
      </c>
      <c r="D558" s="31"/>
      <c r="E558" s="32">
        <f t="shared" si="317"/>
        <v>354000</v>
      </c>
      <c r="F558" s="32"/>
      <c r="G558" s="104"/>
      <c r="H558" s="55">
        <f t="shared" si="318"/>
        <v>0</v>
      </c>
      <c r="I558" s="32">
        <f t="shared" si="319"/>
        <v>335500</v>
      </c>
      <c r="J558" s="30">
        <f t="shared" si="323"/>
        <v>36500</v>
      </c>
      <c r="K558" s="144" t="b">
        <f t="shared" si="321"/>
        <v>1</v>
      </c>
    </row>
    <row r="559" spans="1:11" x14ac:dyDescent="0.3">
      <c r="A559" s="122" t="str">
        <f t="shared" si="322"/>
        <v>JUILLET</v>
      </c>
      <c r="B559" s="127" t="s">
        <v>30</v>
      </c>
      <c r="C559" s="32">
        <f t="shared" si="324"/>
        <v>262050</v>
      </c>
      <c r="D559" s="31"/>
      <c r="E559" s="32">
        <f t="shared" si="317"/>
        <v>602000</v>
      </c>
      <c r="F559" s="32"/>
      <c r="G559" s="104"/>
      <c r="H559" s="55">
        <f t="shared" si="318"/>
        <v>0</v>
      </c>
      <c r="I559" s="32">
        <f t="shared" si="319"/>
        <v>784500</v>
      </c>
      <c r="J559" s="30">
        <f t="shared" si="323"/>
        <v>79550</v>
      </c>
      <c r="K559" s="144" t="b">
        <f t="shared" si="321"/>
        <v>1</v>
      </c>
    </row>
    <row r="560" spans="1:11" x14ac:dyDescent="0.3">
      <c r="A560" s="122" t="str">
        <f>+A558</f>
        <v>JUILLET</v>
      </c>
      <c r="B560" s="127" t="s">
        <v>93</v>
      </c>
      <c r="C560" s="32">
        <f t="shared" si="324"/>
        <v>11900</v>
      </c>
      <c r="D560" s="31"/>
      <c r="E560" s="32">
        <f t="shared" si="317"/>
        <v>96000</v>
      </c>
      <c r="F560" s="32"/>
      <c r="G560" s="104"/>
      <c r="H560" s="55">
        <f t="shared" si="318"/>
        <v>30000</v>
      </c>
      <c r="I560" s="32">
        <f t="shared" si="319"/>
        <v>72000</v>
      </c>
      <c r="J560" s="30">
        <f t="shared" si="323"/>
        <v>5900</v>
      </c>
      <c r="K560" s="144" t="b">
        <f t="shared" si="321"/>
        <v>1</v>
      </c>
    </row>
    <row r="561" spans="1:16" x14ac:dyDescent="0.3">
      <c r="A561" s="122" t="str">
        <f>+A559</f>
        <v>JUILLET</v>
      </c>
      <c r="B561" s="127" t="s">
        <v>29</v>
      </c>
      <c r="C561" s="32">
        <f t="shared" si="324"/>
        <v>221050</v>
      </c>
      <c r="D561" s="31"/>
      <c r="E561" s="32">
        <f t="shared" si="317"/>
        <v>608500</v>
      </c>
      <c r="F561" s="32"/>
      <c r="G561" s="104"/>
      <c r="H561" s="55">
        <f t="shared" si="318"/>
        <v>0</v>
      </c>
      <c r="I561" s="32">
        <f t="shared" si="319"/>
        <v>799700</v>
      </c>
      <c r="J561" s="30">
        <f t="shared" si="323"/>
        <v>29850</v>
      </c>
      <c r="K561" s="144" t="b">
        <f t="shared" si="321"/>
        <v>1</v>
      </c>
    </row>
    <row r="562" spans="1:16" x14ac:dyDescent="0.3">
      <c r="A562" s="122" t="str">
        <f>+A560</f>
        <v>JUILLET</v>
      </c>
      <c r="B562" s="128" t="s">
        <v>113</v>
      </c>
      <c r="C562" s="32">
        <f t="shared" si="324"/>
        <v>-3959</v>
      </c>
      <c r="D562" s="119"/>
      <c r="E562" s="32">
        <f t="shared" si="317"/>
        <v>1340000</v>
      </c>
      <c r="F562" s="51"/>
      <c r="G562" s="138"/>
      <c r="H562" s="55">
        <f t="shared" si="318"/>
        <v>200000</v>
      </c>
      <c r="I562" s="32">
        <f t="shared" si="319"/>
        <v>12500</v>
      </c>
      <c r="J562" s="30">
        <f t="shared" si="323"/>
        <v>1123541</v>
      </c>
      <c r="K562" s="144" t="b">
        <f t="shared" si="321"/>
        <v>1</v>
      </c>
    </row>
    <row r="563" spans="1:16" x14ac:dyDescent="0.3">
      <c r="A563" s="122" t="str">
        <f>+A561</f>
        <v>JUILLET</v>
      </c>
      <c r="B563" s="128" t="s">
        <v>212</v>
      </c>
      <c r="C563" s="32">
        <f t="shared" si="324"/>
        <v>95000</v>
      </c>
      <c r="D563" s="119"/>
      <c r="E563" s="32">
        <f t="shared" si="317"/>
        <v>248500</v>
      </c>
      <c r="F563" s="51"/>
      <c r="G563" s="138"/>
      <c r="H563" s="55">
        <f t="shared" si="318"/>
        <v>60000</v>
      </c>
      <c r="I563" s="32">
        <f t="shared" si="319"/>
        <v>283500</v>
      </c>
      <c r="J563" s="30">
        <f t="shared" si="323"/>
        <v>0</v>
      </c>
      <c r="K563" s="144" t="b">
        <f t="shared" si="321"/>
        <v>1</v>
      </c>
    </row>
    <row r="564" spans="1:16" x14ac:dyDescent="0.3">
      <c r="A564" s="34" t="s">
        <v>60</v>
      </c>
      <c r="B564" s="35"/>
      <c r="C564" s="35"/>
      <c r="D564" s="35"/>
      <c r="E564" s="35"/>
      <c r="F564" s="35"/>
      <c r="G564" s="35"/>
      <c r="H564" s="35"/>
      <c r="I564" s="35"/>
      <c r="J564" s="36"/>
      <c r="K564" s="143"/>
    </row>
    <row r="565" spans="1:16" x14ac:dyDescent="0.3">
      <c r="A565" s="122" t="str">
        <f>+A563</f>
        <v>JUILLET</v>
      </c>
      <c r="B565" s="37" t="s">
        <v>61</v>
      </c>
      <c r="C565" s="38">
        <f>+C530</f>
        <v>1696326</v>
      </c>
      <c r="D565" s="49"/>
      <c r="E565" s="49">
        <f>D530</f>
        <v>4430000</v>
      </c>
      <c r="F565" s="49"/>
      <c r="G565" s="125"/>
      <c r="H565" s="51">
        <f>+F530</f>
        <v>4570000</v>
      </c>
      <c r="I565" s="126">
        <f>+E530</f>
        <v>1453294</v>
      </c>
      <c r="J565" s="30">
        <f>+SUM(C565:G565)-(H565+I565)</f>
        <v>103032</v>
      </c>
      <c r="K565" s="144" t="b">
        <f>J565=I530</f>
        <v>1</v>
      </c>
    </row>
    <row r="566" spans="1:16" x14ac:dyDescent="0.3">
      <c r="A566" s="43" t="s">
        <v>62</v>
      </c>
      <c r="B566" s="24"/>
      <c r="C566" s="35"/>
      <c r="D566" s="24"/>
      <c r="E566" s="24"/>
      <c r="F566" s="24"/>
      <c r="G566" s="24"/>
      <c r="H566" s="24"/>
      <c r="I566" s="24"/>
      <c r="J566" s="36"/>
      <c r="K566" s="143"/>
    </row>
    <row r="567" spans="1:16" x14ac:dyDescent="0.3">
      <c r="A567" s="122" t="str">
        <f>+A565</f>
        <v>JUILLET</v>
      </c>
      <c r="B567" s="37" t="s">
        <v>156</v>
      </c>
      <c r="C567" s="125">
        <f>+C528</f>
        <v>4291693</v>
      </c>
      <c r="D567" s="132">
        <f>+G528</f>
        <v>0</v>
      </c>
      <c r="E567" s="49"/>
      <c r="F567" s="49"/>
      <c r="G567" s="49"/>
      <c r="H567" s="51">
        <f>+F528</f>
        <v>4100000</v>
      </c>
      <c r="I567" s="53">
        <f>+E528</f>
        <v>23345</v>
      </c>
      <c r="J567" s="30">
        <f>+SUM(C567:G567)-(H567+I567)</f>
        <v>168348</v>
      </c>
      <c r="K567" s="144" t="b">
        <f>+J567=I528</f>
        <v>1</v>
      </c>
    </row>
    <row r="568" spans="1:16" x14ac:dyDescent="0.3">
      <c r="A568" s="122" t="str">
        <f t="shared" ref="A568" si="325">+A567</f>
        <v>JUILLET</v>
      </c>
      <c r="B568" s="37" t="s">
        <v>64</v>
      </c>
      <c r="C568" s="125">
        <f>+C529</f>
        <v>4852627</v>
      </c>
      <c r="D568" s="49">
        <f>+G529</f>
        <v>20402887</v>
      </c>
      <c r="E568" s="48"/>
      <c r="F568" s="48"/>
      <c r="G568" s="48"/>
      <c r="H568" s="32">
        <f>+F529</f>
        <v>0</v>
      </c>
      <c r="I568" s="50">
        <f>+E529</f>
        <v>3777704</v>
      </c>
      <c r="J568" s="30">
        <f>SUM(C568:G568)-(H568+I568)</f>
        <v>21477810</v>
      </c>
      <c r="K568" s="144" t="b">
        <f>+J568=I529</f>
        <v>1</v>
      </c>
    </row>
    <row r="569" spans="1:16" ht="15.6" x14ac:dyDescent="0.3">
      <c r="C569" s="141">
        <f>SUM(C553:C568)</f>
        <v>11968765</v>
      </c>
      <c r="I569" s="140">
        <f>SUM(I553:I568)</f>
        <v>8845768</v>
      </c>
      <c r="J569" s="105">
        <f>+SUM(J553:J568)</f>
        <v>23525884</v>
      </c>
      <c r="K569" s="5" t="b">
        <f>J569=I542</f>
        <v>1</v>
      </c>
    </row>
    <row r="570" spans="1:16" ht="15.6" x14ac:dyDescent="0.3">
      <c r="A570" s="160"/>
      <c r="B570" s="160"/>
      <c r="C570" s="161"/>
      <c r="D570" s="160"/>
      <c r="E570" s="160"/>
      <c r="F570" s="160"/>
      <c r="G570" s="160"/>
      <c r="H570" s="160"/>
      <c r="I570" s="162"/>
      <c r="J570" s="163"/>
      <c r="K570" s="160"/>
      <c r="L570" s="164"/>
      <c r="M570" s="164"/>
      <c r="N570" s="164"/>
      <c r="O570" s="164"/>
      <c r="P570" s="160"/>
    </row>
    <row r="573" spans="1:16" ht="15.6" x14ac:dyDescent="0.3">
      <c r="A573" s="6" t="s">
        <v>36</v>
      </c>
      <c r="B573" s="6" t="s">
        <v>1</v>
      </c>
      <c r="C573" s="6">
        <v>44713</v>
      </c>
      <c r="D573" s="7" t="s">
        <v>37</v>
      </c>
      <c r="E573" s="7" t="s">
        <v>38</v>
      </c>
      <c r="F573" s="7" t="s">
        <v>39</v>
      </c>
      <c r="G573" s="7" t="s">
        <v>40</v>
      </c>
      <c r="H573" s="6">
        <v>44742</v>
      </c>
      <c r="I573" s="7" t="s">
        <v>41</v>
      </c>
      <c r="K573" s="45"/>
      <c r="L573" s="45" t="s">
        <v>42</v>
      </c>
      <c r="M573" s="45" t="s">
        <v>43</v>
      </c>
      <c r="N573" s="45" t="s">
        <v>44</v>
      </c>
      <c r="O573" s="45" t="s">
        <v>45</v>
      </c>
    </row>
    <row r="574" spans="1:16" x14ac:dyDescent="0.3">
      <c r="A574" s="58" t="str">
        <f>K574</f>
        <v>BCI</v>
      </c>
      <c r="B574" s="59" t="s">
        <v>46</v>
      </c>
      <c r="C574" s="61">
        <v>8575038</v>
      </c>
      <c r="D574" s="61">
        <f>+L574</f>
        <v>0</v>
      </c>
      <c r="E574" s="61">
        <f>+N574</f>
        <v>283345</v>
      </c>
      <c r="F574" s="61">
        <f>+M574</f>
        <v>4000000</v>
      </c>
      <c r="G574" s="61">
        <f t="shared" ref="G574:G584" si="326">+O574</f>
        <v>0</v>
      </c>
      <c r="H574" s="61">
        <v>4291693</v>
      </c>
      <c r="I574" s="61">
        <f>+C574+D574-E574-F574+G574</f>
        <v>4291693</v>
      </c>
      <c r="J574" s="9">
        <f>I574-H574</f>
        <v>0</v>
      </c>
      <c r="K574" s="45" t="s">
        <v>24</v>
      </c>
      <c r="L574" s="47">
        <v>0</v>
      </c>
      <c r="M574" s="47">
        <v>4000000</v>
      </c>
      <c r="N574" s="47">
        <v>283345</v>
      </c>
      <c r="O574" s="47">
        <v>0</v>
      </c>
    </row>
    <row r="575" spans="1:16" x14ac:dyDescent="0.3">
      <c r="A575" s="58" t="str">
        <f t="shared" ref="A575:A587" si="327">K575</f>
        <v>BCI-Sous Compte</v>
      </c>
      <c r="B575" s="59" t="s">
        <v>46</v>
      </c>
      <c r="C575" s="61">
        <v>12231533</v>
      </c>
      <c r="D575" s="61">
        <f t="shared" ref="D575:D587" si="328">+L575</f>
        <v>0</v>
      </c>
      <c r="E575" s="61">
        <f t="shared" ref="E575:E587" si="329">+N575</f>
        <v>5378906</v>
      </c>
      <c r="F575" s="61">
        <f t="shared" ref="F575:F587" si="330">+M575</f>
        <v>2000000</v>
      </c>
      <c r="G575" s="61">
        <f t="shared" si="326"/>
        <v>0</v>
      </c>
      <c r="H575" s="61">
        <v>4852627</v>
      </c>
      <c r="I575" s="61">
        <f>+C575+D575-E575-F575+G575</f>
        <v>4852627</v>
      </c>
      <c r="J575" s="9">
        <f t="shared" ref="J575:J581" si="331">I575-H575</f>
        <v>0</v>
      </c>
      <c r="K575" s="45" t="s">
        <v>148</v>
      </c>
      <c r="L575" s="47">
        <v>0</v>
      </c>
      <c r="M575" s="47">
        <v>2000000</v>
      </c>
      <c r="N575" s="47">
        <v>5378906</v>
      </c>
      <c r="O575" s="47">
        <v>0</v>
      </c>
    </row>
    <row r="576" spans="1:16" x14ac:dyDescent="0.3">
      <c r="A576" s="58" t="str">
        <f t="shared" si="327"/>
        <v>Caisse</v>
      </c>
      <c r="B576" s="59" t="s">
        <v>25</v>
      </c>
      <c r="C576" s="61">
        <v>1700406</v>
      </c>
      <c r="D576" s="61">
        <f t="shared" si="328"/>
        <v>6172450</v>
      </c>
      <c r="E576" s="61">
        <f t="shared" si="329"/>
        <v>2587130</v>
      </c>
      <c r="F576" s="61">
        <f t="shared" si="330"/>
        <v>3589400</v>
      </c>
      <c r="G576" s="61">
        <f t="shared" si="326"/>
        <v>0</v>
      </c>
      <c r="H576" s="61">
        <v>1696326</v>
      </c>
      <c r="I576" s="61">
        <f>+C576+D576-E576-F576+G576</f>
        <v>1696326</v>
      </c>
      <c r="J576" s="102">
        <f t="shared" si="331"/>
        <v>0</v>
      </c>
      <c r="K576" s="45" t="s">
        <v>25</v>
      </c>
      <c r="L576" s="47">
        <v>6172450</v>
      </c>
      <c r="M576" s="47">
        <v>3589400</v>
      </c>
      <c r="N576" s="47">
        <v>2587130</v>
      </c>
      <c r="O576" s="47">
        <v>0</v>
      </c>
    </row>
    <row r="577" spans="1:15" x14ac:dyDescent="0.3">
      <c r="A577" s="58" t="str">
        <f t="shared" si="327"/>
        <v>Crépin</v>
      </c>
      <c r="B577" s="59" t="s">
        <v>154</v>
      </c>
      <c r="C577" s="61">
        <v>15750</v>
      </c>
      <c r="D577" s="61">
        <f t="shared" si="328"/>
        <v>1223400</v>
      </c>
      <c r="E577" s="61">
        <f t="shared" si="329"/>
        <v>1184350</v>
      </c>
      <c r="F577" s="61">
        <f t="shared" si="330"/>
        <v>45000</v>
      </c>
      <c r="G577" s="61">
        <f t="shared" si="326"/>
        <v>0</v>
      </c>
      <c r="H577" s="61">
        <v>9800</v>
      </c>
      <c r="I577" s="61">
        <f>+C577+D577-E577-F577+G577</f>
        <v>9800</v>
      </c>
      <c r="J577" s="9">
        <f t="shared" si="331"/>
        <v>0</v>
      </c>
      <c r="K577" s="45" t="s">
        <v>47</v>
      </c>
      <c r="L577" s="47">
        <v>1223400</v>
      </c>
      <c r="M577" s="47">
        <v>45000</v>
      </c>
      <c r="N577" s="47">
        <v>1184350</v>
      </c>
      <c r="O577" s="47">
        <v>0</v>
      </c>
    </row>
    <row r="578" spans="1:15" x14ac:dyDescent="0.3">
      <c r="A578" s="58" t="str">
        <f t="shared" si="327"/>
        <v>Evariste</v>
      </c>
      <c r="B578" s="59" t="s">
        <v>155</v>
      </c>
      <c r="C578" s="61">
        <v>8795</v>
      </c>
      <c r="D578" s="61">
        <f t="shared" si="328"/>
        <v>248000</v>
      </c>
      <c r="E578" s="61">
        <f t="shared" si="329"/>
        <v>254500</v>
      </c>
      <c r="F578" s="61">
        <f t="shared" si="330"/>
        <v>0</v>
      </c>
      <c r="G578" s="61">
        <f t="shared" si="326"/>
        <v>0</v>
      </c>
      <c r="H578" s="61">
        <v>2295</v>
      </c>
      <c r="I578" s="61">
        <f t="shared" ref="I578" si="332">+C578+D578-E578-F578+G578</f>
        <v>2295</v>
      </c>
      <c r="J578" s="9">
        <f t="shared" si="331"/>
        <v>0</v>
      </c>
      <c r="K578" s="45" t="s">
        <v>31</v>
      </c>
      <c r="L578" s="47">
        <v>248000</v>
      </c>
      <c r="M578" s="47">
        <v>0</v>
      </c>
      <c r="N578" s="47">
        <v>254500</v>
      </c>
      <c r="O578" s="47">
        <v>0</v>
      </c>
    </row>
    <row r="579" spans="1:15" x14ac:dyDescent="0.3">
      <c r="A579" s="58" t="str">
        <f t="shared" si="327"/>
        <v>I55S</v>
      </c>
      <c r="B579" s="116" t="s">
        <v>4</v>
      </c>
      <c r="C579" s="118">
        <v>233614</v>
      </c>
      <c r="D579" s="118">
        <f t="shared" si="328"/>
        <v>0</v>
      </c>
      <c r="E579" s="118">
        <f t="shared" si="329"/>
        <v>0</v>
      </c>
      <c r="F579" s="118">
        <f t="shared" si="330"/>
        <v>0</v>
      </c>
      <c r="G579" s="118">
        <f t="shared" si="326"/>
        <v>0</v>
      </c>
      <c r="H579" s="118">
        <v>233614</v>
      </c>
      <c r="I579" s="118">
        <f>+C579+D579-E579-F579+G579</f>
        <v>233614</v>
      </c>
      <c r="J579" s="9">
        <f t="shared" si="331"/>
        <v>0</v>
      </c>
      <c r="K579" s="45" t="s">
        <v>84</v>
      </c>
      <c r="L579" s="47">
        <v>0</v>
      </c>
      <c r="M579" s="47">
        <v>0</v>
      </c>
      <c r="N579" s="47">
        <v>0</v>
      </c>
      <c r="O579" s="47">
        <v>0</v>
      </c>
    </row>
    <row r="580" spans="1:15" x14ac:dyDescent="0.3">
      <c r="A580" s="58" t="str">
        <f t="shared" si="327"/>
        <v>I73X</v>
      </c>
      <c r="B580" s="116" t="s">
        <v>4</v>
      </c>
      <c r="C580" s="118">
        <v>249769</v>
      </c>
      <c r="D580" s="118">
        <f t="shared" si="328"/>
        <v>0</v>
      </c>
      <c r="E580" s="118">
        <f t="shared" si="329"/>
        <v>0</v>
      </c>
      <c r="F580" s="118">
        <f t="shared" si="330"/>
        <v>0</v>
      </c>
      <c r="G580" s="118">
        <f t="shared" si="326"/>
        <v>0</v>
      </c>
      <c r="H580" s="118">
        <v>249769</v>
      </c>
      <c r="I580" s="118">
        <f t="shared" ref="I580:I583" si="333">+C580+D580-E580-F580+G580</f>
        <v>249769</v>
      </c>
      <c r="J580" s="9">
        <f t="shared" si="331"/>
        <v>0</v>
      </c>
      <c r="K580" s="45" t="s">
        <v>83</v>
      </c>
      <c r="L580" s="47">
        <v>0</v>
      </c>
      <c r="M580" s="47">
        <v>0</v>
      </c>
      <c r="N580" s="47">
        <v>0</v>
      </c>
      <c r="O580" s="47">
        <v>0</v>
      </c>
    </row>
    <row r="581" spans="1:15" x14ac:dyDescent="0.3">
      <c r="A581" s="58" t="str">
        <f t="shared" si="327"/>
        <v>Grace</v>
      </c>
      <c r="B581" s="98" t="s">
        <v>2</v>
      </c>
      <c r="C581" s="61">
        <v>14700</v>
      </c>
      <c r="D581" s="61">
        <f t="shared" si="328"/>
        <v>994000</v>
      </c>
      <c r="E581" s="61">
        <f t="shared" si="329"/>
        <v>220100</v>
      </c>
      <c r="F581" s="61">
        <f t="shared" si="330"/>
        <v>760000</v>
      </c>
      <c r="G581" s="61">
        <f t="shared" si="326"/>
        <v>0</v>
      </c>
      <c r="H581" s="61">
        <v>28600</v>
      </c>
      <c r="I581" s="61">
        <f t="shared" si="333"/>
        <v>28600</v>
      </c>
      <c r="J581" s="9">
        <f t="shared" si="331"/>
        <v>0</v>
      </c>
      <c r="K581" s="45" t="s">
        <v>143</v>
      </c>
      <c r="L581" s="47">
        <v>994000</v>
      </c>
      <c r="M581" s="47">
        <v>760000</v>
      </c>
      <c r="N581" s="47">
        <v>220100</v>
      </c>
      <c r="O581" s="47">
        <v>0</v>
      </c>
    </row>
    <row r="582" spans="1:15" x14ac:dyDescent="0.3">
      <c r="A582" s="58" t="str">
        <f t="shared" si="327"/>
        <v>Hurielle</v>
      </c>
      <c r="B582" s="59" t="s">
        <v>154</v>
      </c>
      <c r="C582" s="61">
        <v>46950</v>
      </c>
      <c r="D582" s="61">
        <f t="shared" si="328"/>
        <v>254000</v>
      </c>
      <c r="E582" s="61">
        <f t="shared" si="329"/>
        <v>245500</v>
      </c>
      <c r="F582" s="61">
        <f t="shared" si="330"/>
        <v>37450</v>
      </c>
      <c r="G582" s="61">
        <f t="shared" si="326"/>
        <v>0</v>
      </c>
      <c r="H582" s="61">
        <v>18000</v>
      </c>
      <c r="I582" s="61">
        <f t="shared" si="333"/>
        <v>18000</v>
      </c>
      <c r="J582" s="9">
        <f>I582-H582</f>
        <v>0</v>
      </c>
      <c r="K582" s="45" t="s">
        <v>197</v>
      </c>
      <c r="L582" s="47">
        <v>254000</v>
      </c>
      <c r="M582" s="47">
        <v>37450</v>
      </c>
      <c r="N582" s="47">
        <v>245500</v>
      </c>
      <c r="O582" s="47">
        <v>0</v>
      </c>
    </row>
    <row r="583" spans="1:15" x14ac:dyDescent="0.3">
      <c r="A583" s="58" t="str">
        <f t="shared" si="327"/>
        <v>I23C</v>
      </c>
      <c r="B583" s="98" t="s">
        <v>4</v>
      </c>
      <c r="C583" s="61">
        <v>112050</v>
      </c>
      <c r="D583" s="61">
        <f t="shared" si="328"/>
        <v>584000</v>
      </c>
      <c r="E583" s="61">
        <f t="shared" si="329"/>
        <v>434000</v>
      </c>
      <c r="F583" s="61">
        <f t="shared" si="330"/>
        <v>0</v>
      </c>
      <c r="G583" s="61">
        <f t="shared" si="326"/>
        <v>0</v>
      </c>
      <c r="H583" s="61">
        <v>262050</v>
      </c>
      <c r="I583" s="61">
        <f t="shared" si="333"/>
        <v>262050</v>
      </c>
      <c r="J583" s="9">
        <f t="shared" ref="J583:J584" si="334">I583-H583</f>
        <v>0</v>
      </c>
      <c r="K583" s="45" t="s">
        <v>30</v>
      </c>
      <c r="L583" s="47">
        <v>584000</v>
      </c>
      <c r="M583" s="47">
        <v>0</v>
      </c>
      <c r="N583" s="47">
        <v>434000</v>
      </c>
      <c r="O583" s="47">
        <v>0</v>
      </c>
    </row>
    <row r="584" spans="1:15" x14ac:dyDescent="0.3">
      <c r="A584" s="58" t="str">
        <f t="shared" si="327"/>
        <v>Merveille</v>
      </c>
      <c r="B584" s="59" t="s">
        <v>2</v>
      </c>
      <c r="C584" s="61">
        <v>2900</v>
      </c>
      <c r="D584" s="61">
        <f t="shared" si="328"/>
        <v>40000</v>
      </c>
      <c r="E584" s="61">
        <f t="shared" si="329"/>
        <v>31000</v>
      </c>
      <c r="F584" s="61">
        <f t="shared" si="330"/>
        <v>0</v>
      </c>
      <c r="G584" s="61">
        <f t="shared" si="326"/>
        <v>0</v>
      </c>
      <c r="H584" s="61">
        <v>11900</v>
      </c>
      <c r="I584" s="61">
        <f>+C584+D584-E584-F584+G584</f>
        <v>11900</v>
      </c>
      <c r="J584" s="9">
        <f t="shared" si="334"/>
        <v>0</v>
      </c>
      <c r="K584" s="45" t="s">
        <v>93</v>
      </c>
      <c r="L584" s="47">
        <v>40000</v>
      </c>
      <c r="M584" s="47">
        <v>0</v>
      </c>
      <c r="N584" s="47">
        <v>31000</v>
      </c>
      <c r="O584" s="47">
        <v>0</v>
      </c>
    </row>
    <row r="585" spans="1:15" x14ac:dyDescent="0.3">
      <c r="A585" s="58" t="str">
        <f t="shared" si="327"/>
        <v>P29</v>
      </c>
      <c r="B585" s="59" t="s">
        <v>4</v>
      </c>
      <c r="C585" s="61">
        <v>140700</v>
      </c>
      <c r="D585" s="61">
        <f t="shared" si="328"/>
        <v>638000</v>
      </c>
      <c r="E585" s="61">
        <f t="shared" si="329"/>
        <v>507650</v>
      </c>
      <c r="F585" s="61">
        <f t="shared" si="330"/>
        <v>50000</v>
      </c>
      <c r="G585" s="61">
        <f>+O585</f>
        <v>0</v>
      </c>
      <c r="H585" s="61">
        <v>221050</v>
      </c>
      <c r="I585" s="61">
        <f>+C585+D585-E585-F585+G585</f>
        <v>221050</v>
      </c>
      <c r="J585" s="9">
        <f>I585-H585</f>
        <v>0</v>
      </c>
      <c r="K585" s="45" t="s">
        <v>29</v>
      </c>
      <c r="L585" s="47">
        <v>638000</v>
      </c>
      <c r="M585" s="47">
        <v>50000</v>
      </c>
      <c r="N585" s="47">
        <v>507650</v>
      </c>
      <c r="O585" s="47">
        <v>0</v>
      </c>
    </row>
    <row r="586" spans="1:15" x14ac:dyDescent="0.3">
      <c r="A586" s="58" t="str">
        <f t="shared" si="327"/>
        <v>Tiffany</v>
      </c>
      <c r="B586" s="59" t="s">
        <v>2</v>
      </c>
      <c r="C586" s="61">
        <v>2241</v>
      </c>
      <c r="D586" s="61">
        <f t="shared" si="328"/>
        <v>0</v>
      </c>
      <c r="E586" s="61">
        <f t="shared" si="329"/>
        <v>6200</v>
      </c>
      <c r="F586" s="61">
        <f t="shared" si="330"/>
        <v>0</v>
      </c>
      <c r="G586" s="61">
        <f t="shared" ref="G586:G587" si="335">+O586</f>
        <v>0</v>
      </c>
      <c r="H586" s="61">
        <v>-3959</v>
      </c>
      <c r="I586" s="61">
        <f t="shared" ref="I586" si="336">+C586+D586-E586-F586+G586</f>
        <v>-3959</v>
      </c>
      <c r="J586" s="9">
        <f t="shared" ref="J586" si="337">I586-H586</f>
        <v>0</v>
      </c>
      <c r="K586" s="45" t="s">
        <v>113</v>
      </c>
      <c r="L586" s="47">
        <v>0</v>
      </c>
      <c r="M586" s="47">
        <v>0</v>
      </c>
      <c r="N586" s="47">
        <v>6200</v>
      </c>
      <c r="O586" s="47">
        <v>0</v>
      </c>
    </row>
    <row r="587" spans="1:15" x14ac:dyDescent="0.3">
      <c r="A587" s="58" t="str">
        <f t="shared" si="327"/>
        <v>Yan</v>
      </c>
      <c r="B587" s="59" t="s">
        <v>154</v>
      </c>
      <c r="C587" s="61">
        <v>10500</v>
      </c>
      <c r="D587" s="61">
        <f t="shared" si="328"/>
        <v>368000</v>
      </c>
      <c r="E587" s="61">
        <f t="shared" si="329"/>
        <v>243500</v>
      </c>
      <c r="F587" s="61">
        <f t="shared" si="330"/>
        <v>40000</v>
      </c>
      <c r="G587" s="61">
        <f t="shared" si="335"/>
        <v>0</v>
      </c>
      <c r="H587" s="61">
        <v>95000</v>
      </c>
      <c r="I587" s="61">
        <f>+C587+D587-E587-F587+G587</f>
        <v>95000</v>
      </c>
      <c r="J587" s="9">
        <f>I587-H587</f>
        <v>0</v>
      </c>
      <c r="K587" s="45" t="s">
        <v>212</v>
      </c>
      <c r="L587" s="47">
        <v>368000</v>
      </c>
      <c r="M587" s="47">
        <v>40000</v>
      </c>
      <c r="N587" s="47">
        <v>243500</v>
      </c>
      <c r="O587" s="47">
        <v>0</v>
      </c>
    </row>
    <row r="588" spans="1:15" x14ac:dyDescent="0.3">
      <c r="A588" s="10" t="s">
        <v>50</v>
      </c>
      <c r="B588" s="11"/>
      <c r="C588" s="12">
        <f t="shared" ref="C588:I588" si="338">SUM(C574:C587)</f>
        <v>23344946</v>
      </c>
      <c r="D588" s="57">
        <f t="shared" si="338"/>
        <v>10521850</v>
      </c>
      <c r="E588" s="57">
        <f t="shared" si="338"/>
        <v>11376181</v>
      </c>
      <c r="F588" s="57">
        <f t="shared" si="338"/>
        <v>10521850</v>
      </c>
      <c r="G588" s="57">
        <f t="shared" si="338"/>
        <v>0</v>
      </c>
      <c r="H588" s="57">
        <f t="shared" si="338"/>
        <v>11968765</v>
      </c>
      <c r="I588" s="57">
        <f t="shared" si="338"/>
        <v>11968765</v>
      </c>
      <c r="J588" s="9">
        <f>I588-H588</f>
        <v>0</v>
      </c>
      <c r="K588" s="3"/>
      <c r="L588" s="47">
        <f>+SUM(L574:L587)</f>
        <v>10521850</v>
      </c>
      <c r="M588" s="47">
        <f>+SUM(M574:M587)</f>
        <v>10521850</v>
      </c>
      <c r="N588" s="47">
        <f>+SUM(N574:N587)</f>
        <v>11376181</v>
      </c>
      <c r="O588" s="47">
        <f>+SUM(O574:O586)</f>
        <v>0</v>
      </c>
    </row>
    <row r="589" spans="1:15" x14ac:dyDescent="0.3">
      <c r="A589" s="10"/>
      <c r="B589" s="11"/>
      <c r="C589" s="12"/>
      <c r="D589" s="13"/>
      <c r="E589" s="12"/>
      <c r="F589" s="13"/>
      <c r="G589" s="12"/>
      <c r="H589" s="12"/>
      <c r="I589" s="134" t="b">
        <f>I588=D591</f>
        <v>1</v>
      </c>
      <c r="L589" s="5"/>
      <c r="M589" s="5"/>
      <c r="N589" s="5"/>
      <c r="O589" s="5"/>
    </row>
    <row r="590" spans="1:15" x14ac:dyDescent="0.3">
      <c r="A590" s="10" t="s">
        <v>217</v>
      </c>
      <c r="B590" s="11" t="s">
        <v>218</v>
      </c>
      <c r="C590" s="12" t="s">
        <v>219</v>
      </c>
      <c r="D590" s="12" t="s">
        <v>221</v>
      </c>
      <c r="E590" s="12" t="s">
        <v>51</v>
      </c>
      <c r="F590" s="12"/>
      <c r="G590" s="12">
        <f>+D588-F588</f>
        <v>0</v>
      </c>
      <c r="H590" s="12"/>
      <c r="I590" s="12"/>
    </row>
    <row r="591" spans="1:15" x14ac:dyDescent="0.3">
      <c r="A591" s="14">
        <f>C588</f>
        <v>23344946</v>
      </c>
      <c r="B591" s="15">
        <f>G588</f>
        <v>0</v>
      </c>
      <c r="C591" s="12">
        <f>E588</f>
        <v>11376181</v>
      </c>
      <c r="D591" s="12">
        <f>A591+B591-C591</f>
        <v>11968765</v>
      </c>
      <c r="E591" s="13">
        <f>I588-D591</f>
        <v>0</v>
      </c>
      <c r="F591" s="12"/>
      <c r="G591" s="12"/>
      <c r="H591" s="12"/>
      <c r="I591" s="12"/>
    </row>
    <row r="592" spans="1:15" x14ac:dyDescent="0.3">
      <c r="A592" s="14"/>
      <c r="B592" s="15"/>
      <c r="C592" s="12"/>
      <c r="D592" s="12"/>
      <c r="E592" s="13"/>
      <c r="F592" s="12"/>
      <c r="G592" s="12"/>
      <c r="H592" s="12"/>
      <c r="I592" s="12"/>
    </row>
    <row r="593" spans="1:11" x14ac:dyDescent="0.3">
      <c r="A593" s="16" t="s">
        <v>52</v>
      </c>
      <c r="B593" s="16"/>
      <c r="C593" s="16"/>
      <c r="D593" s="17"/>
      <c r="E593" s="17"/>
      <c r="F593" s="17"/>
      <c r="G593" s="17"/>
      <c r="H593" s="17"/>
      <c r="I593" s="17"/>
    </row>
    <row r="594" spans="1:11" x14ac:dyDescent="0.3">
      <c r="A594" s="18" t="s">
        <v>220</v>
      </c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1" x14ac:dyDescent="0.3">
      <c r="A595" s="19"/>
      <c r="B595" s="17"/>
      <c r="C595" s="20"/>
      <c r="D595" s="20"/>
      <c r="E595" s="20"/>
      <c r="F595" s="20"/>
      <c r="G595" s="20"/>
      <c r="H595" s="17"/>
      <c r="I595" s="17"/>
    </row>
    <row r="596" spans="1:11" x14ac:dyDescent="0.3">
      <c r="A596" s="169" t="s">
        <v>53</v>
      </c>
      <c r="B596" s="171" t="s">
        <v>54</v>
      </c>
      <c r="C596" s="173" t="s">
        <v>222</v>
      </c>
      <c r="D596" s="174" t="s">
        <v>55</v>
      </c>
      <c r="E596" s="175"/>
      <c r="F596" s="175"/>
      <c r="G596" s="176"/>
      <c r="H596" s="177" t="s">
        <v>56</v>
      </c>
      <c r="I596" s="165" t="s">
        <v>57</v>
      </c>
      <c r="J596" s="17"/>
    </row>
    <row r="597" spans="1:11" ht="28.5" customHeight="1" x14ac:dyDescent="0.3">
      <c r="A597" s="170"/>
      <c r="B597" s="172"/>
      <c r="C597" s="22"/>
      <c r="D597" s="21" t="s">
        <v>24</v>
      </c>
      <c r="E597" s="21" t="s">
        <v>25</v>
      </c>
      <c r="F597" s="22" t="s">
        <v>123</v>
      </c>
      <c r="G597" s="21" t="s">
        <v>58</v>
      </c>
      <c r="H597" s="178"/>
      <c r="I597" s="166"/>
      <c r="J597" s="167" t="s">
        <v>223</v>
      </c>
      <c r="K597" s="143"/>
    </row>
    <row r="598" spans="1:11" x14ac:dyDescent="0.3">
      <c r="A598" s="23"/>
      <c r="B598" s="24" t="s">
        <v>59</v>
      </c>
      <c r="C598" s="25"/>
      <c r="D598" s="25"/>
      <c r="E598" s="25"/>
      <c r="F598" s="25"/>
      <c r="G598" s="25"/>
      <c r="H598" s="25"/>
      <c r="I598" s="26"/>
      <c r="J598" s="168"/>
      <c r="K598" s="143"/>
    </row>
    <row r="599" spans="1:11" x14ac:dyDescent="0.3">
      <c r="A599" s="122" t="s">
        <v>135</v>
      </c>
      <c r="B599" s="127" t="s">
        <v>47</v>
      </c>
      <c r="C599" s="32">
        <f>+C577</f>
        <v>15750</v>
      </c>
      <c r="D599" s="31"/>
      <c r="E599" s="32">
        <f t="shared" ref="E599:E607" si="339">+D577</f>
        <v>1223400</v>
      </c>
      <c r="F599" s="32"/>
      <c r="G599" s="32"/>
      <c r="H599" s="55">
        <f t="shared" ref="H599:H607" si="340">+F577</f>
        <v>45000</v>
      </c>
      <c r="I599" s="32">
        <f t="shared" ref="I599:I607" si="341">+E577</f>
        <v>1184350</v>
      </c>
      <c r="J599" s="30">
        <f t="shared" ref="J599:J600" si="342">+SUM(C599:G599)-(H599+I599)</f>
        <v>9800</v>
      </c>
      <c r="K599" s="144" t="b">
        <f t="shared" ref="K599:K609" si="343">J599=I577</f>
        <v>1</v>
      </c>
    </row>
    <row r="600" spans="1:11" x14ac:dyDescent="0.3">
      <c r="A600" s="122" t="str">
        <f>+A599</f>
        <v>JUIN</v>
      </c>
      <c r="B600" s="127" t="s">
        <v>31</v>
      </c>
      <c r="C600" s="32">
        <f>+C578</f>
        <v>8795</v>
      </c>
      <c r="D600" s="31"/>
      <c r="E600" s="32">
        <f t="shared" si="339"/>
        <v>248000</v>
      </c>
      <c r="F600" s="32"/>
      <c r="G600" s="32"/>
      <c r="H600" s="55">
        <f t="shared" si="340"/>
        <v>0</v>
      </c>
      <c r="I600" s="32">
        <f t="shared" si="341"/>
        <v>254500</v>
      </c>
      <c r="J600" s="101">
        <f t="shared" si="342"/>
        <v>2295</v>
      </c>
      <c r="K600" s="144" t="b">
        <f t="shared" si="343"/>
        <v>1</v>
      </c>
    </row>
    <row r="601" spans="1:11" x14ac:dyDescent="0.3">
      <c r="A601" s="122" t="str">
        <f t="shared" ref="A601:A602" si="344">+A600</f>
        <v>JUIN</v>
      </c>
      <c r="B601" s="129" t="s">
        <v>84</v>
      </c>
      <c r="C601" s="120">
        <f>+C579</f>
        <v>233614</v>
      </c>
      <c r="D601" s="123"/>
      <c r="E601" s="120">
        <f t="shared" si="339"/>
        <v>0</v>
      </c>
      <c r="F601" s="137"/>
      <c r="G601" s="137"/>
      <c r="H601" s="155">
        <f t="shared" si="340"/>
        <v>0</v>
      </c>
      <c r="I601" s="120">
        <f t="shared" si="341"/>
        <v>0</v>
      </c>
      <c r="J601" s="121">
        <f>+SUM(C601:G601)-(H601+I601)</f>
        <v>233614</v>
      </c>
      <c r="K601" s="144" t="b">
        <f t="shared" si="343"/>
        <v>1</v>
      </c>
    </row>
    <row r="602" spans="1:11" x14ac:dyDescent="0.3">
      <c r="A602" s="122" t="str">
        <f t="shared" si="344"/>
        <v>JUIN</v>
      </c>
      <c r="B602" s="129" t="s">
        <v>83</v>
      </c>
      <c r="C602" s="120">
        <f>+C580</f>
        <v>249769</v>
      </c>
      <c r="D602" s="123"/>
      <c r="E602" s="120">
        <f t="shared" si="339"/>
        <v>0</v>
      </c>
      <c r="F602" s="137"/>
      <c r="G602" s="137"/>
      <c r="H602" s="155">
        <f t="shared" si="340"/>
        <v>0</v>
      </c>
      <c r="I602" s="120">
        <f t="shared" si="341"/>
        <v>0</v>
      </c>
      <c r="J602" s="121">
        <f t="shared" ref="J602:J609" si="345">+SUM(C602:G602)-(H602+I602)</f>
        <v>249769</v>
      </c>
      <c r="K602" s="144" t="b">
        <f t="shared" si="343"/>
        <v>1</v>
      </c>
    </row>
    <row r="603" spans="1:11" x14ac:dyDescent="0.3">
      <c r="A603" s="122" t="str">
        <f t="shared" ref="A603:A605" si="346">+A602</f>
        <v>JUIN</v>
      </c>
      <c r="B603" s="127" t="s">
        <v>143</v>
      </c>
      <c r="C603" s="32">
        <f>+C581</f>
        <v>14700</v>
      </c>
      <c r="D603" s="31"/>
      <c r="E603" s="32">
        <f t="shared" si="339"/>
        <v>994000</v>
      </c>
      <c r="F603" s="32"/>
      <c r="G603" s="104"/>
      <c r="H603" s="55">
        <f t="shared" si="340"/>
        <v>760000</v>
      </c>
      <c r="I603" s="32">
        <f t="shared" si="341"/>
        <v>220100</v>
      </c>
      <c r="J603" s="30">
        <f t="shared" si="345"/>
        <v>28600</v>
      </c>
      <c r="K603" s="144" t="b">
        <f t="shared" si="343"/>
        <v>1</v>
      </c>
    </row>
    <row r="604" spans="1:11" x14ac:dyDescent="0.3">
      <c r="A604" s="122" t="str">
        <f t="shared" si="346"/>
        <v>JUIN</v>
      </c>
      <c r="B604" s="127" t="s">
        <v>197</v>
      </c>
      <c r="C604" s="32">
        <f t="shared" ref="C604:C607" si="347">+C582</f>
        <v>46950</v>
      </c>
      <c r="D604" s="31"/>
      <c r="E604" s="32">
        <f t="shared" si="339"/>
        <v>254000</v>
      </c>
      <c r="F604" s="32"/>
      <c r="G604" s="104"/>
      <c r="H604" s="55">
        <f t="shared" si="340"/>
        <v>37450</v>
      </c>
      <c r="I604" s="32">
        <f t="shared" si="341"/>
        <v>245500</v>
      </c>
      <c r="J604" s="30">
        <f t="shared" si="345"/>
        <v>18000</v>
      </c>
      <c r="K604" s="144" t="b">
        <f t="shared" si="343"/>
        <v>1</v>
      </c>
    </row>
    <row r="605" spans="1:11" x14ac:dyDescent="0.3">
      <c r="A605" s="122" t="str">
        <f t="shared" si="346"/>
        <v>JUIN</v>
      </c>
      <c r="B605" s="127" t="s">
        <v>30</v>
      </c>
      <c r="C605" s="32">
        <f t="shared" si="347"/>
        <v>112050</v>
      </c>
      <c r="D605" s="31"/>
      <c r="E605" s="32">
        <f t="shared" si="339"/>
        <v>584000</v>
      </c>
      <c r="F605" s="32"/>
      <c r="G605" s="104"/>
      <c r="H605" s="55">
        <f t="shared" si="340"/>
        <v>0</v>
      </c>
      <c r="I605" s="32">
        <f t="shared" si="341"/>
        <v>434000</v>
      </c>
      <c r="J605" s="30">
        <f t="shared" si="345"/>
        <v>262050</v>
      </c>
      <c r="K605" s="144" t="b">
        <f t="shared" si="343"/>
        <v>1</v>
      </c>
    </row>
    <row r="606" spans="1:11" x14ac:dyDescent="0.3">
      <c r="A606" s="122" t="str">
        <f>+A604</f>
        <v>JUIN</v>
      </c>
      <c r="B606" s="127" t="s">
        <v>93</v>
      </c>
      <c r="C606" s="32">
        <f t="shared" si="347"/>
        <v>2900</v>
      </c>
      <c r="D606" s="31"/>
      <c r="E606" s="32">
        <f t="shared" si="339"/>
        <v>40000</v>
      </c>
      <c r="F606" s="32"/>
      <c r="G606" s="104"/>
      <c r="H606" s="55">
        <f t="shared" si="340"/>
        <v>0</v>
      </c>
      <c r="I606" s="32">
        <f t="shared" si="341"/>
        <v>31000</v>
      </c>
      <c r="J606" s="30">
        <f t="shared" si="345"/>
        <v>11900</v>
      </c>
      <c r="K606" s="144" t="b">
        <f t="shared" si="343"/>
        <v>1</v>
      </c>
    </row>
    <row r="607" spans="1:11" x14ac:dyDescent="0.3">
      <c r="A607" s="122" t="str">
        <f>+A605</f>
        <v>JUIN</v>
      </c>
      <c r="B607" s="127" t="s">
        <v>29</v>
      </c>
      <c r="C607" s="32">
        <f t="shared" si="347"/>
        <v>140700</v>
      </c>
      <c r="D607" s="31"/>
      <c r="E607" s="32">
        <f t="shared" si="339"/>
        <v>638000</v>
      </c>
      <c r="F607" s="32"/>
      <c r="G607" s="104"/>
      <c r="H607" s="55">
        <f t="shared" si="340"/>
        <v>50000</v>
      </c>
      <c r="I607" s="32">
        <f t="shared" si="341"/>
        <v>507650</v>
      </c>
      <c r="J607" s="30">
        <f t="shared" si="345"/>
        <v>221050</v>
      </c>
      <c r="K607" s="144" t="b">
        <f t="shared" si="343"/>
        <v>1</v>
      </c>
    </row>
    <row r="608" spans="1:11" x14ac:dyDescent="0.3">
      <c r="A608" s="122" t="str">
        <f>+A606</f>
        <v>JUIN</v>
      </c>
      <c r="B608" s="128" t="s">
        <v>113</v>
      </c>
      <c r="C608" s="32">
        <f t="shared" ref="C608:C609" si="348">+C586</f>
        <v>2241</v>
      </c>
      <c r="D608" s="119"/>
      <c r="E608" s="32">
        <f t="shared" ref="E608:E609" si="349">+D586</f>
        <v>0</v>
      </c>
      <c r="F608" s="51"/>
      <c r="G608" s="138"/>
      <c r="H608" s="55">
        <f t="shared" ref="H608:H609" si="350">+F586</f>
        <v>0</v>
      </c>
      <c r="I608" s="32">
        <f t="shared" ref="I608:I609" si="351">+E586</f>
        <v>6200</v>
      </c>
      <c r="J608" s="30">
        <f t="shared" si="345"/>
        <v>-3959</v>
      </c>
      <c r="K608" s="144" t="b">
        <f t="shared" si="343"/>
        <v>1</v>
      </c>
    </row>
    <row r="609" spans="1:16" x14ac:dyDescent="0.3">
      <c r="A609" s="122" t="str">
        <f>+A607</f>
        <v>JUIN</v>
      </c>
      <c r="B609" s="128" t="s">
        <v>212</v>
      </c>
      <c r="C609" s="32">
        <f t="shared" si="348"/>
        <v>10500</v>
      </c>
      <c r="D609" s="119"/>
      <c r="E609" s="32">
        <f t="shared" si="349"/>
        <v>368000</v>
      </c>
      <c r="F609" s="51"/>
      <c r="G609" s="138"/>
      <c r="H609" s="55">
        <f t="shared" si="350"/>
        <v>40000</v>
      </c>
      <c r="I609" s="32">
        <f t="shared" si="351"/>
        <v>243500</v>
      </c>
      <c r="J609" s="30">
        <f t="shared" si="345"/>
        <v>95000</v>
      </c>
      <c r="K609" s="144" t="b">
        <f t="shared" si="343"/>
        <v>1</v>
      </c>
    </row>
    <row r="610" spans="1:16" x14ac:dyDescent="0.3">
      <c r="A610" s="34" t="s">
        <v>60</v>
      </c>
      <c r="B610" s="35"/>
      <c r="C610" s="35"/>
      <c r="D610" s="35"/>
      <c r="E610" s="35"/>
      <c r="F610" s="35"/>
      <c r="G610" s="35"/>
      <c r="H610" s="35"/>
      <c r="I610" s="35"/>
      <c r="J610" s="36"/>
      <c r="K610" s="143"/>
    </row>
    <row r="611" spans="1:16" x14ac:dyDescent="0.3">
      <c r="A611" s="122" t="str">
        <f>+A609</f>
        <v>JUIN</v>
      </c>
      <c r="B611" s="37" t="s">
        <v>61</v>
      </c>
      <c r="C611" s="38">
        <f>+C576</f>
        <v>1700406</v>
      </c>
      <c r="D611" s="49"/>
      <c r="E611" s="49">
        <f>D576</f>
        <v>6172450</v>
      </c>
      <c r="F611" s="49"/>
      <c r="G611" s="125"/>
      <c r="H611" s="51">
        <f>+F576</f>
        <v>3589400</v>
      </c>
      <c r="I611" s="126">
        <f>+E576</f>
        <v>2587130</v>
      </c>
      <c r="J611" s="30">
        <f>+SUM(C611:G611)-(H611+I611)</f>
        <v>1696326</v>
      </c>
      <c r="K611" s="144" t="b">
        <f>J611=I576</f>
        <v>1</v>
      </c>
    </row>
    <row r="612" spans="1:16" x14ac:dyDescent="0.3">
      <c r="A612" s="43" t="s">
        <v>62</v>
      </c>
      <c r="B612" s="24"/>
      <c r="C612" s="35"/>
      <c r="D612" s="24"/>
      <c r="E612" s="24"/>
      <c r="F612" s="24"/>
      <c r="G612" s="24"/>
      <c r="H612" s="24"/>
      <c r="I612" s="24"/>
      <c r="J612" s="36"/>
      <c r="K612" s="143"/>
    </row>
    <row r="613" spans="1:16" x14ac:dyDescent="0.3">
      <c r="A613" s="122" t="str">
        <f>+A611</f>
        <v>JUIN</v>
      </c>
      <c r="B613" s="37" t="s">
        <v>156</v>
      </c>
      <c r="C613" s="125">
        <f>+C574</f>
        <v>8575038</v>
      </c>
      <c r="D613" s="132">
        <f>+G574</f>
        <v>0</v>
      </c>
      <c r="E613" s="49"/>
      <c r="F613" s="49"/>
      <c r="G613" s="49"/>
      <c r="H613" s="51">
        <f>+F574</f>
        <v>4000000</v>
      </c>
      <c r="I613" s="53">
        <f>+E574</f>
        <v>283345</v>
      </c>
      <c r="J613" s="30">
        <f>+SUM(C613:G613)-(H613+I613)</f>
        <v>4291693</v>
      </c>
      <c r="K613" s="144" t="b">
        <f>+J613=I574</f>
        <v>1</v>
      </c>
    </row>
    <row r="614" spans="1:16" x14ac:dyDescent="0.3">
      <c r="A614" s="122" t="str">
        <f t="shared" ref="A614" si="352">+A613</f>
        <v>JUIN</v>
      </c>
      <c r="B614" s="37" t="s">
        <v>64</v>
      </c>
      <c r="C614" s="125">
        <f>+C575</f>
        <v>12231533</v>
      </c>
      <c r="D614" s="49">
        <f>+G575</f>
        <v>0</v>
      </c>
      <c r="E614" s="48"/>
      <c r="F614" s="48"/>
      <c r="G614" s="48"/>
      <c r="H614" s="32">
        <f>+F575</f>
        <v>2000000</v>
      </c>
      <c r="I614" s="50">
        <f>+E575</f>
        <v>5378906</v>
      </c>
      <c r="J614" s="30">
        <f>SUM(C614:G614)-(H614+I614)</f>
        <v>4852627</v>
      </c>
      <c r="K614" s="144" t="b">
        <f>+J614=I575</f>
        <v>1</v>
      </c>
    </row>
    <row r="615" spans="1:16" ht="15.6" x14ac:dyDescent="0.3">
      <c r="C615" s="141">
        <f>SUM(C599:C614)</f>
        <v>23344946</v>
      </c>
      <c r="I615" s="140">
        <f>SUM(I599:I614)</f>
        <v>11376181</v>
      </c>
      <c r="J615" s="105">
        <f>+SUM(J599:J614)</f>
        <v>11968765</v>
      </c>
      <c r="K615" s="5" t="b">
        <f>J615=I588</f>
        <v>1</v>
      </c>
    </row>
    <row r="616" spans="1:16" ht="15.6" x14ac:dyDescent="0.3">
      <c r="A616" s="160"/>
      <c r="B616" s="160"/>
      <c r="C616" s="161"/>
      <c r="D616" s="160"/>
      <c r="E616" s="160"/>
      <c r="F616" s="160"/>
      <c r="G616" s="160"/>
      <c r="H616" s="160"/>
      <c r="I616" s="162"/>
      <c r="J616" s="163"/>
      <c r="K616" s="160"/>
      <c r="L616" s="164"/>
      <c r="M616" s="164"/>
      <c r="N616" s="164"/>
      <c r="O616" s="164"/>
      <c r="P616" s="160"/>
    </row>
    <row r="618" spans="1:16" ht="15.6" x14ac:dyDescent="0.3">
      <c r="A618" s="6" t="s">
        <v>36</v>
      </c>
      <c r="B618" s="6" t="s">
        <v>1</v>
      </c>
      <c r="C618" s="6">
        <v>44682</v>
      </c>
      <c r="D618" s="7" t="s">
        <v>37</v>
      </c>
      <c r="E618" s="7" t="s">
        <v>38</v>
      </c>
      <c r="F618" s="7" t="s">
        <v>39</v>
      </c>
      <c r="G618" s="7" t="s">
        <v>40</v>
      </c>
      <c r="H618" s="6">
        <v>44712</v>
      </c>
      <c r="I618" s="7" t="s">
        <v>41</v>
      </c>
      <c r="K618" s="45"/>
      <c r="L618" s="45" t="s">
        <v>42</v>
      </c>
      <c r="M618" s="45" t="s">
        <v>43</v>
      </c>
      <c r="N618" s="45" t="s">
        <v>44</v>
      </c>
      <c r="O618" s="45" t="s">
        <v>45</v>
      </c>
    </row>
    <row r="619" spans="1:16" x14ac:dyDescent="0.3">
      <c r="A619" s="58" t="str">
        <f>K619</f>
        <v>BCI</v>
      </c>
      <c r="B619" s="59" t="s">
        <v>46</v>
      </c>
      <c r="C619" s="61">
        <v>4154435</v>
      </c>
      <c r="D619" s="61">
        <f>+L619</f>
        <v>0</v>
      </c>
      <c r="E619" s="61">
        <f>+N619</f>
        <v>543345</v>
      </c>
      <c r="F619" s="61">
        <f>+M619</f>
        <v>7000000</v>
      </c>
      <c r="G619" s="61">
        <f t="shared" ref="G619:G630" si="353">+O619</f>
        <v>11963948</v>
      </c>
      <c r="H619" s="61">
        <v>8575038</v>
      </c>
      <c r="I619" s="61">
        <f>+C619+D619-E619-F619+G619</f>
        <v>8575038</v>
      </c>
      <c r="J619" s="9">
        <f>I619-H619</f>
        <v>0</v>
      </c>
      <c r="K619" s="45" t="s">
        <v>24</v>
      </c>
      <c r="L619" s="47">
        <v>0</v>
      </c>
      <c r="M619" s="47">
        <v>7000000</v>
      </c>
      <c r="N619" s="47">
        <v>543345</v>
      </c>
      <c r="O619" s="47">
        <v>11963948</v>
      </c>
    </row>
    <row r="620" spans="1:16" x14ac:dyDescent="0.3">
      <c r="A620" s="58" t="str">
        <f t="shared" ref="A620:A633" si="354">K620</f>
        <v>BCI-Sous Compte</v>
      </c>
      <c r="B620" s="59" t="s">
        <v>46</v>
      </c>
      <c r="C620" s="61">
        <v>16450956</v>
      </c>
      <c r="D620" s="61">
        <f t="shared" ref="D620:D633" si="355">+L620</f>
        <v>0</v>
      </c>
      <c r="E620" s="61">
        <f t="shared" ref="E620:E633" si="356">+N620</f>
        <v>4219423</v>
      </c>
      <c r="F620" s="61">
        <f t="shared" ref="F620:F633" si="357">+M620</f>
        <v>0</v>
      </c>
      <c r="G620" s="61">
        <f t="shared" si="353"/>
        <v>0</v>
      </c>
      <c r="H620" s="61">
        <v>12231533</v>
      </c>
      <c r="I620" s="61">
        <f>+C620+D620-E620-F620+G620</f>
        <v>12231533</v>
      </c>
      <c r="J620" s="9">
        <f t="shared" ref="J620:J627" si="358">I620-H620</f>
        <v>0</v>
      </c>
      <c r="K620" s="45" t="s">
        <v>148</v>
      </c>
      <c r="L620" s="47">
        <v>0</v>
      </c>
      <c r="M620" s="47">
        <v>0</v>
      </c>
      <c r="N620" s="47">
        <v>4219423</v>
      </c>
      <c r="O620" s="47">
        <v>0</v>
      </c>
    </row>
    <row r="621" spans="1:16" x14ac:dyDescent="0.3">
      <c r="A621" s="58" t="str">
        <f t="shared" si="354"/>
        <v>Caisse</v>
      </c>
      <c r="B621" s="59" t="s">
        <v>25</v>
      </c>
      <c r="C621" s="61">
        <v>963113</v>
      </c>
      <c r="D621" s="61">
        <f t="shared" si="355"/>
        <v>7684335</v>
      </c>
      <c r="E621" s="61">
        <f t="shared" si="356"/>
        <v>2033042</v>
      </c>
      <c r="F621" s="61">
        <f t="shared" si="357"/>
        <v>4914000</v>
      </c>
      <c r="G621" s="61">
        <f t="shared" si="353"/>
        <v>0</v>
      </c>
      <c r="H621" s="61">
        <v>1700406</v>
      </c>
      <c r="I621" s="61">
        <f>+C621+D621-E621-F621+G621</f>
        <v>1700406</v>
      </c>
      <c r="J621" s="102">
        <f t="shared" si="358"/>
        <v>0</v>
      </c>
      <c r="K621" s="45" t="s">
        <v>25</v>
      </c>
      <c r="L621" s="47">
        <v>7684335</v>
      </c>
      <c r="M621" s="47">
        <v>4914000</v>
      </c>
      <c r="N621" s="47">
        <v>2033042</v>
      </c>
      <c r="O621" s="47">
        <v>0</v>
      </c>
    </row>
    <row r="622" spans="1:16" x14ac:dyDescent="0.3">
      <c r="A622" s="58" t="str">
        <f t="shared" si="354"/>
        <v>Crépin</v>
      </c>
      <c r="B622" s="59" t="s">
        <v>154</v>
      </c>
      <c r="C622" s="61">
        <v>21850</v>
      </c>
      <c r="D622" s="61">
        <f t="shared" si="355"/>
        <v>1282000</v>
      </c>
      <c r="E622" s="61">
        <f t="shared" si="356"/>
        <v>1288100</v>
      </c>
      <c r="F622" s="61">
        <f t="shared" si="357"/>
        <v>0</v>
      </c>
      <c r="G622" s="61">
        <f t="shared" si="353"/>
        <v>0</v>
      </c>
      <c r="H622" s="61">
        <v>15750</v>
      </c>
      <c r="I622" s="61">
        <f>+C622+D622-E622-F622+G622</f>
        <v>15750</v>
      </c>
      <c r="J622" s="9">
        <f t="shared" si="358"/>
        <v>0</v>
      </c>
      <c r="K622" s="45" t="s">
        <v>47</v>
      </c>
      <c r="L622" s="47">
        <v>1282000</v>
      </c>
      <c r="M622" s="47">
        <v>0</v>
      </c>
      <c r="N622" s="47">
        <v>1288100</v>
      </c>
      <c r="O622" s="47">
        <v>0</v>
      </c>
    </row>
    <row r="623" spans="1:16" x14ac:dyDescent="0.3">
      <c r="A623" s="58" t="str">
        <f t="shared" si="354"/>
        <v>Evariste</v>
      </c>
      <c r="B623" s="59" t="s">
        <v>155</v>
      </c>
      <c r="C623" s="61">
        <v>7995</v>
      </c>
      <c r="D623" s="61">
        <f t="shared" si="355"/>
        <v>262000</v>
      </c>
      <c r="E623" s="61">
        <f t="shared" si="356"/>
        <v>261200</v>
      </c>
      <c r="F623" s="61">
        <f t="shared" si="357"/>
        <v>0</v>
      </c>
      <c r="G623" s="61">
        <f t="shared" si="353"/>
        <v>0</v>
      </c>
      <c r="H623" s="61">
        <v>8795</v>
      </c>
      <c r="I623" s="61">
        <f t="shared" ref="I623" si="359">+C623+D623-E623-F623+G623</f>
        <v>8795</v>
      </c>
      <c r="J623" s="9">
        <f t="shared" si="358"/>
        <v>0</v>
      </c>
      <c r="K623" s="45" t="s">
        <v>31</v>
      </c>
      <c r="L623" s="47">
        <v>262000</v>
      </c>
      <c r="M623" s="47">
        <v>0</v>
      </c>
      <c r="N623" s="47">
        <v>261200</v>
      </c>
      <c r="O623" s="47">
        <v>0</v>
      </c>
    </row>
    <row r="624" spans="1:16" x14ac:dyDescent="0.3">
      <c r="A624" s="58" t="str">
        <f t="shared" si="354"/>
        <v>Godfré</v>
      </c>
      <c r="B624" s="59" t="s">
        <v>154</v>
      </c>
      <c r="C624" s="61">
        <v>156335</v>
      </c>
      <c r="D624" s="61">
        <f t="shared" si="355"/>
        <v>307000</v>
      </c>
      <c r="E624" s="61">
        <f t="shared" si="356"/>
        <v>308500</v>
      </c>
      <c r="F624" s="61">
        <f t="shared" si="357"/>
        <v>154835</v>
      </c>
      <c r="G624" s="61">
        <f t="shared" si="353"/>
        <v>0</v>
      </c>
      <c r="H624" s="61">
        <v>0</v>
      </c>
      <c r="I624" s="61">
        <f>+C624+D624-E624-F624+G624</f>
        <v>0</v>
      </c>
      <c r="J624" s="9">
        <f t="shared" si="358"/>
        <v>0</v>
      </c>
      <c r="K624" s="45" t="s">
        <v>144</v>
      </c>
      <c r="L624" s="47">
        <v>307000</v>
      </c>
      <c r="M624" s="47">
        <v>154835</v>
      </c>
      <c r="N624" s="47">
        <v>308500</v>
      </c>
      <c r="O624" s="47">
        <v>0</v>
      </c>
    </row>
    <row r="625" spans="1:15" x14ac:dyDescent="0.3">
      <c r="A625" s="58" t="str">
        <f t="shared" si="354"/>
        <v>I55S</v>
      </c>
      <c r="B625" s="116" t="s">
        <v>4</v>
      </c>
      <c r="C625" s="118">
        <v>233614</v>
      </c>
      <c r="D625" s="118">
        <f t="shared" si="355"/>
        <v>0</v>
      </c>
      <c r="E625" s="118">
        <f t="shared" si="356"/>
        <v>0</v>
      </c>
      <c r="F625" s="118">
        <f t="shared" si="357"/>
        <v>0</v>
      </c>
      <c r="G625" s="118">
        <f t="shared" si="353"/>
        <v>0</v>
      </c>
      <c r="H625" s="118">
        <v>233614</v>
      </c>
      <c r="I625" s="118">
        <f>+C625+D625-E625-F625+G625</f>
        <v>233614</v>
      </c>
      <c r="J625" s="9">
        <f t="shared" si="358"/>
        <v>0</v>
      </c>
      <c r="K625" s="45" t="s">
        <v>84</v>
      </c>
      <c r="L625" s="47">
        <v>0</v>
      </c>
      <c r="M625" s="47">
        <v>0</v>
      </c>
      <c r="N625" s="47">
        <v>0</v>
      </c>
      <c r="O625" s="47">
        <v>0</v>
      </c>
    </row>
    <row r="626" spans="1:15" x14ac:dyDescent="0.3">
      <c r="A626" s="58" t="str">
        <f t="shared" si="354"/>
        <v>I73X</v>
      </c>
      <c r="B626" s="116" t="s">
        <v>4</v>
      </c>
      <c r="C626" s="118">
        <v>249769</v>
      </c>
      <c r="D626" s="118">
        <f t="shared" si="355"/>
        <v>0</v>
      </c>
      <c r="E626" s="118">
        <f t="shared" si="356"/>
        <v>0</v>
      </c>
      <c r="F626" s="118">
        <f t="shared" si="357"/>
        <v>0</v>
      </c>
      <c r="G626" s="118">
        <f t="shared" si="353"/>
        <v>0</v>
      </c>
      <c r="H626" s="118">
        <v>249769</v>
      </c>
      <c r="I626" s="118">
        <f t="shared" ref="I626:I629" si="360">+C626+D626-E626-F626+G626</f>
        <v>249769</v>
      </c>
      <c r="J626" s="9">
        <f t="shared" si="358"/>
        <v>0</v>
      </c>
      <c r="K626" s="45" t="s">
        <v>83</v>
      </c>
      <c r="L626" s="47">
        <v>0</v>
      </c>
      <c r="M626" s="47">
        <v>0</v>
      </c>
      <c r="N626" s="47">
        <v>0</v>
      </c>
      <c r="O626" s="47">
        <v>0</v>
      </c>
    </row>
    <row r="627" spans="1:15" x14ac:dyDescent="0.3">
      <c r="A627" s="58" t="str">
        <f t="shared" si="354"/>
        <v>Grace</v>
      </c>
      <c r="B627" s="98" t="s">
        <v>2</v>
      </c>
      <c r="C627" s="61">
        <v>10200</v>
      </c>
      <c r="D627" s="61">
        <f t="shared" si="355"/>
        <v>25000</v>
      </c>
      <c r="E627" s="61">
        <f t="shared" si="356"/>
        <v>20500</v>
      </c>
      <c r="F627" s="61">
        <f t="shared" si="357"/>
        <v>0</v>
      </c>
      <c r="G627" s="61">
        <f t="shared" si="353"/>
        <v>0</v>
      </c>
      <c r="H627" s="61">
        <v>14700</v>
      </c>
      <c r="I627" s="61">
        <f t="shared" si="360"/>
        <v>14700</v>
      </c>
      <c r="J627" s="9">
        <f t="shared" si="358"/>
        <v>0</v>
      </c>
      <c r="K627" s="45" t="s">
        <v>143</v>
      </c>
      <c r="L627" s="47">
        <v>25000</v>
      </c>
      <c r="M627" s="47">
        <v>0</v>
      </c>
      <c r="N627" s="47">
        <v>20500</v>
      </c>
      <c r="O627" s="47">
        <v>0</v>
      </c>
    </row>
    <row r="628" spans="1:15" x14ac:dyDescent="0.3">
      <c r="A628" s="58" t="str">
        <f t="shared" si="354"/>
        <v>Hurielle</v>
      </c>
      <c r="B628" s="59" t="s">
        <v>154</v>
      </c>
      <c r="C628" s="61">
        <v>43500</v>
      </c>
      <c r="D628" s="61">
        <f t="shared" si="355"/>
        <v>701000</v>
      </c>
      <c r="E628" s="61">
        <f t="shared" si="356"/>
        <v>697550</v>
      </c>
      <c r="F628" s="61">
        <f t="shared" si="357"/>
        <v>0</v>
      </c>
      <c r="G628" s="61">
        <f t="shared" si="353"/>
        <v>0</v>
      </c>
      <c r="H628" s="61">
        <v>46950</v>
      </c>
      <c r="I628" s="61">
        <f t="shared" si="360"/>
        <v>46950</v>
      </c>
      <c r="J628" s="9">
        <f>I628-H628</f>
        <v>0</v>
      </c>
      <c r="K628" s="45" t="s">
        <v>197</v>
      </c>
      <c r="L628" s="47">
        <v>701000</v>
      </c>
      <c r="M628" s="47">
        <v>0</v>
      </c>
      <c r="N628" s="47">
        <v>697550</v>
      </c>
      <c r="O628" s="47">
        <v>0</v>
      </c>
    </row>
    <row r="629" spans="1:15" x14ac:dyDescent="0.3">
      <c r="A629" s="58" t="str">
        <f t="shared" si="354"/>
        <v>I23C</v>
      </c>
      <c r="B629" s="98" t="s">
        <v>4</v>
      </c>
      <c r="C629" s="61">
        <v>177550</v>
      </c>
      <c r="D629" s="61">
        <f t="shared" si="355"/>
        <v>969000</v>
      </c>
      <c r="E629" s="61">
        <f t="shared" si="356"/>
        <v>814500</v>
      </c>
      <c r="F629" s="61">
        <f t="shared" si="357"/>
        <v>220000</v>
      </c>
      <c r="G629" s="61">
        <f t="shared" si="353"/>
        <v>0</v>
      </c>
      <c r="H629" s="61">
        <v>112050</v>
      </c>
      <c r="I629" s="61">
        <f t="shared" si="360"/>
        <v>112050</v>
      </c>
      <c r="J629" s="9">
        <f t="shared" ref="J629:J630" si="361">I629-H629</f>
        <v>0</v>
      </c>
      <c r="K629" s="45" t="s">
        <v>30</v>
      </c>
      <c r="L629" s="47">
        <v>969000</v>
      </c>
      <c r="M629" s="47">
        <v>220000</v>
      </c>
      <c r="N629" s="47">
        <v>814500</v>
      </c>
      <c r="O629" s="47">
        <v>0</v>
      </c>
    </row>
    <row r="630" spans="1:15" x14ac:dyDescent="0.3">
      <c r="A630" s="58" t="str">
        <f t="shared" si="354"/>
        <v>Merveille</v>
      </c>
      <c r="B630" s="59" t="s">
        <v>2</v>
      </c>
      <c r="C630" s="61">
        <v>4400</v>
      </c>
      <c r="D630" s="61">
        <f t="shared" si="355"/>
        <v>170000</v>
      </c>
      <c r="E630" s="61">
        <f t="shared" si="356"/>
        <v>161500</v>
      </c>
      <c r="F630" s="61">
        <f t="shared" si="357"/>
        <v>10000</v>
      </c>
      <c r="G630" s="61">
        <f t="shared" si="353"/>
        <v>0</v>
      </c>
      <c r="H630" s="61">
        <v>2900</v>
      </c>
      <c r="I630" s="61">
        <f>+C630+D630-E630-F630+G630</f>
        <v>2900</v>
      </c>
      <c r="J630" s="9">
        <f t="shared" si="361"/>
        <v>0</v>
      </c>
      <c r="K630" s="45" t="s">
        <v>93</v>
      </c>
      <c r="L630" s="47">
        <v>170000</v>
      </c>
      <c r="M630" s="47">
        <v>10000</v>
      </c>
      <c r="N630" s="47">
        <v>161500</v>
      </c>
      <c r="O630" s="47">
        <v>0</v>
      </c>
    </row>
    <row r="631" spans="1:15" x14ac:dyDescent="0.3">
      <c r="A631" s="58" t="str">
        <f t="shared" si="354"/>
        <v>P29</v>
      </c>
      <c r="B631" s="59" t="s">
        <v>4</v>
      </c>
      <c r="C631" s="61">
        <v>294700</v>
      </c>
      <c r="D631" s="61">
        <f t="shared" si="355"/>
        <v>671000</v>
      </c>
      <c r="E631" s="61">
        <f t="shared" si="356"/>
        <v>525000</v>
      </c>
      <c r="F631" s="61">
        <f t="shared" si="357"/>
        <v>300000</v>
      </c>
      <c r="G631" s="61">
        <f>+O631</f>
        <v>0</v>
      </c>
      <c r="H631" s="61">
        <v>140700</v>
      </c>
      <c r="I631" s="61">
        <f>+C631+D631-E631-F631+G631</f>
        <v>140700</v>
      </c>
      <c r="J631" s="9">
        <f>I631-H631</f>
        <v>0</v>
      </c>
      <c r="K631" s="45" t="s">
        <v>29</v>
      </c>
      <c r="L631" s="47">
        <v>671000</v>
      </c>
      <c r="M631" s="47">
        <v>300000</v>
      </c>
      <c r="N631" s="47">
        <v>525000</v>
      </c>
      <c r="O631" s="47">
        <v>0</v>
      </c>
    </row>
    <row r="632" spans="1:15" x14ac:dyDescent="0.3">
      <c r="A632" s="58" t="str">
        <f t="shared" si="354"/>
        <v>Paule</v>
      </c>
      <c r="B632" s="59" t="s">
        <v>154</v>
      </c>
      <c r="C632" s="61">
        <v>13500</v>
      </c>
      <c r="D632" s="61">
        <f t="shared" si="355"/>
        <v>85000</v>
      </c>
      <c r="E632" s="61">
        <f t="shared" si="356"/>
        <v>89000</v>
      </c>
      <c r="F632" s="61">
        <f t="shared" si="357"/>
        <v>9500</v>
      </c>
      <c r="G632" s="61">
        <f>+O632</f>
        <v>0</v>
      </c>
      <c r="H632" s="61">
        <v>0</v>
      </c>
      <c r="I632" s="61">
        <f>+C632+D632-E632-F632+G632</f>
        <v>0</v>
      </c>
      <c r="J632" s="9">
        <f>I632-H632</f>
        <v>0</v>
      </c>
      <c r="K632" s="45" t="s">
        <v>196</v>
      </c>
      <c r="L632" s="47">
        <v>85000</v>
      </c>
      <c r="M632" s="47">
        <v>9500</v>
      </c>
      <c r="N632" s="47">
        <v>89000</v>
      </c>
      <c r="O632" s="47">
        <v>0</v>
      </c>
    </row>
    <row r="633" spans="1:15" x14ac:dyDescent="0.3">
      <c r="A633" s="58" t="str">
        <f t="shared" si="354"/>
        <v>Tiffany</v>
      </c>
      <c r="B633" s="59" t="s">
        <v>2</v>
      </c>
      <c r="C633" s="61">
        <v>-7259</v>
      </c>
      <c r="D633" s="61">
        <f t="shared" si="355"/>
        <v>329000</v>
      </c>
      <c r="E633" s="61">
        <f t="shared" si="356"/>
        <v>93500</v>
      </c>
      <c r="F633" s="61">
        <f t="shared" si="357"/>
        <v>226000</v>
      </c>
      <c r="G633" s="61">
        <f t="shared" ref="G633" si="362">+O633</f>
        <v>0</v>
      </c>
      <c r="H633" s="61">
        <v>2241</v>
      </c>
      <c r="I633" s="61">
        <f t="shared" ref="I633" si="363">+C633+D633-E633-F633+G633</f>
        <v>2241</v>
      </c>
      <c r="J633" s="9">
        <f t="shared" ref="J633" si="364">I633-H633</f>
        <v>0</v>
      </c>
      <c r="K633" s="45" t="s">
        <v>113</v>
      </c>
      <c r="L633" s="47">
        <v>329000</v>
      </c>
      <c r="M633" s="47">
        <v>226000</v>
      </c>
      <c r="N633" s="47">
        <v>93500</v>
      </c>
      <c r="O633" s="47">
        <v>0</v>
      </c>
    </row>
    <row r="634" spans="1:15" x14ac:dyDescent="0.3">
      <c r="A634" s="58" t="str">
        <f t="shared" ref="A634" si="365">K634</f>
        <v>Yan</v>
      </c>
      <c r="B634" s="59" t="s">
        <v>154</v>
      </c>
      <c r="C634" s="61">
        <v>0</v>
      </c>
      <c r="D634" s="61">
        <f t="shared" ref="D634" si="366">+L634</f>
        <v>349000</v>
      </c>
      <c r="E634" s="61">
        <f t="shared" ref="E634" si="367">+N634</f>
        <v>338500</v>
      </c>
      <c r="F634" s="61">
        <f t="shared" ref="F634" si="368">+M634</f>
        <v>0</v>
      </c>
      <c r="G634" s="61">
        <f t="shared" ref="G634" si="369">+O634</f>
        <v>0</v>
      </c>
      <c r="H634" s="61">
        <v>10500</v>
      </c>
      <c r="I634" s="61">
        <f>+C634+D634-E634-F634+G634</f>
        <v>10500</v>
      </c>
      <c r="J634" s="9">
        <f>I634-H634</f>
        <v>0</v>
      </c>
      <c r="K634" s="45" t="s">
        <v>212</v>
      </c>
      <c r="L634" s="47">
        <v>349000</v>
      </c>
      <c r="M634" s="47">
        <v>0</v>
      </c>
      <c r="N634" s="47">
        <v>338500</v>
      </c>
      <c r="O634" s="47">
        <v>0</v>
      </c>
    </row>
    <row r="635" spans="1:15" x14ac:dyDescent="0.3">
      <c r="A635" s="10" t="s">
        <v>50</v>
      </c>
      <c r="B635" s="11"/>
      <c r="C635" s="12">
        <f t="shared" ref="C635:I635" si="370">SUM(C619:C634)</f>
        <v>22774658</v>
      </c>
      <c r="D635" s="57">
        <f t="shared" si="370"/>
        <v>12834335</v>
      </c>
      <c r="E635" s="57">
        <f t="shared" si="370"/>
        <v>11393660</v>
      </c>
      <c r="F635" s="57">
        <f t="shared" si="370"/>
        <v>12834335</v>
      </c>
      <c r="G635" s="57">
        <f t="shared" si="370"/>
        <v>11963948</v>
      </c>
      <c r="H635" s="57">
        <f t="shared" si="370"/>
        <v>23344946</v>
      </c>
      <c r="I635" s="57">
        <f t="shared" si="370"/>
        <v>23344946</v>
      </c>
      <c r="J635" s="9">
        <f>I635-H635</f>
        <v>0</v>
      </c>
      <c r="K635" s="3"/>
      <c r="L635" s="47">
        <f>+SUM(L619:L634)</f>
        <v>12834335</v>
      </c>
      <c r="M635" s="47">
        <f>+SUM(M619:M634)</f>
        <v>12834335</v>
      </c>
      <c r="N635" s="47">
        <f>+SUM(N619:N634)</f>
        <v>11393660</v>
      </c>
      <c r="O635" s="47">
        <f>+SUM(O619:O633)</f>
        <v>11963948</v>
      </c>
    </row>
    <row r="636" spans="1:15" x14ac:dyDescent="0.3">
      <c r="A636" s="10"/>
      <c r="B636" s="11"/>
      <c r="C636" s="12"/>
      <c r="D636" s="13"/>
      <c r="E636" s="12"/>
      <c r="F636" s="13"/>
      <c r="G636" s="12"/>
      <c r="H636" s="12"/>
      <c r="I636" s="134" t="b">
        <f>I635=D638</f>
        <v>1</v>
      </c>
      <c r="L636" s="5"/>
      <c r="M636" s="5"/>
      <c r="N636" s="5"/>
      <c r="O636" s="5"/>
    </row>
    <row r="637" spans="1:15" x14ac:dyDescent="0.3">
      <c r="A637" s="10" t="s">
        <v>210</v>
      </c>
      <c r="B637" s="11" t="s">
        <v>209</v>
      </c>
      <c r="C637" s="12" t="s">
        <v>208</v>
      </c>
      <c r="D637" s="12" t="s">
        <v>215</v>
      </c>
      <c r="E637" s="12" t="s">
        <v>51</v>
      </c>
      <c r="F637" s="12"/>
      <c r="G637" s="12">
        <f>+D635-F635</f>
        <v>0</v>
      </c>
      <c r="H637" s="12"/>
      <c r="I637" s="12"/>
    </row>
    <row r="638" spans="1:15" x14ac:dyDescent="0.3">
      <c r="A638" s="14">
        <f>C635</f>
        <v>22774658</v>
      </c>
      <c r="B638" s="15">
        <f>G635</f>
        <v>11963948</v>
      </c>
      <c r="C638" s="12">
        <f>E635</f>
        <v>11393660</v>
      </c>
      <c r="D638" s="12">
        <f>A638+B638-C638</f>
        <v>23344946</v>
      </c>
      <c r="E638" s="13">
        <f>I635-D638</f>
        <v>0</v>
      </c>
      <c r="F638" s="12"/>
      <c r="G638" s="12"/>
      <c r="H638" s="12"/>
      <c r="I638" s="12"/>
    </row>
    <row r="639" spans="1:15" x14ac:dyDescent="0.3">
      <c r="A639" s="14"/>
      <c r="B639" s="15"/>
      <c r="C639" s="12"/>
      <c r="D639" s="12"/>
      <c r="E639" s="13"/>
      <c r="F639" s="12"/>
      <c r="G639" s="12"/>
      <c r="H639" s="12"/>
      <c r="I639" s="12"/>
    </row>
    <row r="640" spans="1:15" x14ac:dyDescent="0.3">
      <c r="A640" s="16" t="s">
        <v>52</v>
      </c>
      <c r="B640" s="16"/>
      <c r="C640" s="16"/>
      <c r="D640" s="17"/>
      <c r="E640" s="17"/>
      <c r="F640" s="17"/>
      <c r="G640" s="17"/>
      <c r="H640" s="17"/>
      <c r="I640" s="17"/>
    </row>
    <row r="641" spans="1:11" x14ac:dyDescent="0.3">
      <c r="A641" s="18" t="s">
        <v>216</v>
      </c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1" x14ac:dyDescent="0.3">
      <c r="A642" s="19"/>
      <c r="B642" s="17"/>
      <c r="C642" s="20"/>
      <c r="D642" s="20"/>
      <c r="E642" s="20"/>
      <c r="F642" s="20"/>
      <c r="G642" s="20"/>
      <c r="H642" s="17"/>
      <c r="I642" s="17"/>
    </row>
    <row r="643" spans="1:11" x14ac:dyDescent="0.3">
      <c r="A643" s="169" t="s">
        <v>53</v>
      </c>
      <c r="B643" s="171" t="s">
        <v>54</v>
      </c>
      <c r="C643" s="173" t="s">
        <v>211</v>
      </c>
      <c r="D643" s="174" t="s">
        <v>55</v>
      </c>
      <c r="E643" s="175"/>
      <c r="F643" s="175"/>
      <c r="G643" s="176"/>
      <c r="H643" s="177" t="s">
        <v>56</v>
      </c>
      <c r="I643" s="165" t="s">
        <v>57</v>
      </c>
      <c r="J643" s="17"/>
    </row>
    <row r="644" spans="1:11" ht="28.5" customHeight="1" x14ac:dyDescent="0.3">
      <c r="A644" s="170"/>
      <c r="B644" s="172"/>
      <c r="C644" s="22"/>
      <c r="D644" s="21" t="s">
        <v>24</v>
      </c>
      <c r="E644" s="21" t="s">
        <v>25</v>
      </c>
      <c r="F644" s="22" t="s">
        <v>123</v>
      </c>
      <c r="G644" s="21" t="s">
        <v>58</v>
      </c>
      <c r="H644" s="178"/>
      <c r="I644" s="166"/>
      <c r="J644" s="167" t="s">
        <v>214</v>
      </c>
      <c r="K644" s="143"/>
    </row>
    <row r="645" spans="1:11" x14ac:dyDescent="0.3">
      <c r="A645" s="23"/>
      <c r="B645" s="24" t="s">
        <v>59</v>
      </c>
      <c r="C645" s="25"/>
      <c r="D645" s="25"/>
      <c r="E645" s="25"/>
      <c r="F645" s="25"/>
      <c r="G645" s="25"/>
      <c r="H645" s="25"/>
      <c r="I645" s="26"/>
      <c r="J645" s="168"/>
      <c r="K645" s="143"/>
    </row>
    <row r="646" spans="1:11" x14ac:dyDescent="0.3">
      <c r="A646" s="122" t="s">
        <v>131</v>
      </c>
      <c r="B646" s="127" t="s">
        <v>47</v>
      </c>
      <c r="C646" s="32">
        <f>+C622</f>
        <v>21850</v>
      </c>
      <c r="D646" s="31"/>
      <c r="E646" s="32">
        <f>+D622</f>
        <v>1282000</v>
      </c>
      <c r="F646" s="32"/>
      <c r="G646" s="32"/>
      <c r="H646" s="55">
        <f t="shared" ref="H646:H658" si="371">+F622</f>
        <v>0</v>
      </c>
      <c r="I646" s="32">
        <f t="shared" ref="I646:I658" si="372">+E622</f>
        <v>1288100</v>
      </c>
      <c r="J646" s="30">
        <f t="shared" ref="J646:J647" si="373">+SUM(C646:G646)-(H646+I646)</f>
        <v>15750</v>
      </c>
      <c r="K646" s="144" t="b">
        <f t="shared" ref="K646:K658" si="374">J646=I622</f>
        <v>1</v>
      </c>
    </row>
    <row r="647" spans="1:11" x14ac:dyDescent="0.3">
      <c r="A647" s="122" t="str">
        <f>+A646</f>
        <v>MAI</v>
      </c>
      <c r="B647" s="127" t="s">
        <v>31</v>
      </c>
      <c r="C647" s="32">
        <f t="shared" ref="C647:C648" si="375">+C623</f>
        <v>7995</v>
      </c>
      <c r="D647" s="31"/>
      <c r="E647" s="32">
        <f t="shared" ref="E647:E648" si="376">+D623</f>
        <v>262000</v>
      </c>
      <c r="F647" s="32"/>
      <c r="G647" s="32"/>
      <c r="H647" s="55">
        <f t="shared" si="371"/>
        <v>0</v>
      </c>
      <c r="I647" s="32">
        <f t="shared" si="372"/>
        <v>261200</v>
      </c>
      <c r="J647" s="101">
        <f t="shared" si="373"/>
        <v>8795</v>
      </c>
      <c r="K647" s="144" t="b">
        <f t="shared" si="374"/>
        <v>1</v>
      </c>
    </row>
    <row r="648" spans="1:11" x14ac:dyDescent="0.3">
      <c r="A648" s="122" t="str">
        <f t="shared" ref="A648:A653" si="377">+A647</f>
        <v>MAI</v>
      </c>
      <c r="B648" s="128" t="s">
        <v>144</v>
      </c>
      <c r="C648" s="32">
        <f t="shared" si="375"/>
        <v>156335</v>
      </c>
      <c r="D648" s="119"/>
      <c r="E648" s="32">
        <f t="shared" si="376"/>
        <v>307000</v>
      </c>
      <c r="F648" s="51"/>
      <c r="G648" s="51"/>
      <c r="H648" s="55">
        <f t="shared" si="371"/>
        <v>154835</v>
      </c>
      <c r="I648" s="32">
        <f t="shared" si="372"/>
        <v>308500</v>
      </c>
      <c r="J648" s="124">
        <f>+SUM(C648:G648)-(H648+I648)</f>
        <v>0</v>
      </c>
      <c r="K648" s="144" t="b">
        <f t="shared" si="374"/>
        <v>1</v>
      </c>
    </row>
    <row r="649" spans="1:11" x14ac:dyDescent="0.3">
      <c r="A649" s="122" t="str">
        <f t="shared" si="377"/>
        <v>MAI</v>
      </c>
      <c r="B649" s="129" t="s">
        <v>84</v>
      </c>
      <c r="C649" s="120">
        <f>+C625</f>
        <v>233614</v>
      </c>
      <c r="D649" s="123"/>
      <c r="E649" s="120">
        <f>+D625</f>
        <v>0</v>
      </c>
      <c r="F649" s="137"/>
      <c r="G649" s="137"/>
      <c r="H649" s="155">
        <f t="shared" si="371"/>
        <v>0</v>
      </c>
      <c r="I649" s="120">
        <f t="shared" si="372"/>
        <v>0</v>
      </c>
      <c r="J649" s="121">
        <f>+SUM(C649:G649)-(H649+I649)</f>
        <v>233614</v>
      </c>
      <c r="K649" s="144" t="b">
        <f t="shared" si="374"/>
        <v>1</v>
      </c>
    </row>
    <row r="650" spans="1:11" x14ac:dyDescent="0.3">
      <c r="A650" s="122" t="str">
        <f t="shared" si="377"/>
        <v>MAI</v>
      </c>
      <c r="B650" s="129" t="s">
        <v>83</v>
      </c>
      <c r="C650" s="120">
        <f>+C626</f>
        <v>249769</v>
      </c>
      <c r="D650" s="123"/>
      <c r="E650" s="120">
        <f>+D626</f>
        <v>0</v>
      </c>
      <c r="F650" s="137"/>
      <c r="G650" s="137"/>
      <c r="H650" s="155">
        <f t="shared" si="371"/>
        <v>0</v>
      </c>
      <c r="I650" s="120">
        <f t="shared" si="372"/>
        <v>0</v>
      </c>
      <c r="J650" s="121">
        <f t="shared" ref="J650:J658" si="378">+SUM(C650:G650)-(H650+I650)</f>
        <v>249769</v>
      </c>
      <c r="K650" s="144" t="b">
        <f t="shared" si="374"/>
        <v>1</v>
      </c>
    </row>
    <row r="651" spans="1:11" x14ac:dyDescent="0.3">
      <c r="A651" s="122" t="str">
        <f t="shared" si="377"/>
        <v>MAI</v>
      </c>
      <c r="B651" s="127" t="s">
        <v>143</v>
      </c>
      <c r="C651" s="32">
        <f>+C627</f>
        <v>10200</v>
      </c>
      <c r="D651" s="31"/>
      <c r="E651" s="32">
        <f>+D627</f>
        <v>25000</v>
      </c>
      <c r="F651" s="32"/>
      <c r="G651" s="104"/>
      <c r="H651" s="55">
        <f t="shared" si="371"/>
        <v>0</v>
      </c>
      <c r="I651" s="32">
        <f t="shared" si="372"/>
        <v>20500</v>
      </c>
      <c r="J651" s="30">
        <f t="shared" si="378"/>
        <v>14700</v>
      </c>
      <c r="K651" s="144" t="b">
        <f t="shared" si="374"/>
        <v>1</v>
      </c>
    </row>
    <row r="652" spans="1:11" x14ac:dyDescent="0.3">
      <c r="A652" s="122" t="str">
        <f t="shared" si="377"/>
        <v>MAI</v>
      </c>
      <c r="B652" s="127" t="s">
        <v>197</v>
      </c>
      <c r="C652" s="32">
        <f t="shared" ref="C652:C655" si="379">+C628</f>
        <v>43500</v>
      </c>
      <c r="D652" s="31"/>
      <c r="E652" s="32">
        <f t="shared" ref="E652:E658" si="380">+D628</f>
        <v>701000</v>
      </c>
      <c r="F652" s="32"/>
      <c r="G652" s="104"/>
      <c r="H652" s="55">
        <f t="shared" si="371"/>
        <v>0</v>
      </c>
      <c r="I652" s="32">
        <f t="shared" si="372"/>
        <v>697550</v>
      </c>
      <c r="J652" s="30">
        <f t="shared" si="378"/>
        <v>46950</v>
      </c>
      <c r="K652" s="144" t="b">
        <f t="shared" si="374"/>
        <v>1</v>
      </c>
    </row>
    <row r="653" spans="1:11" x14ac:dyDescent="0.3">
      <c r="A653" s="122" t="str">
        <f t="shared" si="377"/>
        <v>MAI</v>
      </c>
      <c r="B653" s="127" t="s">
        <v>30</v>
      </c>
      <c r="C653" s="32">
        <f t="shared" si="379"/>
        <v>177550</v>
      </c>
      <c r="D653" s="31"/>
      <c r="E653" s="32">
        <f t="shared" si="380"/>
        <v>969000</v>
      </c>
      <c r="F653" s="32"/>
      <c r="G653" s="104"/>
      <c r="H653" s="55">
        <f t="shared" si="371"/>
        <v>220000</v>
      </c>
      <c r="I653" s="32">
        <f t="shared" si="372"/>
        <v>814500</v>
      </c>
      <c r="J653" s="30">
        <f t="shared" si="378"/>
        <v>112050</v>
      </c>
      <c r="K653" s="144" t="b">
        <f t="shared" si="374"/>
        <v>1</v>
      </c>
    </row>
    <row r="654" spans="1:11" x14ac:dyDescent="0.3">
      <c r="A654" s="122" t="str">
        <f>+A652</f>
        <v>MAI</v>
      </c>
      <c r="B654" s="127" t="s">
        <v>93</v>
      </c>
      <c r="C654" s="32">
        <f t="shared" si="379"/>
        <v>4400</v>
      </c>
      <c r="D654" s="31"/>
      <c r="E654" s="32">
        <f t="shared" si="380"/>
        <v>170000</v>
      </c>
      <c r="F654" s="32"/>
      <c r="G654" s="104"/>
      <c r="H654" s="55">
        <f t="shared" si="371"/>
        <v>10000</v>
      </c>
      <c r="I654" s="32">
        <f t="shared" si="372"/>
        <v>161500</v>
      </c>
      <c r="J654" s="30">
        <f t="shared" si="378"/>
        <v>2900</v>
      </c>
      <c r="K654" s="144" t="b">
        <f t="shared" si="374"/>
        <v>1</v>
      </c>
    </row>
    <row r="655" spans="1:11" x14ac:dyDescent="0.3">
      <c r="A655" s="122" t="str">
        <f>+A653</f>
        <v>MAI</v>
      </c>
      <c r="B655" s="127" t="s">
        <v>29</v>
      </c>
      <c r="C655" s="32">
        <f t="shared" si="379"/>
        <v>294700</v>
      </c>
      <c r="D655" s="31"/>
      <c r="E655" s="32">
        <f t="shared" si="380"/>
        <v>671000</v>
      </c>
      <c r="F655" s="32"/>
      <c r="G655" s="104"/>
      <c r="H655" s="55">
        <f t="shared" si="371"/>
        <v>300000</v>
      </c>
      <c r="I655" s="32">
        <f t="shared" si="372"/>
        <v>525000</v>
      </c>
      <c r="J655" s="30">
        <f t="shared" si="378"/>
        <v>140700</v>
      </c>
      <c r="K655" s="144" t="b">
        <f t="shared" si="374"/>
        <v>1</v>
      </c>
    </row>
    <row r="656" spans="1:11" x14ac:dyDescent="0.3">
      <c r="A656" s="122" t="str">
        <f>+A654</f>
        <v>MAI</v>
      </c>
      <c r="B656" s="127" t="s">
        <v>196</v>
      </c>
      <c r="C656" s="32">
        <f>+C632</f>
        <v>13500</v>
      </c>
      <c r="D656" s="31"/>
      <c r="E656" s="32">
        <f t="shared" si="380"/>
        <v>85000</v>
      </c>
      <c r="F656" s="32"/>
      <c r="G656" s="104"/>
      <c r="H656" s="55">
        <f t="shared" si="371"/>
        <v>9500</v>
      </c>
      <c r="I656" s="32">
        <f t="shared" si="372"/>
        <v>89000</v>
      </c>
      <c r="J656" s="30">
        <f t="shared" si="378"/>
        <v>0</v>
      </c>
      <c r="K656" s="144" t="b">
        <f t="shared" si="374"/>
        <v>1</v>
      </c>
    </row>
    <row r="657" spans="1:16" x14ac:dyDescent="0.3">
      <c r="A657" s="122" t="str">
        <f>+A654</f>
        <v>MAI</v>
      </c>
      <c r="B657" s="128" t="s">
        <v>113</v>
      </c>
      <c r="C657" s="32">
        <f t="shared" ref="C657:C658" si="381">+C633</f>
        <v>-7259</v>
      </c>
      <c r="D657" s="119"/>
      <c r="E657" s="32">
        <f t="shared" si="380"/>
        <v>329000</v>
      </c>
      <c r="F657" s="51"/>
      <c r="G657" s="138"/>
      <c r="H657" s="55">
        <f t="shared" si="371"/>
        <v>226000</v>
      </c>
      <c r="I657" s="32">
        <f t="shared" si="372"/>
        <v>93500</v>
      </c>
      <c r="J657" s="30">
        <f t="shared" si="378"/>
        <v>2241</v>
      </c>
      <c r="K657" s="144" t="b">
        <f t="shared" si="374"/>
        <v>1</v>
      </c>
    </row>
    <row r="658" spans="1:16" x14ac:dyDescent="0.3">
      <c r="A658" s="122" t="str">
        <f>+A655</f>
        <v>MAI</v>
      </c>
      <c r="B658" s="128" t="s">
        <v>212</v>
      </c>
      <c r="C658" s="32">
        <f t="shared" si="381"/>
        <v>0</v>
      </c>
      <c r="D658" s="119"/>
      <c r="E658" s="32">
        <f t="shared" si="380"/>
        <v>349000</v>
      </c>
      <c r="F658" s="51"/>
      <c r="G658" s="138"/>
      <c r="H658" s="55">
        <f t="shared" si="371"/>
        <v>0</v>
      </c>
      <c r="I658" s="32">
        <f t="shared" si="372"/>
        <v>338500</v>
      </c>
      <c r="J658" s="30">
        <f t="shared" si="378"/>
        <v>10500</v>
      </c>
      <c r="K658" s="144" t="b">
        <f t="shared" si="374"/>
        <v>1</v>
      </c>
    </row>
    <row r="659" spans="1:16" x14ac:dyDescent="0.3">
      <c r="A659" s="34" t="s">
        <v>60</v>
      </c>
      <c r="B659" s="35"/>
      <c r="C659" s="35"/>
      <c r="D659" s="35"/>
      <c r="E659" s="35"/>
      <c r="F659" s="35"/>
      <c r="G659" s="35"/>
      <c r="H659" s="35"/>
      <c r="I659" s="35"/>
      <c r="J659" s="36"/>
      <c r="K659" s="143"/>
    </row>
    <row r="660" spans="1:16" x14ac:dyDescent="0.3">
      <c r="A660" s="122" t="str">
        <f>+A658</f>
        <v>MAI</v>
      </c>
      <c r="B660" s="37" t="s">
        <v>61</v>
      </c>
      <c r="C660" s="38">
        <f>+C621</f>
        <v>963113</v>
      </c>
      <c r="D660" s="49"/>
      <c r="E660" s="49">
        <f>D621</f>
        <v>7684335</v>
      </c>
      <c r="F660" s="49"/>
      <c r="G660" s="125"/>
      <c r="H660" s="51">
        <f>+F621</f>
        <v>4914000</v>
      </c>
      <c r="I660" s="126">
        <f>+E621</f>
        <v>2033042</v>
      </c>
      <c r="J660" s="30">
        <f>+SUM(C660:G660)-(H660+I660)</f>
        <v>1700406</v>
      </c>
      <c r="K660" s="144" t="b">
        <f>J660=I621</f>
        <v>1</v>
      </c>
    </row>
    <row r="661" spans="1:16" x14ac:dyDescent="0.3">
      <c r="A661" s="43" t="s">
        <v>62</v>
      </c>
      <c r="B661" s="24"/>
      <c r="C661" s="35"/>
      <c r="D661" s="24"/>
      <c r="E661" s="24"/>
      <c r="F661" s="24"/>
      <c r="G661" s="24"/>
      <c r="H661" s="24"/>
      <c r="I661" s="24"/>
      <c r="J661" s="36"/>
      <c r="K661" s="143"/>
    </row>
    <row r="662" spans="1:16" x14ac:dyDescent="0.3">
      <c r="A662" s="122" t="str">
        <f>+A660</f>
        <v>MAI</v>
      </c>
      <c r="B662" s="37" t="s">
        <v>156</v>
      </c>
      <c r="C662" s="125">
        <f>+C619</f>
        <v>4154435</v>
      </c>
      <c r="D662" s="132">
        <f>+G619</f>
        <v>11963948</v>
      </c>
      <c r="E662" s="49"/>
      <c r="F662" s="49"/>
      <c r="G662" s="49"/>
      <c r="H662" s="51">
        <f>+F619</f>
        <v>7000000</v>
      </c>
      <c r="I662" s="53">
        <f>+E619</f>
        <v>543345</v>
      </c>
      <c r="J662" s="30">
        <f>+SUM(C662:G662)-(H662+I662)</f>
        <v>8575038</v>
      </c>
      <c r="K662" s="144" t="b">
        <f>+J662=I619</f>
        <v>1</v>
      </c>
    </row>
    <row r="663" spans="1:16" x14ac:dyDescent="0.3">
      <c r="A663" s="122" t="str">
        <f t="shared" ref="A663" si="382">+A662</f>
        <v>MAI</v>
      </c>
      <c r="B663" s="37" t="s">
        <v>64</v>
      </c>
      <c r="C663" s="125">
        <f>+C620</f>
        <v>16450956</v>
      </c>
      <c r="D663" s="49">
        <f>+G620</f>
        <v>0</v>
      </c>
      <c r="E663" s="48"/>
      <c r="F663" s="48"/>
      <c r="G663" s="48"/>
      <c r="H663" s="32">
        <f>+F620</f>
        <v>0</v>
      </c>
      <c r="I663" s="50">
        <f>+E620</f>
        <v>4219423</v>
      </c>
      <c r="J663" s="30">
        <f>SUM(C663:G663)-(H663+I663)</f>
        <v>12231533</v>
      </c>
      <c r="K663" s="144" t="b">
        <f>+J663=I620</f>
        <v>1</v>
      </c>
    </row>
    <row r="664" spans="1:16" ht="15.6" x14ac:dyDescent="0.3">
      <c r="C664" s="141">
        <f>SUM(C646:C663)</f>
        <v>22774658</v>
      </c>
      <c r="I664" s="140">
        <f>SUM(I646:I663)</f>
        <v>11393660</v>
      </c>
      <c r="J664" s="105">
        <f>+SUM(J646:J663)</f>
        <v>23344946</v>
      </c>
      <c r="K664" s="5" t="b">
        <f>J664=I635</f>
        <v>1</v>
      </c>
    </row>
    <row r="665" spans="1:16" ht="15.6" x14ac:dyDescent="0.3">
      <c r="A665" s="160"/>
      <c r="B665" s="160"/>
      <c r="C665" s="161"/>
      <c r="D665" s="160"/>
      <c r="E665" s="160"/>
      <c r="F665" s="160"/>
      <c r="G665" s="160"/>
      <c r="H665" s="160"/>
      <c r="I665" s="162"/>
      <c r="J665" s="163"/>
      <c r="K665" s="160"/>
      <c r="L665" s="164"/>
      <c r="M665" s="164"/>
      <c r="N665" s="164"/>
      <c r="O665" s="164"/>
      <c r="P665" s="160"/>
    </row>
    <row r="667" spans="1:16" ht="15.6" x14ac:dyDescent="0.3">
      <c r="A667" s="6" t="s">
        <v>36</v>
      </c>
      <c r="B667" s="6" t="s">
        <v>1</v>
      </c>
      <c r="C667" s="6">
        <v>44652</v>
      </c>
      <c r="D667" s="7" t="s">
        <v>37</v>
      </c>
      <c r="E667" s="7" t="s">
        <v>38</v>
      </c>
      <c r="F667" s="7" t="s">
        <v>39</v>
      </c>
      <c r="G667" s="7" t="s">
        <v>40</v>
      </c>
      <c r="H667" s="6">
        <v>44681</v>
      </c>
      <c r="I667" s="7" t="s">
        <v>41</v>
      </c>
      <c r="K667" s="45"/>
      <c r="L667" s="45" t="s">
        <v>42</v>
      </c>
      <c r="M667" s="45" t="s">
        <v>43</v>
      </c>
      <c r="N667" s="45" t="s">
        <v>44</v>
      </c>
      <c r="O667" s="45" t="s">
        <v>45</v>
      </c>
    </row>
    <row r="668" spans="1:16" x14ac:dyDescent="0.3">
      <c r="A668" s="58" t="str">
        <f>K668</f>
        <v>BCI</v>
      </c>
      <c r="B668" s="59" t="s">
        <v>46</v>
      </c>
      <c r="C668" s="61">
        <v>9177780</v>
      </c>
      <c r="D668" s="61">
        <f>+L668</f>
        <v>0</v>
      </c>
      <c r="E668" s="61">
        <f>+N668</f>
        <v>23345</v>
      </c>
      <c r="F668" s="61">
        <f>+M668</f>
        <v>5000000</v>
      </c>
      <c r="G668" s="61">
        <f t="shared" ref="G668:G679" si="383">+O668</f>
        <v>0</v>
      </c>
      <c r="H668" s="61">
        <v>4154435</v>
      </c>
      <c r="I668" s="61">
        <f>+C668+D668-E668-F668+G668</f>
        <v>4154435</v>
      </c>
      <c r="J668" s="9">
        <f>I668-H668</f>
        <v>0</v>
      </c>
      <c r="K668" s="45" t="s">
        <v>24</v>
      </c>
      <c r="L668" s="47">
        <v>0</v>
      </c>
      <c r="M668" s="47">
        <v>5000000</v>
      </c>
      <c r="N668" s="47">
        <v>23345</v>
      </c>
      <c r="O668" s="47">
        <v>0</v>
      </c>
    </row>
    <row r="669" spans="1:16" x14ac:dyDescent="0.3">
      <c r="A669" s="58" t="str">
        <f t="shared" ref="A669:A682" si="384">K669</f>
        <v>BCI-Sous Compte</v>
      </c>
      <c r="B669" s="59" t="s">
        <v>46</v>
      </c>
      <c r="C669" s="61">
        <v>21521261</v>
      </c>
      <c r="D669" s="61">
        <f t="shared" ref="D669:D682" si="385">+L669</f>
        <v>0</v>
      </c>
      <c r="E669" s="61">
        <f t="shared" ref="E669:E682" si="386">+N669</f>
        <v>5070305</v>
      </c>
      <c r="F669" s="61">
        <f t="shared" ref="F669:F682" si="387">+M669</f>
        <v>0</v>
      </c>
      <c r="G669" s="61">
        <f t="shared" si="383"/>
        <v>0</v>
      </c>
      <c r="H669" s="61">
        <v>16450956</v>
      </c>
      <c r="I669" s="61">
        <f>+C669+D669-E669-F669+G669</f>
        <v>16450956</v>
      </c>
      <c r="J669" s="9">
        <f t="shared" ref="J669:J676" si="388">I669-H669</f>
        <v>0</v>
      </c>
      <c r="K669" s="45" t="s">
        <v>148</v>
      </c>
      <c r="L669" s="47">
        <v>0</v>
      </c>
      <c r="M669" s="47">
        <v>0</v>
      </c>
      <c r="N669" s="47">
        <v>5070305</v>
      </c>
      <c r="O669" s="47">
        <v>0</v>
      </c>
    </row>
    <row r="670" spans="1:16" x14ac:dyDescent="0.3">
      <c r="A670" s="58" t="str">
        <f t="shared" si="384"/>
        <v>Caisse</v>
      </c>
      <c r="B670" s="59" t="s">
        <v>25</v>
      </c>
      <c r="C670" s="61">
        <v>1160022</v>
      </c>
      <c r="D670" s="61">
        <f t="shared" si="385"/>
        <v>5100000</v>
      </c>
      <c r="E670" s="61">
        <f t="shared" si="386"/>
        <v>1822909</v>
      </c>
      <c r="F670" s="61">
        <f t="shared" si="387"/>
        <v>3474000</v>
      </c>
      <c r="G670" s="61">
        <f t="shared" si="383"/>
        <v>0</v>
      </c>
      <c r="H670" s="61">
        <v>963113</v>
      </c>
      <c r="I670" s="61">
        <f>+C670+D670-E670-F670+G670</f>
        <v>963113</v>
      </c>
      <c r="J670" s="102">
        <f t="shared" si="388"/>
        <v>0</v>
      </c>
      <c r="K670" s="45" t="s">
        <v>25</v>
      </c>
      <c r="L670" s="47">
        <v>5100000</v>
      </c>
      <c r="M670" s="47">
        <v>3474000</v>
      </c>
      <c r="N670" s="47">
        <v>1822909</v>
      </c>
      <c r="O670" s="47">
        <v>0</v>
      </c>
    </row>
    <row r="671" spans="1:16" x14ac:dyDescent="0.3">
      <c r="A671" s="58" t="str">
        <f t="shared" si="384"/>
        <v>Crépin</v>
      </c>
      <c r="B671" s="59" t="s">
        <v>154</v>
      </c>
      <c r="C671" s="61">
        <v>22050</v>
      </c>
      <c r="D671" s="61">
        <f t="shared" si="385"/>
        <v>462000</v>
      </c>
      <c r="E671" s="61">
        <f t="shared" si="386"/>
        <v>462200</v>
      </c>
      <c r="F671" s="61">
        <f t="shared" si="387"/>
        <v>0</v>
      </c>
      <c r="G671" s="61">
        <f t="shared" si="383"/>
        <v>0</v>
      </c>
      <c r="H671" s="61">
        <v>21850</v>
      </c>
      <c r="I671" s="61">
        <f>+C671+D671-E671-F671+G671</f>
        <v>21850</v>
      </c>
      <c r="J671" s="9">
        <f t="shared" si="388"/>
        <v>0</v>
      </c>
      <c r="K671" s="45" t="s">
        <v>47</v>
      </c>
      <c r="L671" s="47">
        <v>462000</v>
      </c>
      <c r="M671" s="47">
        <v>0</v>
      </c>
      <c r="N671" s="47">
        <v>462200</v>
      </c>
      <c r="O671" s="47">
        <v>0</v>
      </c>
    </row>
    <row r="672" spans="1:16" x14ac:dyDescent="0.3">
      <c r="A672" s="58" t="str">
        <f t="shared" si="384"/>
        <v>Evariste</v>
      </c>
      <c r="B672" s="59" t="s">
        <v>155</v>
      </c>
      <c r="C672" s="61">
        <v>13995</v>
      </c>
      <c r="D672" s="61">
        <f t="shared" si="385"/>
        <v>30000</v>
      </c>
      <c r="E672" s="61">
        <f t="shared" si="386"/>
        <v>36000</v>
      </c>
      <c r="F672" s="61">
        <f t="shared" si="387"/>
        <v>0</v>
      </c>
      <c r="G672" s="61">
        <f t="shared" si="383"/>
        <v>0</v>
      </c>
      <c r="H672" s="61">
        <v>7995</v>
      </c>
      <c r="I672" s="61">
        <f t="shared" ref="I672" si="389">+C672+D672-E672-F672+G672</f>
        <v>7995</v>
      </c>
      <c r="J672" s="9">
        <f t="shared" si="388"/>
        <v>0</v>
      </c>
      <c r="K672" s="45" t="s">
        <v>31</v>
      </c>
      <c r="L672" s="47">
        <v>30000</v>
      </c>
      <c r="M672" s="47">
        <v>0</v>
      </c>
      <c r="N672" s="47">
        <v>36000</v>
      </c>
      <c r="O672" s="47">
        <v>0</v>
      </c>
    </row>
    <row r="673" spans="1:15" x14ac:dyDescent="0.3">
      <c r="A673" s="58" t="str">
        <f t="shared" si="384"/>
        <v>Godfré</v>
      </c>
      <c r="B673" s="59" t="s">
        <v>154</v>
      </c>
      <c r="C673" s="61">
        <v>36485</v>
      </c>
      <c r="D673" s="61">
        <f t="shared" si="385"/>
        <v>486000</v>
      </c>
      <c r="E673" s="61">
        <f t="shared" si="386"/>
        <v>366150</v>
      </c>
      <c r="F673" s="61">
        <f t="shared" si="387"/>
        <v>0</v>
      </c>
      <c r="G673" s="61">
        <f t="shared" si="383"/>
        <v>0</v>
      </c>
      <c r="H673" s="61">
        <v>156335</v>
      </c>
      <c r="I673" s="61">
        <f>+C673+D673-E673-F673+G673</f>
        <v>156335</v>
      </c>
      <c r="J673" s="9">
        <f t="shared" si="388"/>
        <v>0</v>
      </c>
      <c r="K673" s="45" t="s">
        <v>144</v>
      </c>
      <c r="L673" s="47">
        <v>486000</v>
      </c>
      <c r="M673" s="47">
        <v>0</v>
      </c>
      <c r="N673" s="47">
        <v>366150</v>
      </c>
      <c r="O673" s="47">
        <v>0</v>
      </c>
    </row>
    <row r="674" spans="1:15" x14ac:dyDescent="0.3">
      <c r="A674" s="58" t="str">
        <f t="shared" si="384"/>
        <v>I55S</v>
      </c>
      <c r="B674" s="116" t="s">
        <v>4</v>
      </c>
      <c r="C674" s="118">
        <v>233614</v>
      </c>
      <c r="D674" s="118">
        <f t="shared" si="385"/>
        <v>0</v>
      </c>
      <c r="E674" s="118">
        <f t="shared" si="386"/>
        <v>0</v>
      </c>
      <c r="F674" s="118">
        <f t="shared" si="387"/>
        <v>0</v>
      </c>
      <c r="G674" s="118">
        <f t="shared" si="383"/>
        <v>0</v>
      </c>
      <c r="H674" s="118">
        <v>233614</v>
      </c>
      <c r="I674" s="118">
        <f>+C674+D674-E674-F674+G674</f>
        <v>233614</v>
      </c>
      <c r="J674" s="9">
        <f t="shared" si="388"/>
        <v>0</v>
      </c>
      <c r="K674" s="45" t="s">
        <v>84</v>
      </c>
      <c r="L674" s="47">
        <v>0</v>
      </c>
      <c r="M674" s="47">
        <v>0</v>
      </c>
      <c r="N674" s="47">
        <v>0</v>
      </c>
      <c r="O674" s="47">
        <v>0</v>
      </c>
    </row>
    <row r="675" spans="1:15" x14ac:dyDescent="0.3">
      <c r="A675" s="58" t="str">
        <f t="shared" si="384"/>
        <v>I73X</v>
      </c>
      <c r="B675" s="116" t="s">
        <v>4</v>
      </c>
      <c r="C675" s="118">
        <v>249769</v>
      </c>
      <c r="D675" s="118">
        <f t="shared" si="385"/>
        <v>0</v>
      </c>
      <c r="E675" s="118">
        <f t="shared" si="386"/>
        <v>0</v>
      </c>
      <c r="F675" s="118">
        <f t="shared" si="387"/>
        <v>0</v>
      </c>
      <c r="G675" s="118">
        <f t="shared" si="383"/>
        <v>0</v>
      </c>
      <c r="H675" s="118">
        <v>249769</v>
      </c>
      <c r="I675" s="118">
        <f t="shared" ref="I675:I678" si="390">+C675+D675-E675-F675+G675</f>
        <v>249769</v>
      </c>
      <c r="J675" s="9">
        <f t="shared" si="388"/>
        <v>0</v>
      </c>
      <c r="K675" s="45" t="s">
        <v>83</v>
      </c>
      <c r="L675" s="47">
        <v>0</v>
      </c>
      <c r="M675" s="47">
        <v>0</v>
      </c>
      <c r="N675" s="47">
        <v>0</v>
      </c>
      <c r="O675" s="47">
        <v>0</v>
      </c>
    </row>
    <row r="676" spans="1:15" x14ac:dyDescent="0.3">
      <c r="A676" s="58" t="str">
        <f t="shared" si="384"/>
        <v>Grace</v>
      </c>
      <c r="B676" s="98" t="s">
        <v>2</v>
      </c>
      <c r="C676" s="61">
        <v>10700</v>
      </c>
      <c r="D676" s="61">
        <f t="shared" si="385"/>
        <v>10000</v>
      </c>
      <c r="E676" s="61">
        <f t="shared" si="386"/>
        <v>10500</v>
      </c>
      <c r="F676" s="61">
        <f t="shared" si="387"/>
        <v>0</v>
      </c>
      <c r="G676" s="61">
        <f t="shared" si="383"/>
        <v>0</v>
      </c>
      <c r="H676" s="61">
        <v>10200</v>
      </c>
      <c r="I676" s="61">
        <f t="shared" si="390"/>
        <v>10200</v>
      </c>
      <c r="J676" s="9">
        <f t="shared" si="388"/>
        <v>0</v>
      </c>
      <c r="K676" s="45" t="s">
        <v>143</v>
      </c>
      <c r="L676" s="47">
        <v>10000</v>
      </c>
      <c r="M676" s="47">
        <v>0</v>
      </c>
      <c r="N676" s="47">
        <v>10500</v>
      </c>
      <c r="O676" s="47">
        <v>0</v>
      </c>
    </row>
    <row r="677" spans="1:15" x14ac:dyDescent="0.3">
      <c r="A677" s="58" t="str">
        <f t="shared" si="384"/>
        <v>Hurielle</v>
      </c>
      <c r="B677" s="59" t="s">
        <v>154</v>
      </c>
      <c r="C677" s="61">
        <v>52000</v>
      </c>
      <c r="D677" s="61">
        <f t="shared" si="385"/>
        <v>113000</v>
      </c>
      <c r="E677" s="61">
        <f t="shared" si="386"/>
        <v>121500</v>
      </c>
      <c r="F677" s="61">
        <f t="shared" si="387"/>
        <v>0</v>
      </c>
      <c r="G677" s="61">
        <f t="shared" si="383"/>
        <v>0</v>
      </c>
      <c r="H677" s="61">
        <v>43500</v>
      </c>
      <c r="I677" s="61">
        <f t="shared" si="390"/>
        <v>43500</v>
      </c>
      <c r="J677" s="9">
        <f>I677-H677</f>
        <v>0</v>
      </c>
      <c r="K677" s="45" t="s">
        <v>197</v>
      </c>
      <c r="L677" s="47">
        <v>113000</v>
      </c>
      <c r="M677" s="47">
        <v>0</v>
      </c>
      <c r="N677" s="47">
        <v>121500</v>
      </c>
      <c r="O677" s="47">
        <v>0</v>
      </c>
    </row>
    <row r="678" spans="1:15" x14ac:dyDescent="0.3">
      <c r="A678" s="58" t="str">
        <f t="shared" si="384"/>
        <v>I23C</v>
      </c>
      <c r="B678" s="98" t="s">
        <v>4</v>
      </c>
      <c r="C678" s="61">
        <v>116050</v>
      </c>
      <c r="D678" s="61">
        <f t="shared" si="385"/>
        <v>599000</v>
      </c>
      <c r="E678" s="61">
        <f t="shared" si="386"/>
        <v>537500</v>
      </c>
      <c r="F678" s="61">
        <f t="shared" si="387"/>
        <v>0</v>
      </c>
      <c r="G678" s="61">
        <f t="shared" si="383"/>
        <v>0</v>
      </c>
      <c r="H678" s="61">
        <v>177550</v>
      </c>
      <c r="I678" s="61">
        <f t="shared" si="390"/>
        <v>177550</v>
      </c>
      <c r="J678" s="9">
        <f t="shared" ref="J678:J679" si="391">I678-H678</f>
        <v>0</v>
      </c>
      <c r="K678" s="45" t="s">
        <v>30</v>
      </c>
      <c r="L678" s="47">
        <v>599000</v>
      </c>
      <c r="M678" s="47">
        <v>0</v>
      </c>
      <c r="N678" s="47">
        <v>537500</v>
      </c>
      <c r="O678" s="47">
        <v>0</v>
      </c>
    </row>
    <row r="679" spans="1:15" x14ac:dyDescent="0.3">
      <c r="A679" s="58" t="str">
        <f t="shared" si="384"/>
        <v>Merveille</v>
      </c>
      <c r="B679" s="59" t="s">
        <v>2</v>
      </c>
      <c r="C679" s="61">
        <v>4400</v>
      </c>
      <c r="D679" s="61">
        <f t="shared" si="385"/>
        <v>20000</v>
      </c>
      <c r="E679" s="61">
        <f t="shared" si="386"/>
        <v>20000</v>
      </c>
      <c r="F679" s="61">
        <f t="shared" si="387"/>
        <v>0</v>
      </c>
      <c r="G679" s="61">
        <f t="shared" si="383"/>
        <v>0</v>
      </c>
      <c r="H679" s="61">
        <v>4400</v>
      </c>
      <c r="I679" s="61">
        <f>+C679+D679-E679-F679+G679</f>
        <v>4400</v>
      </c>
      <c r="J679" s="9">
        <f t="shared" si="391"/>
        <v>0</v>
      </c>
      <c r="K679" s="45" t="s">
        <v>93</v>
      </c>
      <c r="L679" s="47">
        <v>20000</v>
      </c>
      <c r="M679" s="47">
        <v>0</v>
      </c>
      <c r="N679" s="47">
        <v>20000</v>
      </c>
      <c r="O679" s="47">
        <v>0</v>
      </c>
    </row>
    <row r="680" spans="1:15" x14ac:dyDescent="0.3">
      <c r="A680" s="58" t="str">
        <f t="shared" si="384"/>
        <v>P29</v>
      </c>
      <c r="B680" s="59" t="s">
        <v>4</v>
      </c>
      <c r="C680" s="61">
        <v>16200</v>
      </c>
      <c r="D680" s="61">
        <f t="shared" si="385"/>
        <v>874000</v>
      </c>
      <c r="E680" s="61">
        <f t="shared" si="386"/>
        <v>495500</v>
      </c>
      <c r="F680" s="61">
        <f t="shared" si="387"/>
        <v>100000</v>
      </c>
      <c r="G680" s="61">
        <f>+O680</f>
        <v>0</v>
      </c>
      <c r="H680" s="61">
        <v>294700</v>
      </c>
      <c r="I680" s="61">
        <f>+C680+D680-E680-F680+G680</f>
        <v>294700</v>
      </c>
      <c r="J680" s="9">
        <f>I680-H680</f>
        <v>0</v>
      </c>
      <c r="K680" s="45" t="s">
        <v>29</v>
      </c>
      <c r="L680" s="47">
        <v>874000</v>
      </c>
      <c r="M680" s="47">
        <v>100000</v>
      </c>
      <c r="N680" s="47">
        <v>495500</v>
      </c>
      <c r="O680" s="47">
        <v>0</v>
      </c>
    </row>
    <row r="681" spans="1:15" x14ac:dyDescent="0.3">
      <c r="A681" s="58" t="str">
        <f t="shared" si="384"/>
        <v>Paule</v>
      </c>
      <c r="B681" s="59" t="s">
        <v>154</v>
      </c>
      <c r="C681" s="61">
        <v>6000</v>
      </c>
      <c r="D681" s="61">
        <f t="shared" si="385"/>
        <v>80000</v>
      </c>
      <c r="E681" s="61">
        <f t="shared" si="386"/>
        <v>72500</v>
      </c>
      <c r="F681" s="61">
        <f t="shared" si="387"/>
        <v>0</v>
      </c>
      <c r="G681" s="61">
        <f>+O681</f>
        <v>0</v>
      </c>
      <c r="H681" s="61">
        <v>13500</v>
      </c>
      <c r="I681" s="61">
        <f>+C681+D681-E681-F681+G681</f>
        <v>13500</v>
      </c>
      <c r="J681" s="9">
        <f>I681-H681</f>
        <v>0</v>
      </c>
      <c r="K681" s="45" t="s">
        <v>196</v>
      </c>
      <c r="L681" s="47">
        <v>80000</v>
      </c>
      <c r="M681" s="47">
        <v>0</v>
      </c>
      <c r="N681" s="47">
        <v>72500</v>
      </c>
      <c r="O681" s="47">
        <v>0</v>
      </c>
    </row>
    <row r="682" spans="1:15" x14ac:dyDescent="0.3">
      <c r="A682" s="58" t="str">
        <f t="shared" si="384"/>
        <v>Tiffany</v>
      </c>
      <c r="B682" s="59" t="s">
        <v>2</v>
      </c>
      <c r="C682" s="61">
        <v>-790759</v>
      </c>
      <c r="D682" s="61">
        <f t="shared" si="385"/>
        <v>800000</v>
      </c>
      <c r="E682" s="61">
        <f t="shared" si="386"/>
        <v>16500</v>
      </c>
      <c r="F682" s="61">
        <f t="shared" si="387"/>
        <v>0</v>
      </c>
      <c r="G682" s="61">
        <f t="shared" ref="G682" si="392">+O682</f>
        <v>0</v>
      </c>
      <c r="H682" s="61">
        <v>-7259</v>
      </c>
      <c r="I682" s="61">
        <f t="shared" ref="I682" si="393">+C682+D682-E682-F682+G682</f>
        <v>-7259</v>
      </c>
      <c r="J682" s="9">
        <f t="shared" ref="J682" si="394">I682-H682</f>
        <v>0</v>
      </c>
      <c r="K682" s="45" t="s">
        <v>113</v>
      </c>
      <c r="L682" s="47">
        <v>800000</v>
      </c>
      <c r="M682" s="47">
        <v>0</v>
      </c>
      <c r="N682" s="47">
        <v>16500</v>
      </c>
      <c r="O682" s="47">
        <v>0</v>
      </c>
    </row>
    <row r="683" spans="1:15" x14ac:dyDescent="0.3">
      <c r="A683" s="10" t="s">
        <v>50</v>
      </c>
      <c r="B683" s="11"/>
      <c r="C683" s="12">
        <f t="shared" ref="C683:I683" si="395">SUM(C668:C682)</f>
        <v>31829567</v>
      </c>
      <c r="D683" s="57">
        <f t="shared" si="395"/>
        <v>8574000</v>
      </c>
      <c r="E683" s="57">
        <f t="shared" si="395"/>
        <v>9054909</v>
      </c>
      <c r="F683" s="57">
        <f t="shared" si="395"/>
        <v>8574000</v>
      </c>
      <c r="G683" s="57">
        <f t="shared" si="395"/>
        <v>0</v>
      </c>
      <c r="H683" s="57">
        <f t="shared" si="395"/>
        <v>22774658</v>
      </c>
      <c r="I683" s="57">
        <f t="shared" si="395"/>
        <v>22774658</v>
      </c>
      <c r="J683" s="9">
        <f>I683-H683</f>
        <v>0</v>
      </c>
      <c r="K683" s="3"/>
      <c r="L683" s="47">
        <f>+SUM(L668:L682)</f>
        <v>8574000</v>
      </c>
      <c r="M683" s="47">
        <f>+SUM(M668:M682)</f>
        <v>8574000</v>
      </c>
      <c r="N683" s="47">
        <f>+SUM(N668:N682)</f>
        <v>9054909</v>
      </c>
      <c r="O683" s="47">
        <f>+SUM(O668:O682)</f>
        <v>0</v>
      </c>
    </row>
    <row r="684" spans="1:15" x14ac:dyDescent="0.3">
      <c r="A684" s="10"/>
      <c r="B684" s="11"/>
      <c r="C684" s="12"/>
      <c r="D684" s="13"/>
      <c r="E684" s="12"/>
      <c r="F684" s="13"/>
      <c r="G684" s="12"/>
      <c r="H684" s="12"/>
      <c r="I684" s="134" t="b">
        <f>I683=D686</f>
        <v>1</v>
      </c>
      <c r="L684" s="5"/>
      <c r="M684" s="5"/>
      <c r="N684" s="5"/>
      <c r="O684" s="5"/>
    </row>
    <row r="685" spans="1:15" x14ac:dyDescent="0.3">
      <c r="A685" s="10" t="s">
        <v>201</v>
      </c>
      <c r="B685" s="11" t="s">
        <v>202</v>
      </c>
      <c r="C685" s="12" t="s">
        <v>203</v>
      </c>
      <c r="D685" s="12" t="s">
        <v>204</v>
      </c>
      <c r="E685" s="12" t="s">
        <v>51</v>
      </c>
      <c r="F685" s="12"/>
      <c r="G685" s="12">
        <f>+D683-F683</f>
        <v>0</v>
      </c>
      <c r="H685" s="12"/>
      <c r="I685" s="12"/>
    </row>
    <row r="686" spans="1:15" x14ac:dyDescent="0.3">
      <c r="A686" s="14">
        <f>C683</f>
        <v>31829567</v>
      </c>
      <c r="B686" s="15">
        <f>G683</f>
        <v>0</v>
      </c>
      <c r="C686" s="12">
        <f>E683</f>
        <v>9054909</v>
      </c>
      <c r="D686" s="12">
        <f>A686+B686-C686</f>
        <v>22774658</v>
      </c>
      <c r="E686" s="13">
        <f>I683-D686</f>
        <v>0</v>
      </c>
      <c r="F686" s="12"/>
      <c r="G686" s="12"/>
      <c r="H686" s="12"/>
      <c r="I686" s="12"/>
    </row>
    <row r="687" spans="1:15" x14ac:dyDescent="0.3">
      <c r="A687" s="14"/>
      <c r="B687" s="15"/>
      <c r="C687" s="12"/>
      <c r="D687" s="12"/>
      <c r="E687" s="13"/>
      <c r="F687" s="12"/>
      <c r="G687" s="12"/>
      <c r="H687" s="12"/>
      <c r="I687" s="12"/>
    </row>
    <row r="688" spans="1:15" x14ac:dyDescent="0.3">
      <c r="A688" s="16" t="s">
        <v>52</v>
      </c>
      <c r="B688" s="16"/>
      <c r="C688" s="16"/>
      <c r="D688" s="17"/>
      <c r="E688" s="17"/>
      <c r="F688" s="17"/>
      <c r="G688" s="17"/>
      <c r="H688" s="17"/>
      <c r="I688" s="17"/>
    </row>
    <row r="689" spans="1:11" x14ac:dyDescent="0.3">
      <c r="A689" s="18" t="s">
        <v>205</v>
      </c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1" x14ac:dyDescent="0.3">
      <c r="A690" s="19"/>
      <c r="B690" s="17"/>
      <c r="C690" s="20"/>
      <c r="D690" s="20"/>
      <c r="E690" s="20"/>
      <c r="F690" s="20"/>
      <c r="G690" s="20"/>
      <c r="H690" s="17"/>
      <c r="I690" s="17"/>
    </row>
    <row r="691" spans="1:11" x14ac:dyDescent="0.3">
      <c r="A691" s="169" t="s">
        <v>53</v>
      </c>
      <c r="B691" s="171" t="s">
        <v>54</v>
      </c>
      <c r="C691" s="173" t="s">
        <v>206</v>
      </c>
      <c r="D691" s="174" t="s">
        <v>55</v>
      </c>
      <c r="E691" s="175"/>
      <c r="F691" s="175"/>
      <c r="G691" s="176"/>
      <c r="H691" s="177" t="s">
        <v>56</v>
      </c>
      <c r="I691" s="165" t="s">
        <v>57</v>
      </c>
      <c r="J691" s="17"/>
    </row>
    <row r="692" spans="1:11" ht="28.5" customHeight="1" x14ac:dyDescent="0.3">
      <c r="A692" s="170"/>
      <c r="B692" s="172"/>
      <c r="C692" s="22"/>
      <c r="D692" s="21" t="s">
        <v>24</v>
      </c>
      <c r="E692" s="21" t="s">
        <v>25</v>
      </c>
      <c r="F692" s="22" t="s">
        <v>123</v>
      </c>
      <c r="G692" s="21" t="s">
        <v>58</v>
      </c>
      <c r="H692" s="178"/>
      <c r="I692" s="166"/>
      <c r="J692" s="167" t="s">
        <v>207</v>
      </c>
      <c r="K692" s="143"/>
    </row>
    <row r="693" spans="1:11" x14ac:dyDescent="0.3">
      <c r="A693" s="23"/>
      <c r="B693" s="24" t="s">
        <v>59</v>
      </c>
      <c r="C693" s="25"/>
      <c r="D693" s="25"/>
      <c r="E693" s="25"/>
      <c r="F693" s="25"/>
      <c r="G693" s="25"/>
      <c r="H693" s="25"/>
      <c r="I693" s="26"/>
      <c r="J693" s="168"/>
      <c r="K693" s="143"/>
    </row>
    <row r="694" spans="1:11" x14ac:dyDescent="0.3">
      <c r="A694" s="122" t="s">
        <v>127</v>
      </c>
      <c r="B694" s="127" t="s">
        <v>47</v>
      </c>
      <c r="C694" s="32">
        <f>+C671</f>
        <v>22050</v>
      </c>
      <c r="D694" s="31"/>
      <c r="E694" s="32">
        <f>+D671</f>
        <v>462000</v>
      </c>
      <c r="F694" s="32"/>
      <c r="G694" s="32"/>
      <c r="H694" s="55">
        <f t="shared" ref="H694:H705" si="396">+F671</f>
        <v>0</v>
      </c>
      <c r="I694" s="32">
        <f t="shared" ref="I694:I705" si="397">+E671</f>
        <v>462200</v>
      </c>
      <c r="J694" s="30">
        <f t="shared" ref="J694:J695" si="398">+SUM(C694:G694)-(H694+I694)</f>
        <v>21850</v>
      </c>
      <c r="K694" s="144" t="b">
        <f t="shared" ref="K694:K705" si="399">J694=I671</f>
        <v>1</v>
      </c>
    </row>
    <row r="695" spans="1:11" x14ac:dyDescent="0.3">
      <c r="A695" s="122" t="str">
        <f>+A694</f>
        <v>AVRIL</v>
      </c>
      <c r="B695" s="127" t="s">
        <v>31</v>
      </c>
      <c r="C695" s="32">
        <f t="shared" ref="C695:C696" si="400">+C672</f>
        <v>13995</v>
      </c>
      <c r="D695" s="31"/>
      <c r="E695" s="32">
        <f t="shared" ref="E695:E696" si="401">+D672</f>
        <v>30000</v>
      </c>
      <c r="F695" s="32"/>
      <c r="G695" s="32"/>
      <c r="H695" s="55">
        <f t="shared" si="396"/>
        <v>0</v>
      </c>
      <c r="I695" s="32">
        <f t="shared" si="397"/>
        <v>36000</v>
      </c>
      <c r="J695" s="101">
        <f t="shared" si="398"/>
        <v>7995</v>
      </c>
      <c r="K695" s="144" t="b">
        <f t="shared" si="399"/>
        <v>1</v>
      </c>
    </row>
    <row r="696" spans="1:11" x14ac:dyDescent="0.3">
      <c r="A696" s="122" t="str">
        <f t="shared" ref="A696:A701" si="402">+A695</f>
        <v>AVRIL</v>
      </c>
      <c r="B696" s="128" t="s">
        <v>144</v>
      </c>
      <c r="C696" s="32">
        <f t="shared" si="400"/>
        <v>36485</v>
      </c>
      <c r="D696" s="119"/>
      <c r="E696" s="32">
        <f t="shared" si="401"/>
        <v>486000</v>
      </c>
      <c r="F696" s="51"/>
      <c r="G696" s="51"/>
      <c r="H696" s="55">
        <f t="shared" si="396"/>
        <v>0</v>
      </c>
      <c r="I696" s="32">
        <f t="shared" si="397"/>
        <v>366150</v>
      </c>
      <c r="J696" s="124">
        <f>+SUM(C696:G696)-(H696+I696)</f>
        <v>156335</v>
      </c>
      <c r="K696" s="144" t="b">
        <f t="shared" si="399"/>
        <v>1</v>
      </c>
    </row>
    <row r="697" spans="1:11" x14ac:dyDescent="0.3">
      <c r="A697" s="122" t="str">
        <f t="shared" si="402"/>
        <v>AVRIL</v>
      </c>
      <c r="B697" s="129" t="s">
        <v>84</v>
      </c>
      <c r="C697" s="120">
        <f>+C674</f>
        <v>233614</v>
      </c>
      <c r="D697" s="123"/>
      <c r="E697" s="120">
        <f>+D674</f>
        <v>0</v>
      </c>
      <c r="F697" s="137"/>
      <c r="G697" s="137"/>
      <c r="H697" s="155">
        <f t="shared" si="396"/>
        <v>0</v>
      </c>
      <c r="I697" s="120">
        <f t="shared" si="397"/>
        <v>0</v>
      </c>
      <c r="J697" s="121">
        <f>+SUM(C697:G697)-(H697+I697)</f>
        <v>233614</v>
      </c>
      <c r="K697" s="144" t="b">
        <f t="shared" si="399"/>
        <v>1</v>
      </c>
    </row>
    <row r="698" spans="1:11" x14ac:dyDescent="0.3">
      <c r="A698" s="122" t="str">
        <f t="shared" si="402"/>
        <v>AVRIL</v>
      </c>
      <c r="B698" s="129" t="s">
        <v>83</v>
      </c>
      <c r="C698" s="120">
        <f>+C675</f>
        <v>249769</v>
      </c>
      <c r="D698" s="123"/>
      <c r="E698" s="120">
        <f>+D675</f>
        <v>0</v>
      </c>
      <c r="F698" s="137"/>
      <c r="G698" s="137"/>
      <c r="H698" s="155">
        <f t="shared" si="396"/>
        <v>0</v>
      </c>
      <c r="I698" s="120">
        <f t="shared" si="397"/>
        <v>0</v>
      </c>
      <c r="J698" s="121">
        <f t="shared" ref="J698:J705" si="403">+SUM(C698:G698)-(H698+I698)</f>
        <v>249769</v>
      </c>
      <c r="K698" s="144" t="b">
        <f t="shared" si="399"/>
        <v>1</v>
      </c>
    </row>
    <row r="699" spans="1:11" x14ac:dyDescent="0.3">
      <c r="A699" s="122" t="str">
        <f t="shared" si="402"/>
        <v>AVRIL</v>
      </c>
      <c r="B699" s="127" t="s">
        <v>143</v>
      </c>
      <c r="C699" s="32">
        <f>+C676</f>
        <v>10700</v>
      </c>
      <c r="D699" s="31"/>
      <c r="E699" s="32">
        <f>+D676</f>
        <v>10000</v>
      </c>
      <c r="F699" s="32"/>
      <c r="G699" s="104"/>
      <c r="H699" s="55">
        <f t="shared" si="396"/>
        <v>0</v>
      </c>
      <c r="I699" s="32">
        <f t="shared" si="397"/>
        <v>10500</v>
      </c>
      <c r="J699" s="30">
        <f t="shared" si="403"/>
        <v>10200</v>
      </c>
      <c r="K699" s="144" t="b">
        <f t="shared" si="399"/>
        <v>1</v>
      </c>
    </row>
    <row r="700" spans="1:11" x14ac:dyDescent="0.3">
      <c r="A700" s="122" t="str">
        <f t="shared" si="402"/>
        <v>AVRIL</v>
      </c>
      <c r="B700" s="127" t="s">
        <v>197</v>
      </c>
      <c r="C700" s="32">
        <f t="shared" ref="C700:C703" si="404">+C677</f>
        <v>52000</v>
      </c>
      <c r="D700" s="31"/>
      <c r="E700" s="32">
        <f t="shared" ref="E700:E705" si="405">+D677</f>
        <v>113000</v>
      </c>
      <c r="F700" s="32"/>
      <c r="G700" s="104"/>
      <c r="H700" s="55">
        <f t="shared" si="396"/>
        <v>0</v>
      </c>
      <c r="I700" s="32">
        <f t="shared" si="397"/>
        <v>121500</v>
      </c>
      <c r="J700" s="30">
        <f t="shared" si="403"/>
        <v>43500</v>
      </c>
      <c r="K700" s="144" t="b">
        <f t="shared" si="399"/>
        <v>1</v>
      </c>
    </row>
    <row r="701" spans="1:11" x14ac:dyDescent="0.3">
      <c r="A701" s="122" t="str">
        <f t="shared" si="402"/>
        <v>AVRIL</v>
      </c>
      <c r="B701" s="127" t="s">
        <v>30</v>
      </c>
      <c r="C701" s="32">
        <f t="shared" si="404"/>
        <v>116050</v>
      </c>
      <c r="D701" s="31"/>
      <c r="E701" s="32">
        <f t="shared" si="405"/>
        <v>599000</v>
      </c>
      <c r="F701" s="32"/>
      <c r="G701" s="104"/>
      <c r="H701" s="55">
        <f t="shared" si="396"/>
        <v>0</v>
      </c>
      <c r="I701" s="32">
        <f t="shared" si="397"/>
        <v>537500</v>
      </c>
      <c r="J701" s="30">
        <f t="shared" si="403"/>
        <v>177550</v>
      </c>
      <c r="K701" s="144" t="b">
        <f t="shared" si="399"/>
        <v>1</v>
      </c>
    </row>
    <row r="702" spans="1:11" x14ac:dyDescent="0.3">
      <c r="A702" s="122" t="str">
        <f>+A700</f>
        <v>AVRIL</v>
      </c>
      <c r="B702" s="127" t="s">
        <v>93</v>
      </c>
      <c r="C702" s="32">
        <f t="shared" si="404"/>
        <v>4400</v>
      </c>
      <c r="D702" s="31"/>
      <c r="E702" s="32">
        <f t="shared" si="405"/>
        <v>20000</v>
      </c>
      <c r="F702" s="32"/>
      <c r="G702" s="104"/>
      <c r="H702" s="55">
        <f t="shared" si="396"/>
        <v>0</v>
      </c>
      <c r="I702" s="32">
        <f t="shared" si="397"/>
        <v>20000</v>
      </c>
      <c r="J702" s="30">
        <f t="shared" si="403"/>
        <v>4400</v>
      </c>
      <c r="K702" s="144" t="b">
        <f t="shared" si="399"/>
        <v>1</v>
      </c>
    </row>
    <row r="703" spans="1:11" x14ac:dyDescent="0.3">
      <c r="A703" s="122" t="str">
        <f>+A701</f>
        <v>AVRIL</v>
      </c>
      <c r="B703" s="127" t="s">
        <v>29</v>
      </c>
      <c r="C703" s="32">
        <f t="shared" si="404"/>
        <v>16200</v>
      </c>
      <c r="D703" s="31"/>
      <c r="E703" s="32">
        <f t="shared" si="405"/>
        <v>874000</v>
      </c>
      <c r="F703" s="32"/>
      <c r="G703" s="104"/>
      <c r="H703" s="55">
        <f t="shared" si="396"/>
        <v>100000</v>
      </c>
      <c r="I703" s="32">
        <f t="shared" si="397"/>
        <v>495500</v>
      </c>
      <c r="J703" s="30">
        <f t="shared" si="403"/>
        <v>294700</v>
      </c>
      <c r="K703" s="144" t="b">
        <f t="shared" si="399"/>
        <v>1</v>
      </c>
    </row>
    <row r="704" spans="1:11" x14ac:dyDescent="0.3">
      <c r="A704" s="122" t="str">
        <f>+A702</f>
        <v>AVRIL</v>
      </c>
      <c r="B704" s="127" t="s">
        <v>196</v>
      </c>
      <c r="C704" s="32">
        <f>+C681</f>
        <v>6000</v>
      </c>
      <c r="D704" s="31"/>
      <c r="E704" s="32">
        <f t="shared" si="405"/>
        <v>80000</v>
      </c>
      <c r="F704" s="32"/>
      <c r="G704" s="104"/>
      <c r="H704" s="55">
        <f t="shared" si="396"/>
        <v>0</v>
      </c>
      <c r="I704" s="32">
        <f t="shared" si="397"/>
        <v>72500</v>
      </c>
      <c r="J704" s="30">
        <f t="shared" si="403"/>
        <v>13500</v>
      </c>
      <c r="K704" s="144" t="b">
        <f t="shared" si="399"/>
        <v>1</v>
      </c>
    </row>
    <row r="705" spans="1:16" x14ac:dyDescent="0.3">
      <c r="A705" s="122" t="str">
        <f>+A703</f>
        <v>AVRIL</v>
      </c>
      <c r="B705" s="128" t="s">
        <v>113</v>
      </c>
      <c r="C705" s="32">
        <f t="shared" ref="C705" si="406">+C682</f>
        <v>-790759</v>
      </c>
      <c r="D705" s="119"/>
      <c r="E705" s="32">
        <f t="shared" si="405"/>
        <v>800000</v>
      </c>
      <c r="F705" s="51"/>
      <c r="G705" s="138"/>
      <c r="H705" s="55">
        <f t="shared" si="396"/>
        <v>0</v>
      </c>
      <c r="I705" s="32">
        <f t="shared" si="397"/>
        <v>16500</v>
      </c>
      <c r="J705" s="30">
        <f t="shared" si="403"/>
        <v>-7259</v>
      </c>
      <c r="K705" s="144" t="b">
        <f t="shared" si="399"/>
        <v>1</v>
      </c>
    </row>
    <row r="706" spans="1:16" x14ac:dyDescent="0.3">
      <c r="A706" s="34" t="s">
        <v>60</v>
      </c>
      <c r="B706" s="35"/>
      <c r="C706" s="35"/>
      <c r="D706" s="35"/>
      <c r="E706" s="35"/>
      <c r="F706" s="35"/>
      <c r="G706" s="35"/>
      <c r="H706" s="35"/>
      <c r="I706" s="35"/>
      <c r="J706" s="36"/>
      <c r="K706" s="143"/>
    </row>
    <row r="707" spans="1:16" x14ac:dyDescent="0.3">
      <c r="A707" s="122" t="str">
        <f>+A705</f>
        <v>AVRIL</v>
      </c>
      <c r="B707" s="37" t="s">
        <v>61</v>
      </c>
      <c r="C707" s="38">
        <f>+C670</f>
        <v>1160022</v>
      </c>
      <c r="D707" s="49"/>
      <c r="E707" s="49">
        <f>D670</f>
        <v>5100000</v>
      </c>
      <c r="F707" s="49"/>
      <c r="G707" s="125"/>
      <c r="H707" s="51">
        <f>+F670</f>
        <v>3474000</v>
      </c>
      <c r="I707" s="126">
        <f>+E670</f>
        <v>1822909</v>
      </c>
      <c r="J707" s="30">
        <f>+SUM(C707:G707)-(H707+I707)</f>
        <v>963113</v>
      </c>
      <c r="K707" s="144" t="b">
        <f>J707=I670</f>
        <v>1</v>
      </c>
    </row>
    <row r="708" spans="1:16" x14ac:dyDescent="0.3">
      <c r="A708" s="43" t="s">
        <v>62</v>
      </c>
      <c r="B708" s="24"/>
      <c r="C708" s="35"/>
      <c r="D708" s="24"/>
      <c r="E708" s="24"/>
      <c r="F708" s="24"/>
      <c r="G708" s="24"/>
      <c r="H708" s="24"/>
      <c r="I708" s="24"/>
      <c r="J708" s="36"/>
      <c r="K708" s="143"/>
    </row>
    <row r="709" spans="1:16" x14ac:dyDescent="0.3">
      <c r="A709" s="122" t="str">
        <f>+A707</f>
        <v>AVRIL</v>
      </c>
      <c r="B709" s="37" t="s">
        <v>156</v>
      </c>
      <c r="C709" s="125">
        <f>+C668</f>
        <v>9177780</v>
      </c>
      <c r="D709" s="132">
        <f>+G668</f>
        <v>0</v>
      </c>
      <c r="E709" s="49"/>
      <c r="F709" s="49"/>
      <c r="G709" s="49"/>
      <c r="H709" s="51">
        <f>+F668</f>
        <v>5000000</v>
      </c>
      <c r="I709" s="53">
        <f>+E668</f>
        <v>23345</v>
      </c>
      <c r="J709" s="30">
        <f>+SUM(C709:G709)-(H709+I709)</f>
        <v>4154435</v>
      </c>
      <c r="K709" s="144" t="b">
        <f>+J709=I668</f>
        <v>1</v>
      </c>
    </row>
    <row r="710" spans="1:16" x14ac:dyDescent="0.3">
      <c r="A710" s="122" t="str">
        <f t="shared" ref="A710" si="407">+A709</f>
        <v>AVRIL</v>
      </c>
      <c r="B710" s="37" t="s">
        <v>64</v>
      </c>
      <c r="C710" s="125">
        <f>+C669</f>
        <v>21521261</v>
      </c>
      <c r="D710" s="49">
        <f>+G669</f>
        <v>0</v>
      </c>
      <c r="E710" s="48"/>
      <c r="F710" s="48"/>
      <c r="G710" s="48"/>
      <c r="H710" s="32">
        <f>+F669</f>
        <v>0</v>
      </c>
      <c r="I710" s="50">
        <f>+E669</f>
        <v>5070305</v>
      </c>
      <c r="J710" s="30">
        <f>SUM(C710:G710)-(H710+I710)</f>
        <v>16450956</v>
      </c>
      <c r="K710" s="144" t="b">
        <f>+J710=I669</f>
        <v>1</v>
      </c>
    </row>
    <row r="711" spans="1:16" ht="15.6" x14ac:dyDescent="0.3">
      <c r="C711" s="141">
        <f>SUM(C694:C710)</f>
        <v>31829567</v>
      </c>
      <c r="I711" s="140">
        <f>SUM(I694:I710)</f>
        <v>9054909</v>
      </c>
      <c r="J711" s="105">
        <f>+SUM(J694:J710)</f>
        <v>22774658</v>
      </c>
      <c r="K711" s="5" t="b">
        <f>J711=I683</f>
        <v>1</v>
      </c>
    </row>
    <row r="712" spans="1:16" ht="15.6" x14ac:dyDescent="0.3">
      <c r="A712" s="160"/>
      <c r="B712" s="160"/>
      <c r="C712" s="161"/>
      <c r="D712" s="160"/>
      <c r="E712" s="160"/>
      <c r="F712" s="160"/>
      <c r="G712" s="160"/>
      <c r="H712" s="160"/>
      <c r="I712" s="162"/>
      <c r="J712" s="163"/>
      <c r="K712" s="160"/>
      <c r="L712" s="164"/>
      <c r="M712" s="164"/>
      <c r="N712" s="164"/>
      <c r="O712" s="164"/>
      <c r="P712" s="160"/>
    </row>
    <row r="715" spans="1:16" ht="15.6" x14ac:dyDescent="0.3">
      <c r="A715" s="6" t="s">
        <v>36</v>
      </c>
      <c r="B715" s="6" t="s">
        <v>1</v>
      </c>
      <c r="C715" s="6">
        <v>44621</v>
      </c>
      <c r="D715" s="7" t="s">
        <v>37</v>
      </c>
      <c r="E715" s="7" t="s">
        <v>38</v>
      </c>
      <c r="F715" s="7" t="s">
        <v>39</v>
      </c>
      <c r="G715" s="7" t="s">
        <v>40</v>
      </c>
      <c r="H715" s="6">
        <v>44651</v>
      </c>
      <c r="I715" s="7" t="s">
        <v>41</v>
      </c>
      <c r="K715" s="45"/>
      <c r="L715" s="45" t="s">
        <v>42</v>
      </c>
      <c r="M715" s="45" t="s">
        <v>43</v>
      </c>
      <c r="N715" s="45" t="s">
        <v>44</v>
      </c>
      <c r="O715" s="45" t="s">
        <v>45</v>
      </c>
    </row>
    <row r="716" spans="1:16" x14ac:dyDescent="0.3">
      <c r="A716" s="58" t="str">
        <f>K716</f>
        <v>BCI</v>
      </c>
      <c r="B716" s="59" t="s">
        <v>46</v>
      </c>
      <c r="C716" s="61">
        <v>888683</v>
      </c>
      <c r="D716" s="61">
        <f>+L716</f>
        <v>0</v>
      </c>
      <c r="E716" s="61">
        <f>+N716</f>
        <v>543345</v>
      </c>
      <c r="F716" s="61">
        <f>+M716</f>
        <v>2600000</v>
      </c>
      <c r="G716" s="61">
        <f t="shared" ref="G716:G727" si="408">+O716</f>
        <v>11432442</v>
      </c>
      <c r="H716" s="61">
        <v>9177780</v>
      </c>
      <c r="I716" s="61">
        <f>+C716+D716-E716-F716+G716</f>
        <v>9177780</v>
      </c>
      <c r="J716" s="9">
        <f>I716-H716</f>
        <v>0</v>
      </c>
      <c r="K716" s="45" t="s">
        <v>24</v>
      </c>
      <c r="L716" s="47">
        <v>0</v>
      </c>
      <c r="M716" s="47">
        <v>2600000</v>
      </c>
      <c r="N716" s="47">
        <v>543345</v>
      </c>
      <c r="O716" s="47">
        <v>11432442</v>
      </c>
    </row>
    <row r="717" spans="1:16" x14ac:dyDescent="0.3">
      <c r="A717" s="58" t="str">
        <f t="shared" ref="A717:A730" si="409">K717</f>
        <v>BCI-Sous Compte</v>
      </c>
      <c r="B717" s="59" t="s">
        <v>46</v>
      </c>
      <c r="C717" s="61">
        <v>882502</v>
      </c>
      <c r="D717" s="61">
        <f t="shared" ref="D717:D730" si="410">+L717</f>
        <v>0</v>
      </c>
      <c r="E717" s="61">
        <f t="shared" ref="E717:E730" si="411">+N717</f>
        <v>6117606</v>
      </c>
      <c r="F717" s="61">
        <f t="shared" ref="F717:F730" si="412">+M717</f>
        <v>1600000</v>
      </c>
      <c r="G717" s="61">
        <f t="shared" si="408"/>
        <v>28356365</v>
      </c>
      <c r="H717" s="61">
        <v>21521261</v>
      </c>
      <c r="I717" s="61">
        <f>+C717+D717-E717-F717+G717</f>
        <v>21521261</v>
      </c>
      <c r="J717" s="9">
        <f t="shared" ref="J717:J724" si="413">I717-H717</f>
        <v>0</v>
      </c>
      <c r="K717" s="45" t="s">
        <v>148</v>
      </c>
      <c r="L717" s="47">
        <v>0</v>
      </c>
      <c r="M717" s="47">
        <v>1600000</v>
      </c>
      <c r="N717" s="47">
        <v>6117606</v>
      </c>
      <c r="O717" s="47">
        <v>28356365</v>
      </c>
    </row>
    <row r="718" spans="1:16" x14ac:dyDescent="0.3">
      <c r="A718" s="58" t="str">
        <f t="shared" si="409"/>
        <v>Caisse</v>
      </c>
      <c r="B718" s="59" t="s">
        <v>25</v>
      </c>
      <c r="C718" s="61">
        <v>797106</v>
      </c>
      <c r="D718" s="61">
        <f t="shared" si="410"/>
        <v>4270000</v>
      </c>
      <c r="E718" s="61">
        <f t="shared" si="411"/>
        <v>2099084</v>
      </c>
      <c r="F718" s="61">
        <f t="shared" si="412"/>
        <v>1808000</v>
      </c>
      <c r="G718" s="61">
        <f t="shared" si="408"/>
        <v>0</v>
      </c>
      <c r="H718" s="61">
        <v>1160022</v>
      </c>
      <c r="I718" s="61">
        <f>+C718+D718-E718-F718+G718</f>
        <v>1160022</v>
      </c>
      <c r="J718" s="102">
        <f t="shared" si="413"/>
        <v>0</v>
      </c>
      <c r="K718" s="45" t="s">
        <v>25</v>
      </c>
      <c r="L718" s="47">
        <v>4270000</v>
      </c>
      <c r="M718" s="47">
        <v>1808000</v>
      </c>
      <c r="N718" s="47">
        <v>2099084</v>
      </c>
      <c r="O718" s="47">
        <v>0</v>
      </c>
    </row>
    <row r="719" spans="1:16" x14ac:dyDescent="0.3">
      <c r="A719" s="58" t="str">
        <f t="shared" si="409"/>
        <v>Crépin</v>
      </c>
      <c r="B719" s="59" t="s">
        <v>154</v>
      </c>
      <c r="C719" s="61">
        <v>56050</v>
      </c>
      <c r="D719" s="61">
        <f t="shared" si="410"/>
        <v>0</v>
      </c>
      <c r="E719" s="61">
        <f t="shared" si="411"/>
        <v>4000</v>
      </c>
      <c r="F719" s="61">
        <f t="shared" si="412"/>
        <v>30000</v>
      </c>
      <c r="G719" s="61">
        <f t="shared" si="408"/>
        <v>0</v>
      </c>
      <c r="H719" s="61">
        <v>22050</v>
      </c>
      <c r="I719" s="61">
        <f>+C719+D719-E719-F719+G719</f>
        <v>22050</v>
      </c>
      <c r="J719" s="9">
        <f t="shared" si="413"/>
        <v>0</v>
      </c>
      <c r="K719" s="45" t="s">
        <v>47</v>
      </c>
      <c r="L719" s="47">
        <v>0</v>
      </c>
      <c r="M719" s="47">
        <v>30000</v>
      </c>
      <c r="N719" s="47">
        <v>4000</v>
      </c>
      <c r="O719" s="47">
        <v>0</v>
      </c>
    </row>
    <row r="720" spans="1:16" x14ac:dyDescent="0.3">
      <c r="A720" s="58" t="str">
        <f t="shared" si="409"/>
        <v>Evariste</v>
      </c>
      <c r="B720" s="59" t="s">
        <v>155</v>
      </c>
      <c r="C720" s="61">
        <v>21495</v>
      </c>
      <c r="D720" s="61">
        <f t="shared" si="410"/>
        <v>139000</v>
      </c>
      <c r="E720" s="61">
        <f t="shared" si="411"/>
        <v>146500</v>
      </c>
      <c r="F720" s="61">
        <f t="shared" si="412"/>
        <v>0</v>
      </c>
      <c r="G720" s="61">
        <f t="shared" si="408"/>
        <v>0</v>
      </c>
      <c r="H720" s="61">
        <v>13995</v>
      </c>
      <c r="I720" s="61">
        <f t="shared" ref="I720" si="414">+C720+D720-E720-F720+G720</f>
        <v>13995</v>
      </c>
      <c r="J720" s="9">
        <f t="shared" si="413"/>
        <v>0</v>
      </c>
      <c r="K720" s="45" t="s">
        <v>31</v>
      </c>
      <c r="L720" s="47">
        <v>139000</v>
      </c>
      <c r="M720" s="47">
        <v>0</v>
      </c>
      <c r="N720" s="47">
        <v>146500</v>
      </c>
      <c r="O720" s="47">
        <v>0</v>
      </c>
    </row>
    <row r="721" spans="1:15" x14ac:dyDescent="0.3">
      <c r="A721" s="58" t="str">
        <f t="shared" si="409"/>
        <v>Godfré</v>
      </c>
      <c r="B721" s="59" t="s">
        <v>154</v>
      </c>
      <c r="C721" s="61">
        <v>113185</v>
      </c>
      <c r="D721" s="61">
        <f t="shared" si="410"/>
        <v>188000</v>
      </c>
      <c r="E721" s="61">
        <f t="shared" si="411"/>
        <v>224700</v>
      </c>
      <c r="F721" s="61">
        <f t="shared" si="412"/>
        <v>40000</v>
      </c>
      <c r="G721" s="61">
        <f t="shared" si="408"/>
        <v>0</v>
      </c>
      <c r="H721" s="61">
        <v>36485</v>
      </c>
      <c r="I721" s="61">
        <f>+C721+D721-E721-F721+G721</f>
        <v>36485</v>
      </c>
      <c r="J721" s="9">
        <f t="shared" si="413"/>
        <v>0</v>
      </c>
      <c r="K721" s="45" t="s">
        <v>144</v>
      </c>
      <c r="L721" s="47">
        <v>188000</v>
      </c>
      <c r="M721" s="47">
        <v>40000</v>
      </c>
      <c r="N721" s="47">
        <v>224700</v>
      </c>
      <c r="O721" s="47">
        <v>0</v>
      </c>
    </row>
    <row r="722" spans="1:15" x14ac:dyDescent="0.3">
      <c r="A722" s="58" t="str">
        <f t="shared" si="409"/>
        <v>I55S</v>
      </c>
      <c r="B722" s="116" t="s">
        <v>4</v>
      </c>
      <c r="C722" s="118">
        <v>233614</v>
      </c>
      <c r="D722" s="118">
        <f t="shared" si="410"/>
        <v>0</v>
      </c>
      <c r="E722" s="118">
        <f t="shared" si="411"/>
        <v>0</v>
      </c>
      <c r="F722" s="118">
        <f t="shared" si="412"/>
        <v>0</v>
      </c>
      <c r="G722" s="118">
        <f t="shared" si="408"/>
        <v>0</v>
      </c>
      <c r="H722" s="118">
        <v>233614</v>
      </c>
      <c r="I722" s="118">
        <f>+C722+D722-E722-F722+G722</f>
        <v>233614</v>
      </c>
      <c r="J722" s="9">
        <f t="shared" si="413"/>
        <v>0</v>
      </c>
      <c r="K722" s="45" t="s">
        <v>84</v>
      </c>
      <c r="L722" s="47">
        <v>0</v>
      </c>
      <c r="M722" s="47">
        <v>0</v>
      </c>
      <c r="N722" s="47">
        <v>0</v>
      </c>
      <c r="O722" s="47">
        <v>0</v>
      </c>
    </row>
    <row r="723" spans="1:15" x14ac:dyDescent="0.3">
      <c r="A723" s="58" t="str">
        <f t="shared" si="409"/>
        <v>I73X</v>
      </c>
      <c r="B723" s="116" t="s">
        <v>4</v>
      </c>
      <c r="C723" s="118">
        <v>249769</v>
      </c>
      <c r="D723" s="118">
        <f t="shared" si="410"/>
        <v>0</v>
      </c>
      <c r="E723" s="118">
        <f t="shared" si="411"/>
        <v>0</v>
      </c>
      <c r="F723" s="118">
        <f t="shared" si="412"/>
        <v>0</v>
      </c>
      <c r="G723" s="118">
        <f t="shared" si="408"/>
        <v>0</v>
      </c>
      <c r="H723" s="118">
        <v>249769</v>
      </c>
      <c r="I723" s="118">
        <f t="shared" ref="I723:I726" si="415">+C723+D723-E723-F723+G723</f>
        <v>249769</v>
      </c>
      <c r="J723" s="9">
        <f t="shared" si="413"/>
        <v>0</v>
      </c>
      <c r="K723" s="45" t="s">
        <v>83</v>
      </c>
      <c r="L723" s="47">
        <v>0</v>
      </c>
      <c r="M723" s="47">
        <v>0</v>
      </c>
      <c r="N723" s="47">
        <v>0</v>
      </c>
      <c r="O723" s="47">
        <v>0</v>
      </c>
    </row>
    <row r="724" spans="1:15" x14ac:dyDescent="0.3">
      <c r="A724" s="58" t="str">
        <f t="shared" si="409"/>
        <v>Grace</v>
      </c>
      <c r="B724" s="98" t="s">
        <v>2</v>
      </c>
      <c r="C724" s="61">
        <v>20700</v>
      </c>
      <c r="D724" s="61">
        <f t="shared" si="410"/>
        <v>0</v>
      </c>
      <c r="E724" s="61">
        <f t="shared" si="411"/>
        <v>10000</v>
      </c>
      <c r="F724" s="61">
        <f t="shared" si="412"/>
        <v>0</v>
      </c>
      <c r="G724" s="61">
        <f t="shared" si="408"/>
        <v>0</v>
      </c>
      <c r="H724" s="61">
        <v>10700</v>
      </c>
      <c r="I724" s="61">
        <f t="shared" si="415"/>
        <v>10700</v>
      </c>
      <c r="J724" s="9">
        <f t="shared" si="413"/>
        <v>0</v>
      </c>
      <c r="K724" s="45" t="s">
        <v>143</v>
      </c>
      <c r="L724" s="47">
        <v>0</v>
      </c>
      <c r="M724" s="47">
        <v>0</v>
      </c>
      <c r="N724" s="47">
        <v>10000</v>
      </c>
      <c r="O724" s="47">
        <v>0</v>
      </c>
    </row>
    <row r="725" spans="1:15" x14ac:dyDescent="0.3">
      <c r="A725" s="58" t="str">
        <f t="shared" si="409"/>
        <v>Hurielle</v>
      </c>
      <c r="B725" s="59" t="s">
        <v>154</v>
      </c>
      <c r="C725" s="61">
        <v>0</v>
      </c>
      <c r="D725" s="61">
        <f t="shared" si="410"/>
        <v>135000</v>
      </c>
      <c r="E725" s="61">
        <f t="shared" si="411"/>
        <v>83000</v>
      </c>
      <c r="F725" s="61">
        <f t="shared" si="412"/>
        <v>0</v>
      </c>
      <c r="G725" s="61">
        <f t="shared" si="408"/>
        <v>0</v>
      </c>
      <c r="H725" s="61">
        <v>52000</v>
      </c>
      <c r="I725" s="61">
        <f t="shared" si="415"/>
        <v>52000</v>
      </c>
      <c r="J725" s="9">
        <f>I725-H725</f>
        <v>0</v>
      </c>
      <c r="K725" s="45" t="s">
        <v>197</v>
      </c>
      <c r="L725" s="47">
        <v>135000</v>
      </c>
      <c r="M725" s="47">
        <v>0</v>
      </c>
      <c r="N725" s="47">
        <v>83000</v>
      </c>
      <c r="O725" s="47">
        <v>0</v>
      </c>
    </row>
    <row r="726" spans="1:15" x14ac:dyDescent="0.3">
      <c r="A726" s="58" t="str">
        <f t="shared" si="409"/>
        <v>I23C</v>
      </c>
      <c r="B726" s="98" t="s">
        <v>4</v>
      </c>
      <c r="C726" s="61">
        <v>15550</v>
      </c>
      <c r="D726" s="61">
        <f t="shared" si="410"/>
        <v>747000</v>
      </c>
      <c r="E726" s="61">
        <f t="shared" si="411"/>
        <v>646500</v>
      </c>
      <c r="F726" s="61">
        <f t="shared" si="412"/>
        <v>0</v>
      </c>
      <c r="G726" s="61">
        <f t="shared" si="408"/>
        <v>0</v>
      </c>
      <c r="H726" s="61">
        <v>116050</v>
      </c>
      <c r="I726" s="61">
        <f t="shared" si="415"/>
        <v>116050</v>
      </c>
      <c r="J726" s="9">
        <f t="shared" ref="J726:J727" si="416">I726-H726</f>
        <v>0</v>
      </c>
      <c r="K726" s="45" t="s">
        <v>30</v>
      </c>
      <c r="L726" s="47">
        <v>747000</v>
      </c>
      <c r="M726" s="47">
        <v>0</v>
      </c>
      <c r="N726" s="47">
        <v>646500</v>
      </c>
      <c r="O726" s="47">
        <v>0</v>
      </c>
    </row>
    <row r="727" spans="1:15" x14ac:dyDescent="0.3">
      <c r="A727" s="58" t="str">
        <f t="shared" si="409"/>
        <v>Merveille</v>
      </c>
      <c r="B727" s="59" t="s">
        <v>2</v>
      </c>
      <c r="C727" s="61">
        <v>4800</v>
      </c>
      <c r="D727" s="61">
        <f t="shared" si="410"/>
        <v>20000</v>
      </c>
      <c r="E727" s="61">
        <f t="shared" si="411"/>
        <v>20400</v>
      </c>
      <c r="F727" s="61">
        <f t="shared" si="412"/>
        <v>0</v>
      </c>
      <c r="G727" s="61">
        <f t="shared" si="408"/>
        <v>0</v>
      </c>
      <c r="H727" s="61">
        <v>4400</v>
      </c>
      <c r="I727" s="61">
        <f>+C727+D727-E727-F727+G727</f>
        <v>4400</v>
      </c>
      <c r="J727" s="9">
        <f t="shared" si="416"/>
        <v>0</v>
      </c>
      <c r="K727" s="45" t="s">
        <v>93</v>
      </c>
      <c r="L727" s="47">
        <v>20000</v>
      </c>
      <c r="M727" s="47">
        <v>0</v>
      </c>
      <c r="N727" s="47">
        <v>20400</v>
      </c>
      <c r="O727" s="47"/>
    </row>
    <row r="728" spans="1:15" x14ac:dyDescent="0.3">
      <c r="A728" s="58" t="str">
        <f t="shared" si="409"/>
        <v>P29</v>
      </c>
      <c r="B728" s="59" t="s">
        <v>4</v>
      </c>
      <c r="C728" s="61">
        <v>136200</v>
      </c>
      <c r="D728" s="61">
        <f t="shared" si="410"/>
        <v>380000</v>
      </c>
      <c r="E728" s="61">
        <f t="shared" si="411"/>
        <v>500000</v>
      </c>
      <c r="F728" s="61">
        <f t="shared" si="412"/>
        <v>0</v>
      </c>
      <c r="G728" s="61">
        <f>+O728</f>
        <v>0</v>
      </c>
      <c r="H728" s="61">
        <v>16200</v>
      </c>
      <c r="I728" s="61">
        <f>+C728+D728-E728-F728+G728</f>
        <v>16200</v>
      </c>
      <c r="J728" s="9">
        <f>I728-H728</f>
        <v>0</v>
      </c>
      <c r="K728" s="45" t="s">
        <v>29</v>
      </c>
      <c r="L728" s="47">
        <v>380000</v>
      </c>
      <c r="M728" s="47">
        <v>0</v>
      </c>
      <c r="N728" s="47">
        <v>500000</v>
      </c>
      <c r="O728" s="47">
        <v>0</v>
      </c>
    </row>
    <row r="729" spans="1:15" x14ac:dyDescent="0.3">
      <c r="A729" s="58" t="str">
        <f t="shared" si="409"/>
        <v>Paule</v>
      </c>
      <c r="B729" s="59" t="s">
        <v>154</v>
      </c>
      <c r="C729" s="61">
        <v>0</v>
      </c>
      <c r="D729" s="61">
        <f t="shared" si="410"/>
        <v>129000</v>
      </c>
      <c r="E729" s="61">
        <f t="shared" si="411"/>
        <v>123000</v>
      </c>
      <c r="F729" s="61">
        <f t="shared" si="412"/>
        <v>0</v>
      </c>
      <c r="G729" s="61">
        <f>+O729</f>
        <v>0</v>
      </c>
      <c r="H729" s="61">
        <v>6000</v>
      </c>
      <c r="I729" s="61">
        <f>+C729+D729-E729-F729+G729</f>
        <v>6000</v>
      </c>
      <c r="J729" s="9">
        <f>I729-H729</f>
        <v>0</v>
      </c>
      <c r="K729" s="45" t="s">
        <v>196</v>
      </c>
      <c r="L729" s="47">
        <v>129000</v>
      </c>
      <c r="M729" s="47">
        <v>0</v>
      </c>
      <c r="N729" s="47">
        <v>123000</v>
      </c>
      <c r="O729" s="47">
        <v>0</v>
      </c>
    </row>
    <row r="730" spans="1:15" x14ac:dyDescent="0.3">
      <c r="A730" s="58" t="str">
        <f t="shared" si="409"/>
        <v>Tiffany</v>
      </c>
      <c r="B730" s="59" t="s">
        <v>2</v>
      </c>
      <c r="C730" s="61">
        <v>-36737</v>
      </c>
      <c r="D730" s="61">
        <f t="shared" si="410"/>
        <v>70000</v>
      </c>
      <c r="E730" s="61">
        <f t="shared" si="411"/>
        <v>824022</v>
      </c>
      <c r="F730" s="61">
        <f t="shared" si="412"/>
        <v>0</v>
      </c>
      <c r="G730" s="61">
        <f t="shared" ref="G730" si="417">+O730</f>
        <v>0</v>
      </c>
      <c r="H730" s="61">
        <v>-790759</v>
      </c>
      <c r="I730" s="61">
        <f t="shared" ref="I730" si="418">+C730+D730-E730-F730+G730</f>
        <v>-790759</v>
      </c>
      <c r="J730" s="9">
        <f t="shared" ref="J730" si="419">I730-H730</f>
        <v>0</v>
      </c>
      <c r="K730" s="45" t="s">
        <v>113</v>
      </c>
      <c r="L730" s="47">
        <v>70000</v>
      </c>
      <c r="M730" s="47">
        <v>0</v>
      </c>
      <c r="N730" s="47">
        <v>824022</v>
      </c>
      <c r="O730" s="47">
        <v>0</v>
      </c>
    </row>
    <row r="731" spans="1:15" x14ac:dyDescent="0.3">
      <c r="A731" s="10" t="s">
        <v>50</v>
      </c>
      <c r="B731" s="11"/>
      <c r="C731" s="12">
        <f t="shared" ref="C731:I731" si="420">SUM(C716:C730)</f>
        <v>3382917</v>
      </c>
      <c r="D731" s="57">
        <f t="shared" si="420"/>
        <v>6078000</v>
      </c>
      <c r="E731" s="57">
        <f t="shared" si="420"/>
        <v>11342157</v>
      </c>
      <c r="F731" s="57">
        <f t="shared" si="420"/>
        <v>6078000</v>
      </c>
      <c r="G731" s="57">
        <f t="shared" si="420"/>
        <v>39788807</v>
      </c>
      <c r="H731" s="57">
        <f t="shared" si="420"/>
        <v>31829567</v>
      </c>
      <c r="I731" s="57">
        <f t="shared" si="420"/>
        <v>31829567</v>
      </c>
      <c r="J731" s="9">
        <f>I731-H731</f>
        <v>0</v>
      </c>
      <c r="K731" s="3"/>
      <c r="L731" s="47">
        <f>+SUM(L716:L730)</f>
        <v>6078000</v>
      </c>
      <c r="M731" s="47">
        <f>+SUM(M716:M730)</f>
        <v>6078000</v>
      </c>
      <c r="N731" s="47">
        <f>+SUM(N716:N730)</f>
        <v>11342157</v>
      </c>
      <c r="O731" s="47">
        <f>+SUM(O716:O730)</f>
        <v>39788807</v>
      </c>
    </row>
    <row r="732" spans="1:15" x14ac:dyDescent="0.3">
      <c r="A732" s="10"/>
      <c r="B732" s="11"/>
      <c r="C732" s="12"/>
      <c r="D732" s="13"/>
      <c r="E732" s="12"/>
      <c r="F732" s="13"/>
      <c r="G732" s="12"/>
      <c r="H732" s="12"/>
      <c r="I732" s="134" t="b">
        <f>I731=D734</f>
        <v>1</v>
      </c>
      <c r="L732" s="5"/>
      <c r="M732" s="5"/>
      <c r="N732" s="5"/>
      <c r="O732" s="5"/>
    </row>
    <row r="733" spans="1:15" x14ac:dyDescent="0.3">
      <c r="A733" s="10" t="s">
        <v>189</v>
      </c>
      <c r="B733" s="11" t="s">
        <v>190</v>
      </c>
      <c r="C733" s="12" t="s">
        <v>194</v>
      </c>
      <c r="D733" s="12" t="s">
        <v>191</v>
      </c>
      <c r="E733" s="12" t="s">
        <v>51</v>
      </c>
      <c r="F733" s="12"/>
      <c r="G733" s="12">
        <f>+D731-F731</f>
        <v>0</v>
      </c>
      <c r="H733" s="12"/>
      <c r="I733" s="12"/>
    </row>
    <row r="734" spans="1:15" x14ac:dyDescent="0.3">
      <c r="A734" s="14">
        <f>C731</f>
        <v>3382917</v>
      </c>
      <c r="B734" s="15">
        <f>G731</f>
        <v>39788807</v>
      </c>
      <c r="C734" s="12">
        <f>E731</f>
        <v>11342157</v>
      </c>
      <c r="D734" s="12">
        <f>A734+B734-C734</f>
        <v>31829567</v>
      </c>
      <c r="E734" s="13">
        <f>I731-D734</f>
        <v>0</v>
      </c>
      <c r="F734" s="12"/>
      <c r="G734" s="12"/>
      <c r="H734" s="12"/>
      <c r="I734" s="12"/>
    </row>
    <row r="735" spans="1:15" x14ac:dyDescent="0.3">
      <c r="A735" s="14"/>
      <c r="B735" s="15"/>
      <c r="C735" s="12"/>
      <c r="D735" s="12"/>
      <c r="E735" s="13"/>
      <c r="F735" s="12"/>
      <c r="G735" s="12"/>
      <c r="H735" s="12"/>
      <c r="I735" s="12"/>
    </row>
    <row r="736" spans="1:15" x14ac:dyDescent="0.3">
      <c r="A736" s="16" t="s">
        <v>52</v>
      </c>
      <c r="B736" s="16"/>
      <c r="C736" s="16"/>
      <c r="D736" s="17"/>
      <c r="E736" s="17"/>
      <c r="F736" s="17"/>
      <c r="G736" s="17"/>
      <c r="H736" s="17"/>
      <c r="I736" s="17"/>
    </row>
    <row r="737" spans="1:11" x14ac:dyDescent="0.3">
      <c r="A737" s="18" t="s">
        <v>192</v>
      </c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1" x14ac:dyDescent="0.3">
      <c r="A738" s="19"/>
      <c r="B738" s="17"/>
      <c r="C738" s="20"/>
      <c r="D738" s="20"/>
      <c r="E738" s="20"/>
      <c r="F738" s="20"/>
      <c r="G738" s="20"/>
      <c r="H738" s="17"/>
      <c r="I738" s="17"/>
    </row>
    <row r="739" spans="1:11" x14ac:dyDescent="0.3">
      <c r="A739" s="169" t="s">
        <v>53</v>
      </c>
      <c r="B739" s="171" t="s">
        <v>54</v>
      </c>
      <c r="C739" s="173" t="s">
        <v>193</v>
      </c>
      <c r="D739" s="174" t="s">
        <v>55</v>
      </c>
      <c r="E739" s="175"/>
      <c r="F739" s="175"/>
      <c r="G739" s="176"/>
      <c r="H739" s="177" t="s">
        <v>56</v>
      </c>
      <c r="I739" s="165" t="s">
        <v>57</v>
      </c>
      <c r="J739" s="17"/>
    </row>
    <row r="740" spans="1:11" ht="28.5" customHeight="1" x14ac:dyDescent="0.3">
      <c r="A740" s="170"/>
      <c r="B740" s="172"/>
      <c r="C740" s="22"/>
      <c r="D740" s="21" t="s">
        <v>24</v>
      </c>
      <c r="E740" s="21" t="s">
        <v>25</v>
      </c>
      <c r="F740" s="22" t="s">
        <v>123</v>
      </c>
      <c r="G740" s="21" t="s">
        <v>58</v>
      </c>
      <c r="H740" s="178"/>
      <c r="I740" s="166"/>
      <c r="J740" s="167" t="s">
        <v>188</v>
      </c>
      <c r="K740" s="143"/>
    </row>
    <row r="741" spans="1:11" x14ac:dyDescent="0.3">
      <c r="A741" s="23"/>
      <c r="B741" s="24" t="s">
        <v>59</v>
      </c>
      <c r="C741" s="25"/>
      <c r="D741" s="25"/>
      <c r="E741" s="25"/>
      <c r="F741" s="25"/>
      <c r="G741" s="25"/>
      <c r="H741" s="25"/>
      <c r="I741" s="26"/>
      <c r="J741" s="168"/>
      <c r="K741" s="143"/>
    </row>
    <row r="742" spans="1:11" x14ac:dyDescent="0.3">
      <c r="A742" s="122" t="s">
        <v>120</v>
      </c>
      <c r="B742" s="127" t="s">
        <v>47</v>
      </c>
      <c r="C742" s="32">
        <f>+C719</f>
        <v>56050</v>
      </c>
      <c r="D742" s="31"/>
      <c r="E742" s="32">
        <f>+D719</f>
        <v>0</v>
      </c>
      <c r="F742" s="32"/>
      <c r="G742" s="32"/>
      <c r="H742" s="55">
        <f t="shared" ref="H742:H752" si="421">+F719</f>
        <v>30000</v>
      </c>
      <c r="I742" s="32">
        <f t="shared" ref="I742:I752" si="422">+E719</f>
        <v>4000</v>
      </c>
      <c r="J742" s="30">
        <f t="shared" ref="J742:J743" si="423">+SUM(C742:G742)-(H742+I742)</f>
        <v>22050</v>
      </c>
      <c r="K742" s="144" t="b">
        <f t="shared" ref="K742:K752" si="424">J742=I719</f>
        <v>1</v>
      </c>
    </row>
    <row r="743" spans="1:11" x14ac:dyDescent="0.3">
      <c r="A743" s="122" t="str">
        <f>+A742</f>
        <v>MARS</v>
      </c>
      <c r="B743" s="127" t="s">
        <v>31</v>
      </c>
      <c r="C743" s="32">
        <f t="shared" ref="C743:C744" si="425">+C720</f>
        <v>21495</v>
      </c>
      <c r="D743" s="31"/>
      <c r="E743" s="32">
        <f t="shared" ref="E743:E744" si="426">+D720</f>
        <v>139000</v>
      </c>
      <c r="F743" s="32"/>
      <c r="G743" s="32"/>
      <c r="H743" s="55">
        <f t="shared" si="421"/>
        <v>0</v>
      </c>
      <c r="I743" s="32">
        <f t="shared" si="422"/>
        <v>146500</v>
      </c>
      <c r="J743" s="101">
        <f t="shared" si="423"/>
        <v>13995</v>
      </c>
      <c r="K743" s="144" t="b">
        <f t="shared" si="424"/>
        <v>1</v>
      </c>
    </row>
    <row r="744" spans="1:11" x14ac:dyDescent="0.3">
      <c r="A744" s="122" t="str">
        <f t="shared" ref="A744:A749" si="427">+A743</f>
        <v>MARS</v>
      </c>
      <c r="B744" s="128" t="s">
        <v>144</v>
      </c>
      <c r="C744" s="32">
        <f t="shared" si="425"/>
        <v>113185</v>
      </c>
      <c r="D744" s="119"/>
      <c r="E744" s="32">
        <f t="shared" si="426"/>
        <v>188000</v>
      </c>
      <c r="F744" s="51"/>
      <c r="G744" s="51"/>
      <c r="H744" s="55">
        <f t="shared" si="421"/>
        <v>40000</v>
      </c>
      <c r="I744" s="32">
        <f t="shared" si="422"/>
        <v>224700</v>
      </c>
      <c r="J744" s="124">
        <f>+SUM(C744:G744)-(H744+I744)</f>
        <v>36485</v>
      </c>
      <c r="K744" s="144" t="b">
        <f t="shared" si="424"/>
        <v>1</v>
      </c>
    </row>
    <row r="745" spans="1:11" x14ac:dyDescent="0.3">
      <c r="A745" s="122" t="str">
        <f t="shared" si="427"/>
        <v>MARS</v>
      </c>
      <c r="B745" s="129" t="s">
        <v>84</v>
      </c>
      <c r="C745" s="120">
        <f>+C722</f>
        <v>233614</v>
      </c>
      <c r="D745" s="123"/>
      <c r="E745" s="120">
        <f>+D722</f>
        <v>0</v>
      </c>
      <c r="F745" s="137"/>
      <c r="G745" s="137"/>
      <c r="H745" s="155">
        <f t="shared" si="421"/>
        <v>0</v>
      </c>
      <c r="I745" s="120">
        <f t="shared" si="422"/>
        <v>0</v>
      </c>
      <c r="J745" s="121">
        <f>+SUM(C745:G745)-(H745+I745)</f>
        <v>233614</v>
      </c>
      <c r="K745" s="144" t="b">
        <f t="shared" si="424"/>
        <v>1</v>
      </c>
    </row>
    <row r="746" spans="1:11" x14ac:dyDescent="0.3">
      <c r="A746" s="122" t="str">
        <f t="shared" si="427"/>
        <v>MARS</v>
      </c>
      <c r="B746" s="129" t="s">
        <v>83</v>
      </c>
      <c r="C746" s="120">
        <f>+C723</f>
        <v>249769</v>
      </c>
      <c r="D746" s="123"/>
      <c r="E746" s="120">
        <f>+D723</f>
        <v>0</v>
      </c>
      <c r="F746" s="137"/>
      <c r="G746" s="137"/>
      <c r="H746" s="155">
        <f t="shared" si="421"/>
        <v>0</v>
      </c>
      <c r="I746" s="120">
        <f t="shared" si="422"/>
        <v>0</v>
      </c>
      <c r="J746" s="121">
        <f t="shared" ref="J746:J753" si="428">+SUM(C746:G746)-(H746+I746)</f>
        <v>249769</v>
      </c>
      <c r="K746" s="144" t="b">
        <f t="shared" si="424"/>
        <v>1</v>
      </c>
    </row>
    <row r="747" spans="1:11" x14ac:dyDescent="0.3">
      <c r="A747" s="122" t="str">
        <f t="shared" si="427"/>
        <v>MARS</v>
      </c>
      <c r="B747" s="127" t="s">
        <v>143</v>
      </c>
      <c r="C747" s="32">
        <f>+C724</f>
        <v>20700</v>
      </c>
      <c r="D747" s="31"/>
      <c r="E747" s="32">
        <f>+D724</f>
        <v>0</v>
      </c>
      <c r="F747" s="32"/>
      <c r="G747" s="104"/>
      <c r="H747" s="55">
        <f t="shared" si="421"/>
        <v>0</v>
      </c>
      <c r="I747" s="32">
        <f t="shared" si="422"/>
        <v>10000</v>
      </c>
      <c r="J747" s="30">
        <f t="shared" si="428"/>
        <v>10700</v>
      </c>
      <c r="K747" s="144" t="b">
        <f t="shared" si="424"/>
        <v>1</v>
      </c>
    </row>
    <row r="748" spans="1:11" x14ac:dyDescent="0.3">
      <c r="A748" s="122" t="str">
        <f t="shared" si="427"/>
        <v>MARS</v>
      </c>
      <c r="B748" s="127" t="s">
        <v>197</v>
      </c>
      <c r="C748" s="32">
        <f t="shared" ref="C748:C751" si="429">+C725</f>
        <v>0</v>
      </c>
      <c r="D748" s="31"/>
      <c r="E748" s="32">
        <f t="shared" ref="E748:E753" si="430">+D725</f>
        <v>135000</v>
      </c>
      <c r="F748" s="32"/>
      <c r="G748" s="104"/>
      <c r="H748" s="55">
        <f t="shared" si="421"/>
        <v>0</v>
      </c>
      <c r="I748" s="32">
        <f t="shared" si="422"/>
        <v>83000</v>
      </c>
      <c r="J748" s="30">
        <f t="shared" si="428"/>
        <v>52000</v>
      </c>
      <c r="K748" s="144" t="b">
        <f t="shared" si="424"/>
        <v>1</v>
      </c>
    </row>
    <row r="749" spans="1:11" x14ac:dyDescent="0.3">
      <c r="A749" s="122" t="str">
        <f t="shared" si="427"/>
        <v>MARS</v>
      </c>
      <c r="B749" s="127" t="s">
        <v>30</v>
      </c>
      <c r="C749" s="32">
        <f t="shared" si="429"/>
        <v>15550</v>
      </c>
      <c r="D749" s="31"/>
      <c r="E749" s="32">
        <f t="shared" si="430"/>
        <v>747000</v>
      </c>
      <c r="F749" s="32"/>
      <c r="G749" s="104"/>
      <c r="H749" s="55">
        <f t="shared" si="421"/>
        <v>0</v>
      </c>
      <c r="I749" s="32">
        <f t="shared" si="422"/>
        <v>646500</v>
      </c>
      <c r="J749" s="30">
        <f t="shared" si="428"/>
        <v>116050</v>
      </c>
      <c r="K749" s="144" t="b">
        <f t="shared" si="424"/>
        <v>1</v>
      </c>
    </row>
    <row r="750" spans="1:11" x14ac:dyDescent="0.3">
      <c r="A750" s="122" t="str">
        <f>+A748</f>
        <v>MARS</v>
      </c>
      <c r="B750" s="127" t="s">
        <v>93</v>
      </c>
      <c r="C750" s="32">
        <f t="shared" si="429"/>
        <v>4800</v>
      </c>
      <c r="D750" s="31"/>
      <c r="E750" s="32">
        <f t="shared" si="430"/>
        <v>20000</v>
      </c>
      <c r="F750" s="32"/>
      <c r="G750" s="104"/>
      <c r="H750" s="55">
        <f t="shared" si="421"/>
        <v>0</v>
      </c>
      <c r="I750" s="32">
        <f t="shared" si="422"/>
        <v>20400</v>
      </c>
      <c r="J750" s="30">
        <f t="shared" si="428"/>
        <v>4400</v>
      </c>
      <c r="K750" s="144" t="b">
        <f t="shared" si="424"/>
        <v>1</v>
      </c>
    </row>
    <row r="751" spans="1:11" x14ac:dyDescent="0.3">
      <c r="A751" s="122" t="str">
        <f>+A749</f>
        <v>MARS</v>
      </c>
      <c r="B751" s="127" t="s">
        <v>29</v>
      </c>
      <c r="C751" s="32">
        <f t="shared" si="429"/>
        <v>136200</v>
      </c>
      <c r="D751" s="31"/>
      <c r="E751" s="32">
        <f t="shared" si="430"/>
        <v>380000</v>
      </c>
      <c r="F751" s="32"/>
      <c r="G751" s="104"/>
      <c r="H751" s="55">
        <f t="shared" si="421"/>
        <v>0</v>
      </c>
      <c r="I751" s="32">
        <f t="shared" si="422"/>
        <v>500000</v>
      </c>
      <c r="J751" s="30">
        <f t="shared" si="428"/>
        <v>16200</v>
      </c>
      <c r="K751" s="144" t="b">
        <f t="shared" si="424"/>
        <v>1</v>
      </c>
    </row>
    <row r="752" spans="1:11" x14ac:dyDescent="0.3">
      <c r="A752" s="122" t="str">
        <f>+A750</f>
        <v>MARS</v>
      </c>
      <c r="B752" s="127" t="s">
        <v>196</v>
      </c>
      <c r="C752" s="32">
        <f>+C729</f>
        <v>0</v>
      </c>
      <c r="D752" s="31"/>
      <c r="E752" s="32">
        <f t="shared" si="430"/>
        <v>129000</v>
      </c>
      <c r="F752" s="32"/>
      <c r="G752" s="104"/>
      <c r="H752" s="55">
        <f t="shared" si="421"/>
        <v>0</v>
      </c>
      <c r="I752" s="32">
        <f t="shared" si="422"/>
        <v>123000</v>
      </c>
      <c r="J752" s="30">
        <f t="shared" ref="J752" si="431">+SUM(C752:G752)-(H752+I752)</f>
        <v>6000</v>
      </c>
      <c r="K752" s="144" t="b">
        <f t="shared" si="424"/>
        <v>1</v>
      </c>
    </row>
    <row r="753" spans="1:16" x14ac:dyDescent="0.3">
      <c r="A753" s="122" t="str">
        <f>+A751</f>
        <v>MARS</v>
      </c>
      <c r="B753" s="128" t="s">
        <v>113</v>
      </c>
      <c r="C753" s="32">
        <f t="shared" ref="C753" si="432">+C730</f>
        <v>-36737</v>
      </c>
      <c r="D753" s="119"/>
      <c r="E753" s="32">
        <f t="shared" si="430"/>
        <v>70000</v>
      </c>
      <c r="F753" s="51"/>
      <c r="G753" s="138"/>
      <c r="H753" s="55">
        <f t="shared" ref="H753" si="433">+F730</f>
        <v>0</v>
      </c>
      <c r="I753" s="32">
        <f t="shared" ref="I753" si="434">+E730</f>
        <v>824022</v>
      </c>
      <c r="J753" s="30">
        <f t="shared" si="428"/>
        <v>-790759</v>
      </c>
      <c r="K753" s="144" t="b">
        <f t="shared" ref="K753" si="435">J753=I730</f>
        <v>1</v>
      </c>
    </row>
    <row r="754" spans="1:16" x14ac:dyDescent="0.3">
      <c r="A754" s="34" t="s">
        <v>60</v>
      </c>
      <c r="B754" s="35"/>
      <c r="C754" s="35"/>
      <c r="D754" s="35"/>
      <c r="E754" s="35"/>
      <c r="F754" s="35"/>
      <c r="G754" s="35"/>
      <c r="H754" s="35"/>
      <c r="I754" s="35"/>
      <c r="J754" s="36"/>
      <c r="K754" s="143"/>
    </row>
    <row r="755" spans="1:16" x14ac:dyDescent="0.3">
      <c r="A755" s="122" t="str">
        <f>+A753</f>
        <v>MARS</v>
      </c>
      <c r="B755" s="37" t="s">
        <v>61</v>
      </c>
      <c r="C755" s="38">
        <f>+C718</f>
        <v>797106</v>
      </c>
      <c r="D755" s="49"/>
      <c r="E755" s="49">
        <f>D718</f>
        <v>4270000</v>
      </c>
      <c r="F755" s="49"/>
      <c r="G755" s="125"/>
      <c r="H755" s="51">
        <f>+F718</f>
        <v>1808000</v>
      </c>
      <c r="I755" s="126">
        <f>+E718</f>
        <v>2099084</v>
      </c>
      <c r="J755" s="30">
        <f>+SUM(C755:G755)-(H755+I755)</f>
        <v>1160022</v>
      </c>
      <c r="K755" s="144" t="b">
        <f>J755=I718</f>
        <v>1</v>
      </c>
    </row>
    <row r="756" spans="1:16" x14ac:dyDescent="0.3">
      <c r="A756" s="43" t="s">
        <v>62</v>
      </c>
      <c r="B756" s="24"/>
      <c r="C756" s="35"/>
      <c r="D756" s="24"/>
      <c r="E756" s="24"/>
      <c r="F756" s="24"/>
      <c r="G756" s="24"/>
      <c r="H756" s="24"/>
      <c r="I756" s="24"/>
      <c r="J756" s="36"/>
      <c r="K756" s="143"/>
    </row>
    <row r="757" spans="1:16" x14ac:dyDescent="0.3">
      <c r="A757" s="122" t="str">
        <f>+A755</f>
        <v>MARS</v>
      </c>
      <c r="B757" s="37" t="s">
        <v>156</v>
      </c>
      <c r="C757" s="125">
        <f>+C716</f>
        <v>888683</v>
      </c>
      <c r="D757" s="132">
        <f>+G716</f>
        <v>11432442</v>
      </c>
      <c r="E757" s="49"/>
      <c r="F757" s="49"/>
      <c r="G757" s="49"/>
      <c r="H757" s="51">
        <f>+F716</f>
        <v>2600000</v>
      </c>
      <c r="I757" s="53">
        <f>+E716</f>
        <v>543345</v>
      </c>
      <c r="J757" s="30">
        <f>+SUM(C757:G757)-(H757+I757)</f>
        <v>9177780</v>
      </c>
      <c r="K757" s="144" t="b">
        <f>+J757=I716</f>
        <v>1</v>
      </c>
    </row>
    <row r="758" spans="1:16" x14ac:dyDescent="0.3">
      <c r="A758" s="122" t="str">
        <f t="shared" ref="A758" si="436">+A757</f>
        <v>MARS</v>
      </c>
      <c r="B758" s="37" t="s">
        <v>64</v>
      </c>
      <c r="C758" s="125">
        <f>+C717</f>
        <v>882502</v>
      </c>
      <c r="D758" s="49">
        <f>+G717</f>
        <v>28356365</v>
      </c>
      <c r="E758" s="48"/>
      <c r="F758" s="48"/>
      <c r="G758" s="48"/>
      <c r="H758" s="32">
        <f>+F717</f>
        <v>1600000</v>
      </c>
      <c r="I758" s="50">
        <f>+E717</f>
        <v>6117606</v>
      </c>
      <c r="J758" s="30">
        <f>SUM(C758:G758)-(H758+I758)</f>
        <v>21521261</v>
      </c>
      <c r="K758" s="144" t="b">
        <f>+J758=I717</f>
        <v>1</v>
      </c>
    </row>
    <row r="759" spans="1:16" ht="15.6" x14ac:dyDescent="0.3">
      <c r="C759" s="141">
        <f>SUM(C742:C758)</f>
        <v>3382917</v>
      </c>
      <c r="I759" s="140">
        <f>SUM(I742:I758)</f>
        <v>11342157</v>
      </c>
      <c r="J759" s="105">
        <f>+SUM(J742:J758)</f>
        <v>31829567</v>
      </c>
      <c r="K759" s="5" t="b">
        <f>J759=I731</f>
        <v>1</v>
      </c>
    </row>
    <row r="760" spans="1:16" ht="15.6" x14ac:dyDescent="0.3">
      <c r="A760" s="160"/>
      <c r="B760" s="160"/>
      <c r="C760" s="161"/>
      <c r="D760" s="160"/>
      <c r="E760" s="160"/>
      <c r="F760" s="160"/>
      <c r="G760" s="160"/>
      <c r="H760" s="160"/>
      <c r="I760" s="162"/>
      <c r="J760" s="163"/>
      <c r="K760" s="160"/>
      <c r="L760" s="164"/>
      <c r="M760" s="164"/>
      <c r="N760" s="164"/>
      <c r="O760" s="164"/>
      <c r="P760" s="160"/>
    </row>
    <row r="764" spans="1:16" ht="15.6" x14ac:dyDescent="0.3">
      <c r="A764" s="6" t="s">
        <v>36</v>
      </c>
      <c r="B764" s="6" t="s">
        <v>1</v>
      </c>
      <c r="C764" s="6">
        <v>44593</v>
      </c>
      <c r="D764" s="7" t="s">
        <v>37</v>
      </c>
      <c r="E764" s="7" t="s">
        <v>38</v>
      </c>
      <c r="F764" s="7" t="s">
        <v>39</v>
      </c>
      <c r="G764" s="7" t="s">
        <v>40</v>
      </c>
      <c r="H764" s="6">
        <v>44620</v>
      </c>
      <c r="I764" s="7" t="s">
        <v>41</v>
      </c>
      <c r="K764" s="45"/>
      <c r="L764" s="45" t="s">
        <v>42</v>
      </c>
      <c r="M764" s="45" t="s">
        <v>43</v>
      </c>
      <c r="N764" s="45" t="s">
        <v>44</v>
      </c>
      <c r="O764" s="45" t="s">
        <v>45</v>
      </c>
    </row>
    <row r="765" spans="1:16" x14ac:dyDescent="0.3">
      <c r="A765" s="58" t="str">
        <f>+K765</f>
        <v>B52</v>
      </c>
      <c r="B765" s="59" t="s">
        <v>4</v>
      </c>
      <c r="C765" s="61">
        <v>500</v>
      </c>
      <c r="D765" s="61">
        <f t="shared" ref="D765:D778" si="437">+L765</f>
        <v>50000</v>
      </c>
      <c r="E765" s="61">
        <f>+N765</f>
        <v>50500</v>
      </c>
      <c r="F765" s="61">
        <f>+M765</f>
        <v>0</v>
      </c>
      <c r="G765" s="61">
        <f t="shared" ref="G765:G776" si="438">+O765</f>
        <v>0</v>
      </c>
      <c r="H765" s="61">
        <v>0</v>
      </c>
      <c r="I765" s="61">
        <f>+C765+D765-E765-F765+G765</f>
        <v>0</v>
      </c>
      <c r="J765" s="9">
        <f>I765-H765</f>
        <v>0</v>
      </c>
      <c r="K765" s="45" t="s">
        <v>162</v>
      </c>
      <c r="L765" s="47">
        <v>50000</v>
      </c>
      <c r="M765" s="47">
        <v>0</v>
      </c>
      <c r="N765" s="47">
        <v>50500</v>
      </c>
      <c r="O765" s="47">
        <v>0</v>
      </c>
    </row>
    <row r="766" spans="1:16" x14ac:dyDescent="0.3">
      <c r="A766" s="58" t="str">
        <f>+K766</f>
        <v>BCI</v>
      </c>
      <c r="B766" s="59" t="s">
        <v>46</v>
      </c>
      <c r="C766" s="61">
        <v>2172028</v>
      </c>
      <c r="D766" s="61">
        <f t="shared" si="437"/>
        <v>0</v>
      </c>
      <c r="E766" s="61">
        <f>+N766</f>
        <v>283345</v>
      </c>
      <c r="F766" s="61">
        <f>+M766</f>
        <v>1000000</v>
      </c>
      <c r="G766" s="61">
        <f t="shared" si="438"/>
        <v>0</v>
      </c>
      <c r="H766" s="61">
        <v>888683</v>
      </c>
      <c r="I766" s="61">
        <f>+C766+D766-E766-F766+G766</f>
        <v>888683</v>
      </c>
      <c r="J766" s="9">
        <f t="shared" ref="J766:J773" si="439">I766-H766</f>
        <v>0</v>
      </c>
      <c r="K766" s="45" t="s">
        <v>24</v>
      </c>
      <c r="L766" s="47">
        <v>0</v>
      </c>
      <c r="M766" s="47">
        <v>1000000</v>
      </c>
      <c r="N766" s="47">
        <v>283345</v>
      </c>
      <c r="O766" s="47">
        <v>0</v>
      </c>
    </row>
    <row r="767" spans="1:16" x14ac:dyDescent="0.3">
      <c r="A767" s="58" t="str">
        <f t="shared" ref="A767:A769" si="440">+K767</f>
        <v>BCI-Sous Compte</v>
      </c>
      <c r="B767" s="59" t="s">
        <v>46</v>
      </c>
      <c r="C767" s="61">
        <v>14143094</v>
      </c>
      <c r="D767" s="61">
        <f t="shared" si="437"/>
        <v>0</v>
      </c>
      <c r="E767" s="61">
        <f>+N767</f>
        <v>4260592</v>
      </c>
      <c r="F767" s="61">
        <f>+M767</f>
        <v>9000000</v>
      </c>
      <c r="G767" s="61">
        <f t="shared" si="438"/>
        <v>0</v>
      </c>
      <c r="H767" s="61">
        <v>882502</v>
      </c>
      <c r="I767" s="61">
        <f>+C767+D767-E767-F767+G767</f>
        <v>882502</v>
      </c>
      <c r="J767" s="102">
        <f t="shared" si="439"/>
        <v>0</v>
      </c>
      <c r="K767" s="45" t="s">
        <v>148</v>
      </c>
      <c r="L767" s="47">
        <v>0</v>
      </c>
      <c r="M767" s="47">
        <v>9000000</v>
      </c>
      <c r="N767" s="47">
        <v>4260592</v>
      </c>
      <c r="O767" s="47">
        <v>0</v>
      </c>
    </row>
    <row r="768" spans="1:16" x14ac:dyDescent="0.3">
      <c r="A768" s="58" t="str">
        <f t="shared" si="440"/>
        <v>Caisse</v>
      </c>
      <c r="B768" s="59" t="s">
        <v>25</v>
      </c>
      <c r="C768" s="61">
        <v>580885</v>
      </c>
      <c r="D768" s="61">
        <f t="shared" si="437"/>
        <v>10511000</v>
      </c>
      <c r="E768" s="61">
        <f t="shared" ref="E768" si="441">+N768</f>
        <v>2520779</v>
      </c>
      <c r="F768" s="61">
        <f t="shared" ref="F768:F776" si="442">+M768</f>
        <v>7774000</v>
      </c>
      <c r="G768" s="61">
        <f t="shared" si="438"/>
        <v>0</v>
      </c>
      <c r="H768" s="61">
        <v>797106</v>
      </c>
      <c r="I768" s="61">
        <f>+C768+D768-E768-F768+G768</f>
        <v>797106</v>
      </c>
      <c r="J768" s="9">
        <f t="shared" si="439"/>
        <v>0</v>
      </c>
      <c r="K768" s="45" t="s">
        <v>25</v>
      </c>
      <c r="L768" s="47">
        <v>10511000</v>
      </c>
      <c r="M768" s="47">
        <v>7774000</v>
      </c>
      <c r="N768" s="47">
        <v>2520779</v>
      </c>
      <c r="O768" s="47">
        <v>0</v>
      </c>
    </row>
    <row r="769" spans="1:15" x14ac:dyDescent="0.3">
      <c r="A769" s="58" t="str">
        <f t="shared" si="440"/>
        <v>Crépin</v>
      </c>
      <c r="B769" s="59" t="s">
        <v>154</v>
      </c>
      <c r="C769" s="61">
        <v>9000</v>
      </c>
      <c r="D769" s="61">
        <f t="shared" si="437"/>
        <v>2509000</v>
      </c>
      <c r="E769" s="61">
        <f>+N769</f>
        <v>2021950</v>
      </c>
      <c r="F769" s="61">
        <f t="shared" si="442"/>
        <v>440000</v>
      </c>
      <c r="G769" s="61">
        <f t="shared" si="438"/>
        <v>0</v>
      </c>
      <c r="H769" s="61">
        <v>56050</v>
      </c>
      <c r="I769" s="61">
        <f t="shared" ref="I769" si="443">+C769+D769-E769-F769+G769</f>
        <v>56050</v>
      </c>
      <c r="J769" s="9">
        <f t="shared" si="439"/>
        <v>0</v>
      </c>
      <c r="K769" s="45" t="s">
        <v>47</v>
      </c>
      <c r="L769" s="47">
        <v>2509000</v>
      </c>
      <c r="M769" s="47">
        <v>440000</v>
      </c>
      <c r="N769" s="47">
        <v>2021950</v>
      </c>
      <c r="O769" s="47">
        <v>0</v>
      </c>
    </row>
    <row r="770" spans="1:15" x14ac:dyDescent="0.3">
      <c r="A770" s="58" t="str">
        <f>K770</f>
        <v>Evariste</v>
      </c>
      <c r="B770" s="59" t="s">
        <v>155</v>
      </c>
      <c r="C770" s="61">
        <v>8645</v>
      </c>
      <c r="D770" s="61">
        <f t="shared" si="437"/>
        <v>614000</v>
      </c>
      <c r="E770" s="61">
        <f t="shared" ref="E770" si="444">+N770</f>
        <v>601150</v>
      </c>
      <c r="F770" s="61">
        <f t="shared" si="442"/>
        <v>0</v>
      </c>
      <c r="G770" s="61">
        <f t="shared" si="438"/>
        <v>0</v>
      </c>
      <c r="H770" s="61">
        <v>21495</v>
      </c>
      <c r="I770" s="61">
        <f>+C770+D770-E770-F770+G770</f>
        <v>21495</v>
      </c>
      <c r="J770" s="9">
        <f t="shared" si="439"/>
        <v>0</v>
      </c>
      <c r="K770" s="45" t="s">
        <v>31</v>
      </c>
      <c r="L770" s="47">
        <v>614000</v>
      </c>
      <c r="M770" s="47">
        <v>0</v>
      </c>
      <c r="N770" s="47">
        <v>601150</v>
      </c>
      <c r="O770" s="47">
        <v>0</v>
      </c>
    </row>
    <row r="771" spans="1:15" x14ac:dyDescent="0.3">
      <c r="A771" s="115" t="str">
        <f t="shared" ref="A771:A778" si="445">+K771</f>
        <v>I55S</v>
      </c>
      <c r="B771" s="116" t="s">
        <v>4</v>
      </c>
      <c r="C771" s="118">
        <v>233614</v>
      </c>
      <c r="D771" s="118">
        <f t="shared" si="437"/>
        <v>0</v>
      </c>
      <c r="E771" s="118">
        <f>+N771</f>
        <v>0</v>
      </c>
      <c r="F771" s="118">
        <f t="shared" si="442"/>
        <v>0</v>
      </c>
      <c r="G771" s="118">
        <f t="shared" si="438"/>
        <v>0</v>
      </c>
      <c r="H771" s="118">
        <v>233614</v>
      </c>
      <c r="I771" s="118">
        <f>+C771+D771-E771-F771+G771</f>
        <v>233614</v>
      </c>
      <c r="J771" s="9">
        <f t="shared" si="439"/>
        <v>0</v>
      </c>
      <c r="K771" s="45" t="s">
        <v>84</v>
      </c>
      <c r="L771" s="47">
        <v>0</v>
      </c>
      <c r="M771" s="47">
        <v>0</v>
      </c>
      <c r="N771" s="47">
        <v>0</v>
      </c>
      <c r="O771" s="47">
        <v>0</v>
      </c>
    </row>
    <row r="772" spans="1:15" x14ac:dyDescent="0.3">
      <c r="A772" s="115" t="str">
        <f t="shared" si="445"/>
        <v>I73X</v>
      </c>
      <c r="B772" s="116" t="s">
        <v>4</v>
      </c>
      <c r="C772" s="118">
        <v>249769</v>
      </c>
      <c r="D772" s="118">
        <f t="shared" si="437"/>
        <v>0</v>
      </c>
      <c r="E772" s="118">
        <f>+N772</f>
        <v>0</v>
      </c>
      <c r="F772" s="118">
        <f t="shared" si="442"/>
        <v>0</v>
      </c>
      <c r="G772" s="118">
        <f t="shared" si="438"/>
        <v>0</v>
      </c>
      <c r="H772" s="118">
        <v>249769</v>
      </c>
      <c r="I772" s="118">
        <f t="shared" ref="I772:I775" si="446">+C772+D772-E772-F772+G772</f>
        <v>249769</v>
      </c>
      <c r="J772" s="9">
        <f t="shared" si="439"/>
        <v>0</v>
      </c>
      <c r="K772" s="45" t="s">
        <v>83</v>
      </c>
      <c r="L772" s="47">
        <v>0</v>
      </c>
      <c r="M772" s="47">
        <v>0</v>
      </c>
      <c r="N772" s="47">
        <v>0</v>
      </c>
      <c r="O772" s="47">
        <v>0</v>
      </c>
    </row>
    <row r="773" spans="1:15" x14ac:dyDescent="0.3">
      <c r="A773" s="58" t="str">
        <f t="shared" si="445"/>
        <v>Godfré</v>
      </c>
      <c r="B773" s="98" t="s">
        <v>154</v>
      </c>
      <c r="C773" s="61">
        <v>79935</v>
      </c>
      <c r="D773" s="61">
        <f t="shared" si="437"/>
        <v>1202000</v>
      </c>
      <c r="E773" s="154">
        <f t="shared" ref="E773" si="447">+N773</f>
        <v>1118750</v>
      </c>
      <c r="F773" s="61">
        <f t="shared" si="442"/>
        <v>50000</v>
      </c>
      <c r="G773" s="61">
        <f t="shared" si="438"/>
        <v>0</v>
      </c>
      <c r="H773" s="61">
        <v>113185</v>
      </c>
      <c r="I773" s="61">
        <f t="shared" si="446"/>
        <v>113185</v>
      </c>
      <c r="J773" s="9">
        <f t="shared" si="439"/>
        <v>0</v>
      </c>
      <c r="K773" s="45" t="s">
        <v>144</v>
      </c>
      <c r="L773" s="47">
        <v>1202000</v>
      </c>
      <c r="M773" s="47">
        <v>50000</v>
      </c>
      <c r="N773" s="47">
        <v>1118750</v>
      </c>
      <c r="O773" s="47">
        <v>0</v>
      </c>
    </row>
    <row r="774" spans="1:15" x14ac:dyDescent="0.3">
      <c r="A774" s="58" t="str">
        <f t="shared" si="445"/>
        <v>Grace</v>
      </c>
      <c r="B774" s="59" t="s">
        <v>2</v>
      </c>
      <c r="C774" s="61">
        <v>19800</v>
      </c>
      <c r="D774" s="61">
        <f t="shared" si="437"/>
        <v>3247000</v>
      </c>
      <c r="E774" s="154">
        <f>+N774</f>
        <v>1165100</v>
      </c>
      <c r="F774" s="61">
        <f t="shared" si="442"/>
        <v>2081000</v>
      </c>
      <c r="G774" s="61">
        <f t="shared" si="438"/>
        <v>0</v>
      </c>
      <c r="H774" s="61">
        <v>20700</v>
      </c>
      <c r="I774" s="61">
        <f t="shared" si="446"/>
        <v>20700</v>
      </c>
      <c r="J774" s="9">
        <f>I774-H774</f>
        <v>0</v>
      </c>
      <c r="K774" s="45" t="s">
        <v>143</v>
      </c>
      <c r="L774" s="47">
        <v>3247000</v>
      </c>
      <c r="M774" s="47">
        <v>2081000</v>
      </c>
      <c r="N774" s="47">
        <v>1165100</v>
      </c>
      <c r="O774" s="47">
        <v>0</v>
      </c>
    </row>
    <row r="775" spans="1:15" x14ac:dyDescent="0.3">
      <c r="A775" s="58" t="str">
        <f t="shared" si="445"/>
        <v>I23C</v>
      </c>
      <c r="B775" s="98" t="s">
        <v>4</v>
      </c>
      <c r="C775" s="61">
        <v>30550</v>
      </c>
      <c r="D775" s="61">
        <f t="shared" si="437"/>
        <v>1493000</v>
      </c>
      <c r="E775" s="154">
        <f t="shared" ref="E775:E778" si="448">+N775</f>
        <v>1238000</v>
      </c>
      <c r="F775" s="61">
        <f t="shared" si="442"/>
        <v>270000</v>
      </c>
      <c r="G775" s="61">
        <f t="shared" si="438"/>
        <v>0</v>
      </c>
      <c r="H775" s="61">
        <v>15550</v>
      </c>
      <c r="I775" s="61">
        <f t="shared" si="446"/>
        <v>15550</v>
      </c>
      <c r="J775" s="9">
        <f t="shared" ref="J775:J776" si="449">I775-H775</f>
        <v>0</v>
      </c>
      <c r="K775" s="45" t="s">
        <v>30</v>
      </c>
      <c r="L775" s="47">
        <v>1493000</v>
      </c>
      <c r="M775" s="47">
        <v>270000</v>
      </c>
      <c r="N775" s="47">
        <v>1238000</v>
      </c>
      <c r="O775" s="47">
        <v>0</v>
      </c>
    </row>
    <row r="776" spans="1:15" x14ac:dyDescent="0.3">
      <c r="A776" s="58" t="str">
        <f t="shared" si="445"/>
        <v>Merveille</v>
      </c>
      <c r="B776" s="59" t="s">
        <v>2</v>
      </c>
      <c r="C776" s="61">
        <v>13000</v>
      </c>
      <c r="D776" s="61">
        <f t="shared" si="437"/>
        <v>50000</v>
      </c>
      <c r="E776" s="154">
        <f t="shared" si="448"/>
        <v>58200</v>
      </c>
      <c r="F776" s="61">
        <f t="shared" si="442"/>
        <v>0</v>
      </c>
      <c r="G776" s="61">
        <f t="shared" si="438"/>
        <v>0</v>
      </c>
      <c r="H776" s="61">
        <v>4800</v>
      </c>
      <c r="I776" s="61">
        <f>+C776+D776-E776-F776+G776</f>
        <v>4800</v>
      </c>
      <c r="J776" s="9">
        <f t="shared" si="449"/>
        <v>0</v>
      </c>
      <c r="K776" s="45" t="s">
        <v>93</v>
      </c>
      <c r="L776" s="47">
        <v>50000</v>
      </c>
      <c r="M776" s="47">
        <v>0</v>
      </c>
      <c r="N776" s="47">
        <v>58200</v>
      </c>
      <c r="O776" s="47"/>
    </row>
    <row r="777" spans="1:15" x14ac:dyDescent="0.3">
      <c r="A777" s="58" t="str">
        <f t="shared" si="445"/>
        <v>P29</v>
      </c>
      <c r="B777" s="59" t="s">
        <v>4</v>
      </c>
      <c r="C777" s="61">
        <v>55700</v>
      </c>
      <c r="D777" s="61">
        <f t="shared" si="437"/>
        <v>1029000</v>
      </c>
      <c r="E777" s="154">
        <f t="shared" si="448"/>
        <v>648500</v>
      </c>
      <c r="F777" s="61">
        <f>+M777</f>
        <v>300000</v>
      </c>
      <c r="G777" s="61">
        <f>+O777</f>
        <v>0</v>
      </c>
      <c r="H777" s="61">
        <v>136200</v>
      </c>
      <c r="I777" s="61">
        <f>+C777+D777-E777-F777+G777</f>
        <v>136200</v>
      </c>
      <c r="J777" s="9">
        <f>I777-H777</f>
        <v>0</v>
      </c>
      <c r="K777" s="45" t="s">
        <v>29</v>
      </c>
      <c r="L777" s="47">
        <v>1029000</v>
      </c>
      <c r="M777" s="47">
        <v>300000</v>
      </c>
      <c r="N777" s="47">
        <v>648500</v>
      </c>
      <c r="O777" s="47">
        <v>0</v>
      </c>
    </row>
    <row r="778" spans="1:15" x14ac:dyDescent="0.3">
      <c r="A778" s="58" t="str">
        <f t="shared" si="445"/>
        <v>Tiffany</v>
      </c>
      <c r="B778" s="59" t="s">
        <v>2</v>
      </c>
      <c r="C778" s="61">
        <v>-36237</v>
      </c>
      <c r="D778" s="61">
        <f t="shared" si="437"/>
        <v>210000</v>
      </c>
      <c r="E778" s="154">
        <f t="shared" si="448"/>
        <v>210500</v>
      </c>
      <c r="F778" s="61">
        <f t="shared" ref="F778" si="450">+M778</f>
        <v>0</v>
      </c>
      <c r="G778" s="61">
        <f t="shared" ref="G778" si="451">+O778</f>
        <v>0</v>
      </c>
      <c r="H778" s="61">
        <v>-36737</v>
      </c>
      <c r="I778" s="61">
        <f t="shared" ref="I778" si="452">+C778+D778-E778-F778+G778</f>
        <v>-36737</v>
      </c>
      <c r="J778" s="9">
        <f t="shared" ref="J778" si="453">I778-H778</f>
        <v>0</v>
      </c>
      <c r="K778" s="45" t="s">
        <v>113</v>
      </c>
      <c r="L778" s="47">
        <v>210000</v>
      </c>
      <c r="M778" s="47">
        <v>0</v>
      </c>
      <c r="N778" s="47">
        <v>210500</v>
      </c>
      <c r="O778" s="47">
        <v>0</v>
      </c>
    </row>
    <row r="779" spans="1:15" x14ac:dyDescent="0.3">
      <c r="A779" s="10" t="s">
        <v>50</v>
      </c>
      <c r="B779" s="11"/>
      <c r="C779" s="12">
        <f t="shared" ref="C779:I779" si="454">SUM(C765:C778)</f>
        <v>17560283</v>
      </c>
      <c r="D779" s="57">
        <f t="shared" si="454"/>
        <v>20915000</v>
      </c>
      <c r="E779" s="57">
        <f t="shared" si="454"/>
        <v>14177366</v>
      </c>
      <c r="F779" s="57">
        <f t="shared" si="454"/>
        <v>20915000</v>
      </c>
      <c r="G779" s="57">
        <f t="shared" si="454"/>
        <v>0</v>
      </c>
      <c r="H779" s="57">
        <f t="shared" si="454"/>
        <v>3382917</v>
      </c>
      <c r="I779" s="57">
        <f t="shared" si="454"/>
        <v>3382917</v>
      </c>
      <c r="J779" s="9">
        <f>I779-H779</f>
        <v>0</v>
      </c>
      <c r="K779" s="3"/>
      <c r="L779" s="47">
        <f>+SUM(L765:L778)</f>
        <v>20915000</v>
      </c>
      <c r="M779" s="47">
        <f>+SUM(M765:M778)</f>
        <v>20915000</v>
      </c>
      <c r="N779" s="47">
        <f>+SUM(N765:N778)</f>
        <v>14177366</v>
      </c>
      <c r="O779" s="47">
        <f>+SUM(O765:O778)</f>
        <v>0</v>
      </c>
    </row>
    <row r="780" spans="1:15" x14ac:dyDescent="0.3">
      <c r="A780" s="10"/>
      <c r="B780" s="11"/>
      <c r="C780" s="12"/>
      <c r="D780" s="13"/>
      <c r="E780" s="12"/>
      <c r="F780" s="13"/>
      <c r="G780" s="12"/>
      <c r="H780" s="12"/>
      <c r="I780" s="134" t="b">
        <f>I779=D782</f>
        <v>1</v>
      </c>
      <c r="L780" s="5"/>
      <c r="M780" s="5"/>
      <c r="N780" s="5"/>
      <c r="O780" s="5"/>
    </row>
    <row r="781" spans="1:15" x14ac:dyDescent="0.3">
      <c r="A781" s="10" t="s">
        <v>182</v>
      </c>
      <c r="B781" s="11" t="s">
        <v>183</v>
      </c>
      <c r="C781" s="12" t="s">
        <v>184</v>
      </c>
      <c r="D781" s="12" t="s">
        <v>195</v>
      </c>
      <c r="E781" s="12" t="s">
        <v>51</v>
      </c>
      <c r="F781" s="12"/>
      <c r="G781" s="12">
        <f>+D779-F779</f>
        <v>0</v>
      </c>
      <c r="H781" s="12"/>
      <c r="I781" s="12"/>
    </row>
    <row r="782" spans="1:15" x14ac:dyDescent="0.3">
      <c r="A782" s="14">
        <f>C779</f>
        <v>17560283</v>
      </c>
      <c r="B782" s="15">
        <f>G779</f>
        <v>0</v>
      </c>
      <c r="C782" s="12">
        <f>E779</f>
        <v>14177366</v>
      </c>
      <c r="D782" s="12">
        <f>A782+B782-C782</f>
        <v>3382917</v>
      </c>
      <c r="E782" s="13">
        <f>I779-D782</f>
        <v>0</v>
      </c>
      <c r="F782" s="12"/>
      <c r="G782" s="12"/>
      <c r="H782" s="12"/>
      <c r="I782" s="12"/>
    </row>
    <row r="783" spans="1:15" x14ac:dyDescent="0.3">
      <c r="A783" s="14"/>
      <c r="B783" s="15"/>
      <c r="C783" s="12"/>
      <c r="D783" s="12"/>
      <c r="E783" s="13"/>
      <c r="F783" s="12"/>
      <c r="G783" s="12"/>
      <c r="H783" s="12"/>
      <c r="I783" s="12"/>
    </row>
    <row r="784" spans="1:15" x14ac:dyDescent="0.3">
      <c r="A784" s="16" t="s">
        <v>52</v>
      </c>
      <c r="B784" s="16"/>
      <c r="C784" s="16"/>
      <c r="D784" s="17"/>
      <c r="E784" s="17"/>
      <c r="F784" s="17"/>
      <c r="G784" s="17"/>
      <c r="H784" s="17"/>
      <c r="I784" s="17"/>
    </row>
    <row r="785" spans="1:11" x14ac:dyDescent="0.3">
      <c r="A785" s="18" t="s">
        <v>186</v>
      </c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1" x14ac:dyDescent="0.3">
      <c r="A786" s="19"/>
      <c r="B786" s="17"/>
      <c r="C786" s="20"/>
      <c r="D786" s="20"/>
      <c r="E786" s="20"/>
      <c r="F786" s="20"/>
      <c r="G786" s="20"/>
      <c r="H786" s="17"/>
      <c r="I786" s="17"/>
    </row>
    <row r="787" spans="1:11" x14ac:dyDescent="0.3">
      <c r="A787" s="169" t="s">
        <v>53</v>
      </c>
      <c r="B787" s="171" t="s">
        <v>54</v>
      </c>
      <c r="C787" s="173" t="s">
        <v>185</v>
      </c>
      <c r="D787" s="174" t="s">
        <v>55</v>
      </c>
      <c r="E787" s="175"/>
      <c r="F787" s="175"/>
      <c r="G787" s="176"/>
      <c r="H787" s="177" t="s">
        <v>56</v>
      </c>
      <c r="I787" s="165" t="s">
        <v>57</v>
      </c>
      <c r="J787" s="17"/>
    </row>
    <row r="788" spans="1:11" ht="28.5" customHeight="1" x14ac:dyDescent="0.3">
      <c r="A788" s="170"/>
      <c r="B788" s="172"/>
      <c r="C788" s="22"/>
      <c r="D788" s="21" t="s">
        <v>24</v>
      </c>
      <c r="E788" s="21" t="s">
        <v>25</v>
      </c>
      <c r="F788" s="22" t="s">
        <v>123</v>
      </c>
      <c r="G788" s="21" t="s">
        <v>58</v>
      </c>
      <c r="H788" s="178"/>
      <c r="I788" s="166"/>
      <c r="J788" s="167" t="s">
        <v>187</v>
      </c>
      <c r="K788" s="143"/>
    </row>
    <row r="789" spans="1:11" x14ac:dyDescent="0.3">
      <c r="A789" s="23"/>
      <c r="B789" s="24" t="s">
        <v>59</v>
      </c>
      <c r="C789" s="25"/>
      <c r="D789" s="25"/>
      <c r="E789" s="25"/>
      <c r="F789" s="25"/>
      <c r="G789" s="25"/>
      <c r="H789" s="25"/>
      <c r="I789" s="26"/>
      <c r="J789" s="168"/>
      <c r="K789" s="143"/>
    </row>
    <row r="790" spans="1:11" x14ac:dyDescent="0.3">
      <c r="A790" s="122" t="s">
        <v>115</v>
      </c>
      <c r="B790" s="127" t="s">
        <v>162</v>
      </c>
      <c r="C790" s="32">
        <f>+C765</f>
        <v>500</v>
      </c>
      <c r="D790" s="31"/>
      <c r="E790" s="32">
        <f>+D765</f>
        <v>50000</v>
      </c>
      <c r="F790" s="32"/>
      <c r="G790" s="32"/>
      <c r="H790" s="55">
        <f>+F765</f>
        <v>0</v>
      </c>
      <c r="I790" s="32">
        <f>+E765</f>
        <v>50500</v>
      </c>
      <c r="J790" s="30">
        <f t="shared" ref="J790:J791" si="455">+SUM(C790:G790)-(H790+I790)</f>
        <v>0</v>
      </c>
      <c r="K790" s="144" t="b">
        <f>J790=I765</f>
        <v>1</v>
      </c>
    </row>
    <row r="791" spans="1:11" x14ac:dyDescent="0.3">
      <c r="A791" s="122" t="str">
        <f>+A790</f>
        <v>FEVRIER</v>
      </c>
      <c r="B791" s="127" t="s">
        <v>47</v>
      </c>
      <c r="C791" s="32">
        <f>+C769</f>
        <v>9000</v>
      </c>
      <c r="D791" s="31"/>
      <c r="E791" s="32">
        <f>+D769</f>
        <v>2509000</v>
      </c>
      <c r="F791" s="32"/>
      <c r="G791" s="32"/>
      <c r="H791" s="55">
        <f>+F769</f>
        <v>440000</v>
      </c>
      <c r="I791" s="32">
        <f>+E769</f>
        <v>2021950</v>
      </c>
      <c r="J791" s="101">
        <f t="shared" si="455"/>
        <v>56050</v>
      </c>
      <c r="K791" s="144" t="b">
        <f t="shared" ref="K791:K800" si="456">J791=I769</f>
        <v>1</v>
      </c>
    </row>
    <row r="792" spans="1:11" x14ac:dyDescent="0.3">
      <c r="A792" s="122" t="str">
        <f t="shared" ref="A792:A800" si="457">+A791</f>
        <v>FEVRIER</v>
      </c>
      <c r="B792" s="128" t="s">
        <v>31</v>
      </c>
      <c r="C792" s="32">
        <f>+C770</f>
        <v>8645</v>
      </c>
      <c r="D792" s="119"/>
      <c r="E792" s="32">
        <f>+D770</f>
        <v>614000</v>
      </c>
      <c r="F792" s="51"/>
      <c r="G792" s="51"/>
      <c r="H792" s="55">
        <f>+F770</f>
        <v>0</v>
      </c>
      <c r="I792" s="32">
        <f>+E770</f>
        <v>601150</v>
      </c>
      <c r="J792" s="124">
        <f>+SUM(C792:G792)-(H792+I792)</f>
        <v>21495</v>
      </c>
      <c r="K792" s="144" t="b">
        <f t="shared" si="456"/>
        <v>1</v>
      </c>
    </row>
    <row r="793" spans="1:11" x14ac:dyDescent="0.3">
      <c r="A793" s="122" t="str">
        <f t="shared" si="457"/>
        <v>FEVRIER</v>
      </c>
      <c r="B793" s="129" t="s">
        <v>84</v>
      </c>
      <c r="C793" s="120">
        <f>+C771</f>
        <v>233614</v>
      </c>
      <c r="D793" s="123"/>
      <c r="E793" s="120">
        <f>+D771</f>
        <v>0</v>
      </c>
      <c r="F793" s="137"/>
      <c r="G793" s="137"/>
      <c r="H793" s="155">
        <f>+F771</f>
        <v>0</v>
      </c>
      <c r="I793" s="120">
        <f>+E771</f>
        <v>0</v>
      </c>
      <c r="J793" s="121">
        <f>+SUM(C793:G793)-(H793+I793)</f>
        <v>233614</v>
      </c>
      <c r="K793" s="144" t="b">
        <f t="shared" si="456"/>
        <v>1</v>
      </c>
    </row>
    <row r="794" spans="1:11" x14ac:dyDescent="0.3">
      <c r="A794" s="122" t="str">
        <f t="shared" si="457"/>
        <v>FEVRIER</v>
      </c>
      <c r="B794" s="129" t="s">
        <v>83</v>
      </c>
      <c r="C794" s="120">
        <f>+C772</f>
        <v>249769</v>
      </c>
      <c r="D794" s="123"/>
      <c r="E794" s="120">
        <f>+D772</f>
        <v>0</v>
      </c>
      <c r="F794" s="137"/>
      <c r="G794" s="137"/>
      <c r="H794" s="155">
        <f>+F772</f>
        <v>0</v>
      </c>
      <c r="I794" s="120">
        <f>+E772</f>
        <v>0</v>
      </c>
      <c r="J794" s="121">
        <f t="shared" ref="J794:J800" si="458">+SUM(C794:G794)-(H794+I794)</f>
        <v>249769</v>
      </c>
      <c r="K794" s="144" t="b">
        <f t="shared" si="456"/>
        <v>1</v>
      </c>
    </row>
    <row r="795" spans="1:11" x14ac:dyDescent="0.3">
      <c r="A795" s="122" t="str">
        <f t="shared" si="457"/>
        <v>FEVRIER</v>
      </c>
      <c r="B795" s="127" t="s">
        <v>144</v>
      </c>
      <c r="C795" s="32">
        <f>+C773</f>
        <v>79935</v>
      </c>
      <c r="D795" s="31"/>
      <c r="E795" s="32">
        <f>+D773</f>
        <v>1202000</v>
      </c>
      <c r="F795" s="32"/>
      <c r="G795" s="104"/>
      <c r="H795" s="55">
        <f>+F773</f>
        <v>50000</v>
      </c>
      <c r="I795" s="32">
        <f>+E773</f>
        <v>1118750</v>
      </c>
      <c r="J795" s="30">
        <f t="shared" si="458"/>
        <v>113185</v>
      </c>
      <c r="K795" s="144" t="b">
        <f t="shared" si="456"/>
        <v>1</v>
      </c>
    </row>
    <row r="796" spans="1:11" x14ac:dyDescent="0.3">
      <c r="A796" s="122" t="str">
        <f t="shared" si="457"/>
        <v>FEVRIER</v>
      </c>
      <c r="B796" s="127" t="s">
        <v>143</v>
      </c>
      <c r="C796" s="32">
        <f t="shared" ref="C796:C800" si="459">+C774</f>
        <v>19800</v>
      </c>
      <c r="D796" s="31"/>
      <c r="E796" s="32">
        <f t="shared" ref="E796:E800" si="460">+D774</f>
        <v>3247000</v>
      </c>
      <c r="F796" s="32"/>
      <c r="G796" s="104"/>
      <c r="H796" s="55">
        <f t="shared" ref="H796:H800" si="461">+F774</f>
        <v>2081000</v>
      </c>
      <c r="I796" s="32">
        <f t="shared" ref="I796:I800" si="462">+E774</f>
        <v>1165100</v>
      </c>
      <c r="J796" s="30">
        <f t="shared" si="458"/>
        <v>20700</v>
      </c>
      <c r="K796" s="144" t="b">
        <f t="shared" si="456"/>
        <v>1</v>
      </c>
    </row>
    <row r="797" spans="1:11" x14ac:dyDescent="0.3">
      <c r="A797" s="122" t="str">
        <f t="shared" si="457"/>
        <v>FEVRIER</v>
      </c>
      <c r="B797" s="127" t="s">
        <v>30</v>
      </c>
      <c r="C797" s="32">
        <f t="shared" si="459"/>
        <v>30550</v>
      </c>
      <c r="D797" s="31"/>
      <c r="E797" s="32">
        <f t="shared" si="460"/>
        <v>1493000</v>
      </c>
      <c r="F797" s="32"/>
      <c r="G797" s="104"/>
      <c r="H797" s="55">
        <f t="shared" si="461"/>
        <v>270000</v>
      </c>
      <c r="I797" s="32">
        <f t="shared" si="462"/>
        <v>1238000</v>
      </c>
      <c r="J797" s="30">
        <f t="shared" si="458"/>
        <v>15550</v>
      </c>
      <c r="K797" s="144" t="b">
        <f t="shared" si="456"/>
        <v>1</v>
      </c>
    </row>
    <row r="798" spans="1:11" x14ac:dyDescent="0.3">
      <c r="A798" s="122" t="str">
        <f>+A796</f>
        <v>FEVRIER</v>
      </c>
      <c r="B798" s="127" t="s">
        <v>93</v>
      </c>
      <c r="C798" s="32">
        <f t="shared" si="459"/>
        <v>13000</v>
      </c>
      <c r="D798" s="31"/>
      <c r="E798" s="32">
        <f t="shared" si="460"/>
        <v>50000</v>
      </c>
      <c r="F798" s="32"/>
      <c r="G798" s="104"/>
      <c r="H798" s="55">
        <f t="shared" si="461"/>
        <v>0</v>
      </c>
      <c r="I798" s="32">
        <f t="shared" si="462"/>
        <v>58200</v>
      </c>
      <c r="J798" s="30">
        <f t="shared" si="458"/>
        <v>4800</v>
      </c>
      <c r="K798" s="144" t="b">
        <f t="shared" si="456"/>
        <v>1</v>
      </c>
    </row>
    <row r="799" spans="1:11" x14ac:dyDescent="0.3">
      <c r="A799" s="122" t="str">
        <f>+A797</f>
        <v>FEVRIER</v>
      </c>
      <c r="B799" s="127" t="s">
        <v>29</v>
      </c>
      <c r="C799" s="32">
        <f t="shared" si="459"/>
        <v>55700</v>
      </c>
      <c r="D799" s="31"/>
      <c r="E799" s="32">
        <f t="shared" si="460"/>
        <v>1029000</v>
      </c>
      <c r="F799" s="32"/>
      <c r="G799" s="104"/>
      <c r="H799" s="55">
        <f t="shared" si="461"/>
        <v>300000</v>
      </c>
      <c r="I799" s="32">
        <f t="shared" si="462"/>
        <v>648500</v>
      </c>
      <c r="J799" s="30">
        <f t="shared" si="458"/>
        <v>136200</v>
      </c>
      <c r="K799" s="144" t="b">
        <f t="shared" si="456"/>
        <v>1</v>
      </c>
    </row>
    <row r="800" spans="1:11" x14ac:dyDescent="0.3">
      <c r="A800" s="122" t="str">
        <f t="shared" si="457"/>
        <v>FEVRIER</v>
      </c>
      <c r="B800" s="128" t="s">
        <v>113</v>
      </c>
      <c r="C800" s="32">
        <f t="shared" si="459"/>
        <v>-36237</v>
      </c>
      <c r="D800" s="119"/>
      <c r="E800" s="32">
        <f t="shared" si="460"/>
        <v>210000</v>
      </c>
      <c r="F800" s="51"/>
      <c r="G800" s="138"/>
      <c r="H800" s="55">
        <f t="shared" si="461"/>
        <v>0</v>
      </c>
      <c r="I800" s="32">
        <f t="shared" si="462"/>
        <v>210500</v>
      </c>
      <c r="J800" s="30">
        <f t="shared" si="458"/>
        <v>-36737</v>
      </c>
      <c r="K800" s="144" t="b">
        <f t="shared" si="456"/>
        <v>1</v>
      </c>
    </row>
    <row r="801" spans="1:16" x14ac:dyDescent="0.3">
      <c r="A801" s="34" t="s">
        <v>60</v>
      </c>
      <c r="B801" s="35"/>
      <c r="C801" s="35"/>
      <c r="D801" s="35"/>
      <c r="E801" s="35"/>
      <c r="F801" s="35"/>
      <c r="G801" s="35"/>
      <c r="H801" s="35"/>
      <c r="I801" s="35"/>
      <c r="J801" s="36"/>
      <c r="K801" s="143"/>
    </row>
    <row r="802" spans="1:16" x14ac:dyDescent="0.3">
      <c r="A802" s="122" t="str">
        <f>+A800</f>
        <v>FEVRIER</v>
      </c>
      <c r="B802" s="37" t="s">
        <v>61</v>
      </c>
      <c r="C802" s="38">
        <f>+C768</f>
        <v>580885</v>
      </c>
      <c r="D802" s="49"/>
      <c r="E802" s="49">
        <f>D768</f>
        <v>10511000</v>
      </c>
      <c r="F802" s="49"/>
      <c r="G802" s="125"/>
      <c r="H802" s="51">
        <f>+F768</f>
        <v>7774000</v>
      </c>
      <c r="I802" s="126">
        <f>+E768</f>
        <v>2520779</v>
      </c>
      <c r="J802" s="30">
        <f>+SUM(C802:G802)-(H802+I802)</f>
        <v>797106</v>
      </c>
      <c r="K802" s="144" t="b">
        <f>J802=I768</f>
        <v>1</v>
      </c>
    </row>
    <row r="803" spans="1:16" x14ac:dyDescent="0.3">
      <c r="A803" s="43" t="s">
        <v>62</v>
      </c>
      <c r="B803" s="24"/>
      <c r="C803" s="35"/>
      <c r="D803" s="24"/>
      <c r="E803" s="24"/>
      <c r="F803" s="24"/>
      <c r="G803" s="24"/>
      <c r="H803" s="24"/>
      <c r="I803" s="24"/>
      <c r="J803" s="36"/>
      <c r="K803" s="143"/>
    </row>
    <row r="804" spans="1:16" x14ac:dyDescent="0.3">
      <c r="A804" s="122" t="str">
        <f>+A802</f>
        <v>FEVRIER</v>
      </c>
      <c r="B804" s="37" t="s">
        <v>156</v>
      </c>
      <c r="C804" s="125">
        <f>+C766</f>
        <v>2172028</v>
      </c>
      <c r="D804" s="132">
        <f>+G766</f>
        <v>0</v>
      </c>
      <c r="E804" s="49"/>
      <c r="F804" s="49"/>
      <c r="G804" s="49"/>
      <c r="H804" s="51">
        <f>+F766</f>
        <v>1000000</v>
      </c>
      <c r="I804" s="53">
        <f>+E766</f>
        <v>283345</v>
      </c>
      <c r="J804" s="30">
        <f>+SUM(C804:G804)-(H804+I804)</f>
        <v>888683</v>
      </c>
      <c r="K804" s="144" t="b">
        <f>+J804=I766</f>
        <v>1</v>
      </c>
    </row>
    <row r="805" spans="1:16" x14ac:dyDescent="0.3">
      <c r="A805" s="122" t="str">
        <f t="shared" ref="A805" si="463">+A804</f>
        <v>FEVRIER</v>
      </c>
      <c r="B805" s="37" t="s">
        <v>64</v>
      </c>
      <c r="C805" s="125">
        <f>+C767</f>
        <v>14143094</v>
      </c>
      <c r="D805" s="49">
        <f>+G767</f>
        <v>0</v>
      </c>
      <c r="E805" s="48"/>
      <c r="F805" s="48"/>
      <c r="G805" s="48"/>
      <c r="H805" s="32">
        <f>+F767</f>
        <v>9000000</v>
      </c>
      <c r="I805" s="50">
        <f>+E767</f>
        <v>4260592</v>
      </c>
      <c r="J805" s="30">
        <f>SUM(C805:G805)-(H805+I805)</f>
        <v>882502</v>
      </c>
      <c r="K805" s="144" t="b">
        <f>+J805=I767</f>
        <v>1</v>
      </c>
    </row>
    <row r="806" spans="1:16" ht="15.6" x14ac:dyDescent="0.3">
      <c r="C806" s="141">
        <f>SUM(C790:C805)</f>
        <v>17560283</v>
      </c>
      <c r="I806" s="140">
        <f>SUM(I790:I805)</f>
        <v>14177366</v>
      </c>
      <c r="J806" s="105">
        <f>+SUM(J790:J805)</f>
        <v>3382917</v>
      </c>
      <c r="K806" s="5" t="b">
        <f>J806=I779</f>
        <v>1</v>
      </c>
    </row>
    <row r="807" spans="1:16" ht="15.6" x14ac:dyDescent="0.3">
      <c r="A807" s="160"/>
      <c r="B807" s="160"/>
      <c r="C807" s="161"/>
      <c r="D807" s="160"/>
      <c r="E807" s="160"/>
      <c r="F807" s="160"/>
      <c r="G807" s="160"/>
      <c r="H807" s="160"/>
      <c r="I807" s="162"/>
      <c r="J807" s="163"/>
      <c r="K807" s="160"/>
      <c r="L807" s="164"/>
      <c r="M807" s="164"/>
      <c r="N807" s="164"/>
      <c r="O807" s="164"/>
      <c r="P807" s="160"/>
    </row>
    <row r="808" spans="1:16" ht="15.6" x14ac:dyDescent="0.3">
      <c r="A808" s="160"/>
      <c r="B808" s="160"/>
      <c r="C808" s="161"/>
      <c r="D808" s="160"/>
      <c r="E808" s="160"/>
      <c r="F808" s="160"/>
      <c r="G808" s="160"/>
      <c r="H808" s="160"/>
      <c r="I808" s="162"/>
      <c r="J808" s="163"/>
      <c r="K808" s="160"/>
      <c r="L808" s="164"/>
      <c r="M808" s="164"/>
      <c r="N808" s="164"/>
      <c r="O808" s="164"/>
      <c r="P808" s="160"/>
    </row>
    <row r="810" spans="1:16" ht="15.6" x14ac:dyDescent="0.3">
      <c r="A810" s="6" t="s">
        <v>36</v>
      </c>
      <c r="B810" s="6" t="s">
        <v>1</v>
      </c>
      <c r="C810" s="6">
        <v>44562</v>
      </c>
      <c r="D810" s="7" t="s">
        <v>37</v>
      </c>
      <c r="E810" s="7" t="s">
        <v>38</v>
      </c>
      <c r="F810" s="7" t="s">
        <v>39</v>
      </c>
      <c r="G810" s="7" t="s">
        <v>40</v>
      </c>
      <c r="H810" s="6">
        <v>44592</v>
      </c>
      <c r="I810" s="7" t="s">
        <v>41</v>
      </c>
      <c r="K810" s="45"/>
      <c r="L810" s="45" t="s">
        <v>42</v>
      </c>
      <c r="M810" s="45" t="s">
        <v>43</v>
      </c>
      <c r="N810" s="45" t="s">
        <v>44</v>
      </c>
      <c r="O810" s="45" t="s">
        <v>45</v>
      </c>
    </row>
    <row r="811" spans="1:16" x14ac:dyDescent="0.3">
      <c r="A811" s="58" t="str">
        <f>+K811</f>
        <v>B52</v>
      </c>
      <c r="B811" s="59" t="s">
        <v>4</v>
      </c>
      <c r="C811" s="60">
        <v>9500</v>
      </c>
      <c r="D811" s="61">
        <f t="shared" ref="D811:D824" si="464">+L811</f>
        <v>567000</v>
      </c>
      <c r="E811" s="61">
        <f>+N811</f>
        <v>576000</v>
      </c>
      <c r="F811" s="61">
        <f>+M811</f>
        <v>0</v>
      </c>
      <c r="G811" s="61">
        <f t="shared" ref="G811:G822" si="465">+O811</f>
        <v>0</v>
      </c>
      <c r="H811" s="61">
        <v>500</v>
      </c>
      <c r="I811" s="61">
        <f>+C811+D811-E811-F811+G811</f>
        <v>500</v>
      </c>
      <c r="J811" s="9">
        <f>I811-H811</f>
        <v>0</v>
      </c>
      <c r="K811" s="45" t="s">
        <v>162</v>
      </c>
      <c r="L811" s="47">
        <v>567000</v>
      </c>
      <c r="M811" s="47">
        <v>0</v>
      </c>
      <c r="N811" s="47">
        <v>576000</v>
      </c>
      <c r="O811" s="47">
        <v>0</v>
      </c>
    </row>
    <row r="812" spans="1:16" x14ac:dyDescent="0.3">
      <c r="A812" s="58" t="str">
        <f>+K812</f>
        <v>BCI</v>
      </c>
      <c r="B812" s="59" t="s">
        <v>46</v>
      </c>
      <c r="C812" s="60">
        <v>3455373</v>
      </c>
      <c r="D812" s="61">
        <f t="shared" si="464"/>
        <v>0</v>
      </c>
      <c r="E812" s="61">
        <f>+N812</f>
        <v>283345</v>
      </c>
      <c r="F812" s="61">
        <f>+M812</f>
        <v>1000000</v>
      </c>
      <c r="G812" s="61">
        <f t="shared" si="465"/>
        <v>0</v>
      </c>
      <c r="H812" s="61">
        <v>2172028</v>
      </c>
      <c r="I812" s="61">
        <f>+C812+D812-E812-F812+G812</f>
        <v>2172028</v>
      </c>
      <c r="J812" s="9">
        <f t="shared" ref="J812:J819" si="466">I812-H812</f>
        <v>0</v>
      </c>
      <c r="K812" s="45" t="s">
        <v>24</v>
      </c>
      <c r="L812" s="47">
        <v>0</v>
      </c>
      <c r="M812" s="47">
        <v>1000000</v>
      </c>
      <c r="N812" s="47">
        <v>283345</v>
      </c>
      <c r="O812" s="47">
        <v>0</v>
      </c>
    </row>
    <row r="813" spans="1:16" x14ac:dyDescent="0.3">
      <c r="A813" s="58" t="str">
        <f t="shared" ref="A813:A815" si="467">+K813</f>
        <v>BCI-Sous Compte</v>
      </c>
      <c r="B813" s="59" t="s">
        <v>46</v>
      </c>
      <c r="C813" s="60">
        <v>4841615</v>
      </c>
      <c r="D813" s="61">
        <f t="shared" si="464"/>
        <v>0</v>
      </c>
      <c r="E813" s="61">
        <f>+N813</f>
        <v>6223724</v>
      </c>
      <c r="F813" s="61">
        <f>+M813</f>
        <v>2000000</v>
      </c>
      <c r="G813" s="61">
        <f t="shared" si="465"/>
        <v>17525203</v>
      </c>
      <c r="H813" s="61">
        <v>14143094</v>
      </c>
      <c r="I813" s="61">
        <f>+C813+D813-E813-F813+G813</f>
        <v>14143094</v>
      </c>
      <c r="J813" s="102">
        <f t="shared" si="466"/>
        <v>0</v>
      </c>
      <c r="K813" s="45" t="s">
        <v>148</v>
      </c>
      <c r="L813" s="47">
        <v>0</v>
      </c>
      <c r="M813" s="47">
        <v>2000000</v>
      </c>
      <c r="N813" s="47">
        <v>6223724</v>
      </c>
      <c r="O813" s="47">
        <v>17525203</v>
      </c>
    </row>
    <row r="814" spans="1:16" x14ac:dyDescent="0.3">
      <c r="A814" s="58" t="str">
        <f t="shared" si="467"/>
        <v>Caisse</v>
      </c>
      <c r="B814" s="59" t="s">
        <v>25</v>
      </c>
      <c r="C814" s="60">
        <v>1042520</v>
      </c>
      <c r="D814" s="61">
        <f t="shared" si="464"/>
        <v>3035000</v>
      </c>
      <c r="E814" s="61">
        <f t="shared" ref="E814" si="468">+N814</f>
        <v>966635</v>
      </c>
      <c r="F814" s="61">
        <f t="shared" ref="F814:F822" si="469">+M814</f>
        <v>2530000</v>
      </c>
      <c r="G814" s="61">
        <f t="shared" si="465"/>
        <v>0</v>
      </c>
      <c r="H814" s="61">
        <v>580885</v>
      </c>
      <c r="I814" s="61">
        <f>+C814+D814-E814-F814+G814</f>
        <v>580885</v>
      </c>
      <c r="J814" s="9">
        <f t="shared" si="466"/>
        <v>0</v>
      </c>
      <c r="K814" s="45" t="s">
        <v>25</v>
      </c>
      <c r="L814" s="47">
        <v>3035000</v>
      </c>
      <c r="M814" s="47">
        <v>2530000</v>
      </c>
      <c r="N814" s="47">
        <v>966635</v>
      </c>
      <c r="O814" s="47">
        <v>0</v>
      </c>
    </row>
    <row r="815" spans="1:16" x14ac:dyDescent="0.3">
      <c r="A815" s="58" t="str">
        <f t="shared" si="467"/>
        <v>Crépin</v>
      </c>
      <c r="B815" s="59" t="s">
        <v>154</v>
      </c>
      <c r="C815" s="60">
        <v>-37100</v>
      </c>
      <c r="D815" s="61">
        <f t="shared" si="464"/>
        <v>256000</v>
      </c>
      <c r="E815" s="61">
        <f>+N815</f>
        <v>189900</v>
      </c>
      <c r="F815" s="61">
        <f t="shared" si="469"/>
        <v>20000</v>
      </c>
      <c r="G815" s="61">
        <f t="shared" si="465"/>
        <v>0</v>
      </c>
      <c r="H815" s="61">
        <v>9000</v>
      </c>
      <c r="I815" s="61">
        <f t="shared" ref="I815" si="470">+C815+D815-E815-F815+G815</f>
        <v>9000</v>
      </c>
      <c r="J815" s="9">
        <f t="shared" si="466"/>
        <v>0</v>
      </c>
      <c r="K815" s="45" t="s">
        <v>47</v>
      </c>
      <c r="L815" s="47">
        <v>256000</v>
      </c>
      <c r="M815" s="47">
        <v>20000</v>
      </c>
      <c r="N815" s="47">
        <v>189900</v>
      </c>
      <c r="O815" s="47">
        <v>0</v>
      </c>
    </row>
    <row r="816" spans="1:16" x14ac:dyDescent="0.3">
      <c r="A816" s="58" t="str">
        <f>K816</f>
        <v>Evariste</v>
      </c>
      <c r="B816" s="59" t="s">
        <v>155</v>
      </c>
      <c r="C816" s="60">
        <v>8645</v>
      </c>
      <c r="D816" s="61">
        <f t="shared" si="464"/>
        <v>0</v>
      </c>
      <c r="E816" s="61">
        <f t="shared" ref="E816" si="471">+N816</f>
        <v>0</v>
      </c>
      <c r="F816" s="61">
        <f t="shared" si="469"/>
        <v>0</v>
      </c>
      <c r="G816" s="61">
        <f t="shared" si="465"/>
        <v>0</v>
      </c>
      <c r="H816" s="61">
        <v>8645</v>
      </c>
      <c r="I816" s="61">
        <f>+C816+D816-E816-F816+G816</f>
        <v>8645</v>
      </c>
      <c r="J816" s="9">
        <f t="shared" si="466"/>
        <v>0</v>
      </c>
      <c r="K816" s="45" t="s">
        <v>31</v>
      </c>
      <c r="L816" s="47">
        <v>0</v>
      </c>
      <c r="M816" s="47">
        <v>0</v>
      </c>
      <c r="N816" s="47">
        <v>0</v>
      </c>
      <c r="O816" s="47">
        <v>0</v>
      </c>
    </row>
    <row r="817" spans="1:15" x14ac:dyDescent="0.3">
      <c r="A817" s="115" t="str">
        <f t="shared" ref="A817:A824" si="472">+K817</f>
        <v>I55S</v>
      </c>
      <c r="B817" s="116" t="s">
        <v>4</v>
      </c>
      <c r="C817" s="117">
        <v>233614</v>
      </c>
      <c r="D817" s="118">
        <f t="shared" si="464"/>
        <v>0</v>
      </c>
      <c r="E817" s="118">
        <f>+N817</f>
        <v>0</v>
      </c>
      <c r="F817" s="118">
        <f t="shared" si="469"/>
        <v>0</v>
      </c>
      <c r="G817" s="118">
        <f t="shared" si="465"/>
        <v>0</v>
      </c>
      <c r="H817" s="118">
        <v>233614</v>
      </c>
      <c r="I817" s="118">
        <f>+C817+D817-E817-F817+G817</f>
        <v>233614</v>
      </c>
      <c r="J817" s="9">
        <f t="shared" si="466"/>
        <v>0</v>
      </c>
      <c r="K817" s="45" t="s">
        <v>84</v>
      </c>
      <c r="L817" s="47">
        <v>0</v>
      </c>
      <c r="M817" s="47">
        <v>0</v>
      </c>
      <c r="N817" s="47">
        <v>0</v>
      </c>
      <c r="O817" s="47">
        <v>0</v>
      </c>
    </row>
    <row r="818" spans="1:15" x14ac:dyDescent="0.3">
      <c r="A818" s="115" t="str">
        <f t="shared" si="472"/>
        <v>I73X</v>
      </c>
      <c r="B818" s="116" t="s">
        <v>4</v>
      </c>
      <c r="C818" s="117">
        <v>249769</v>
      </c>
      <c r="D818" s="118">
        <f t="shared" si="464"/>
        <v>0</v>
      </c>
      <c r="E818" s="118">
        <f>+N818</f>
        <v>0</v>
      </c>
      <c r="F818" s="118">
        <f t="shared" si="469"/>
        <v>0</v>
      </c>
      <c r="G818" s="118">
        <f t="shared" si="465"/>
        <v>0</v>
      </c>
      <c r="H818" s="118">
        <v>249769</v>
      </c>
      <c r="I818" s="118">
        <f t="shared" ref="I818:I821" si="473">+C818+D818-E818-F818+G818</f>
        <v>249769</v>
      </c>
      <c r="J818" s="9">
        <f t="shared" si="466"/>
        <v>0</v>
      </c>
      <c r="K818" s="45" t="s">
        <v>83</v>
      </c>
      <c r="L818" s="47">
        <v>0</v>
      </c>
      <c r="M818" s="47">
        <v>0</v>
      </c>
      <c r="N818" s="47">
        <v>0</v>
      </c>
      <c r="O818" s="47">
        <v>0</v>
      </c>
    </row>
    <row r="819" spans="1:15" x14ac:dyDescent="0.3">
      <c r="A819" s="58" t="str">
        <f t="shared" si="472"/>
        <v>Godfré</v>
      </c>
      <c r="B819" s="98" t="s">
        <v>154</v>
      </c>
      <c r="C819" s="60">
        <v>34935</v>
      </c>
      <c r="D819" s="61">
        <f t="shared" si="464"/>
        <v>365000</v>
      </c>
      <c r="E819" s="154">
        <f t="shared" ref="E819" si="474">+N819</f>
        <v>320000</v>
      </c>
      <c r="F819" s="61">
        <f t="shared" si="469"/>
        <v>0</v>
      </c>
      <c r="G819" s="61">
        <f t="shared" si="465"/>
        <v>0</v>
      </c>
      <c r="H819" s="61">
        <v>79935</v>
      </c>
      <c r="I819" s="61">
        <f t="shared" si="473"/>
        <v>79935</v>
      </c>
      <c r="J819" s="9">
        <f t="shared" si="466"/>
        <v>0</v>
      </c>
      <c r="K819" s="45" t="s">
        <v>144</v>
      </c>
      <c r="L819" s="47">
        <v>365000</v>
      </c>
      <c r="M819" s="47"/>
      <c r="N819" s="47">
        <v>320000</v>
      </c>
      <c r="O819" s="47">
        <v>0</v>
      </c>
    </row>
    <row r="820" spans="1:15" x14ac:dyDescent="0.3">
      <c r="A820" s="58" t="str">
        <f t="shared" si="472"/>
        <v>Grace</v>
      </c>
      <c r="B820" s="59" t="s">
        <v>2</v>
      </c>
      <c r="C820" s="60">
        <v>44200</v>
      </c>
      <c r="D820" s="61">
        <f t="shared" si="464"/>
        <v>0</v>
      </c>
      <c r="E820" s="154">
        <f>+N820</f>
        <v>9400</v>
      </c>
      <c r="F820" s="61">
        <f t="shared" si="469"/>
        <v>15000</v>
      </c>
      <c r="G820" s="61">
        <f t="shared" si="465"/>
        <v>0</v>
      </c>
      <c r="H820" s="61">
        <v>19800</v>
      </c>
      <c r="I820" s="61">
        <f t="shared" si="473"/>
        <v>19800</v>
      </c>
      <c r="J820" s="9">
        <f>I820-H820</f>
        <v>0</v>
      </c>
      <c r="K820" s="45" t="s">
        <v>143</v>
      </c>
      <c r="L820" s="47">
        <v>0</v>
      </c>
      <c r="M820" s="47">
        <v>15000</v>
      </c>
      <c r="N820" s="47">
        <v>9400</v>
      </c>
      <c r="O820" s="47">
        <v>0</v>
      </c>
    </row>
    <row r="821" spans="1:15" x14ac:dyDescent="0.3">
      <c r="A821" s="58" t="str">
        <f t="shared" si="472"/>
        <v>I23C</v>
      </c>
      <c r="B821" s="98" t="s">
        <v>4</v>
      </c>
      <c r="C821" s="60">
        <v>12050</v>
      </c>
      <c r="D821" s="61">
        <f t="shared" si="464"/>
        <v>492000</v>
      </c>
      <c r="E821" s="154">
        <f t="shared" ref="E821:E824" si="475">+N821</f>
        <v>473500</v>
      </c>
      <c r="F821" s="61">
        <f t="shared" si="469"/>
        <v>0</v>
      </c>
      <c r="G821" s="61">
        <f t="shared" si="465"/>
        <v>0</v>
      </c>
      <c r="H821" s="61">
        <v>30550</v>
      </c>
      <c r="I821" s="61">
        <f t="shared" si="473"/>
        <v>30550</v>
      </c>
      <c r="J821" s="9">
        <f t="shared" ref="J821:J822" si="476">I821-H821</f>
        <v>0</v>
      </c>
      <c r="K821" s="45" t="s">
        <v>30</v>
      </c>
      <c r="L821" s="47">
        <v>492000</v>
      </c>
      <c r="M821" s="47">
        <v>0</v>
      </c>
      <c r="N821" s="47">
        <v>473500</v>
      </c>
      <c r="O821" s="47">
        <v>0</v>
      </c>
    </row>
    <row r="822" spans="1:15" x14ac:dyDescent="0.3">
      <c r="A822" s="58" t="str">
        <f t="shared" si="472"/>
        <v>Merveille</v>
      </c>
      <c r="B822" s="59" t="s">
        <v>2</v>
      </c>
      <c r="C822" s="60">
        <v>5500</v>
      </c>
      <c r="D822" s="61">
        <f t="shared" si="464"/>
        <v>20000</v>
      </c>
      <c r="E822" s="154">
        <f t="shared" si="475"/>
        <v>12500</v>
      </c>
      <c r="F822" s="61">
        <f t="shared" si="469"/>
        <v>0</v>
      </c>
      <c r="G822" s="61">
        <f t="shared" si="465"/>
        <v>0</v>
      </c>
      <c r="H822" s="61">
        <v>13000</v>
      </c>
      <c r="I822" s="61">
        <f>+C822+D822-E822-F822+G822</f>
        <v>13000</v>
      </c>
      <c r="J822" s="9">
        <f t="shared" si="476"/>
        <v>0</v>
      </c>
      <c r="K822" s="45" t="s">
        <v>93</v>
      </c>
      <c r="L822" s="47">
        <v>20000</v>
      </c>
      <c r="M822" s="47">
        <v>0</v>
      </c>
      <c r="N822" s="47">
        <v>12500</v>
      </c>
      <c r="O822" s="47"/>
    </row>
    <row r="823" spans="1:15" x14ac:dyDescent="0.3">
      <c r="A823" s="58" t="str">
        <f t="shared" si="472"/>
        <v>P29</v>
      </c>
      <c r="B823" s="59" t="s">
        <v>4</v>
      </c>
      <c r="C823" s="60">
        <v>58200</v>
      </c>
      <c r="D823" s="61">
        <f t="shared" si="464"/>
        <v>530000</v>
      </c>
      <c r="E823" s="154">
        <f t="shared" si="475"/>
        <v>532500</v>
      </c>
      <c r="F823" s="61">
        <f>+M823</f>
        <v>0</v>
      </c>
      <c r="G823" s="61">
        <f>+O823</f>
        <v>0</v>
      </c>
      <c r="H823" s="61">
        <v>55700</v>
      </c>
      <c r="I823" s="61">
        <f>+C823+D823-E823-F823+G823</f>
        <v>55700</v>
      </c>
      <c r="J823" s="9">
        <f>I823-H823</f>
        <v>0</v>
      </c>
      <c r="K823" s="45" t="s">
        <v>29</v>
      </c>
      <c r="L823" s="47">
        <v>530000</v>
      </c>
      <c r="M823" s="47">
        <v>0</v>
      </c>
      <c r="N823" s="47">
        <v>532500</v>
      </c>
      <c r="O823" s="47">
        <v>0</v>
      </c>
    </row>
    <row r="824" spans="1:15" x14ac:dyDescent="0.3">
      <c r="A824" s="58" t="str">
        <f t="shared" si="472"/>
        <v>Tiffany</v>
      </c>
      <c r="B824" s="59" t="s">
        <v>2</v>
      </c>
      <c r="C824" s="60">
        <v>263673</v>
      </c>
      <c r="D824" s="61">
        <f t="shared" si="464"/>
        <v>300000</v>
      </c>
      <c r="E824" s="154">
        <f t="shared" si="475"/>
        <v>599910</v>
      </c>
      <c r="F824" s="61">
        <f t="shared" ref="F824" si="477">+M824</f>
        <v>0</v>
      </c>
      <c r="G824" s="61">
        <f t="shared" ref="G824" si="478">+O824</f>
        <v>0</v>
      </c>
      <c r="H824" s="61">
        <v>-36237</v>
      </c>
      <c r="I824" s="61">
        <f t="shared" ref="I824" si="479">+C824+D824-E824-F824+G824</f>
        <v>-36237</v>
      </c>
      <c r="J824" s="9">
        <f t="shared" ref="J824" si="480">I824-H824</f>
        <v>0</v>
      </c>
      <c r="K824" s="45" t="s">
        <v>113</v>
      </c>
      <c r="L824" s="47">
        <v>300000</v>
      </c>
      <c r="M824" s="47">
        <v>0</v>
      </c>
      <c r="N824" s="47">
        <v>599910</v>
      </c>
      <c r="O824" s="47">
        <v>0</v>
      </c>
    </row>
    <row r="825" spans="1:15" x14ac:dyDescent="0.3">
      <c r="A825" s="10" t="s">
        <v>50</v>
      </c>
      <c r="B825" s="11"/>
      <c r="C825" s="12">
        <f t="shared" ref="C825:I825" si="481">SUM(C811:C824)</f>
        <v>10222494</v>
      </c>
      <c r="D825" s="57">
        <f t="shared" si="481"/>
        <v>5565000</v>
      </c>
      <c r="E825" s="57">
        <f t="shared" si="481"/>
        <v>10187414</v>
      </c>
      <c r="F825" s="57">
        <f t="shared" si="481"/>
        <v>5565000</v>
      </c>
      <c r="G825" s="57">
        <f t="shared" si="481"/>
        <v>17525203</v>
      </c>
      <c r="H825" s="57">
        <f t="shared" si="481"/>
        <v>17560283</v>
      </c>
      <c r="I825" s="57">
        <f t="shared" si="481"/>
        <v>17560283</v>
      </c>
      <c r="J825" s="9">
        <f>I825-H825</f>
        <v>0</v>
      </c>
      <c r="K825" s="3"/>
      <c r="L825" s="47">
        <f>+SUM(L811:L824)</f>
        <v>5565000</v>
      </c>
      <c r="M825" s="47">
        <f>+SUM(M811:M824)</f>
        <v>5565000</v>
      </c>
      <c r="N825" s="47">
        <f>+SUM(N811:N824)</f>
        <v>10187414</v>
      </c>
      <c r="O825" s="47">
        <f>+SUM(O811:O824)</f>
        <v>17525203</v>
      </c>
    </row>
    <row r="826" spans="1:15" x14ac:dyDescent="0.3">
      <c r="A826" s="10"/>
      <c r="B826" s="11"/>
      <c r="C826" s="12"/>
      <c r="D826" s="13"/>
      <c r="E826" s="12"/>
      <c r="F826" s="13"/>
      <c r="G826" s="12"/>
      <c r="H826" s="12"/>
      <c r="I826" s="134" t="b">
        <f>I825=D828</f>
        <v>1</v>
      </c>
      <c r="L826" s="5"/>
      <c r="M826" s="5"/>
      <c r="N826" s="5"/>
      <c r="O826" s="5"/>
    </row>
    <row r="827" spans="1:15" x14ac:dyDescent="0.3">
      <c r="A827" s="10" t="s">
        <v>175</v>
      </c>
      <c r="B827" s="11" t="s">
        <v>177</v>
      </c>
      <c r="C827" s="12" t="s">
        <v>176</v>
      </c>
      <c r="D827" s="12" t="s">
        <v>178</v>
      </c>
      <c r="E827" s="12" t="s">
        <v>51</v>
      </c>
      <c r="F827" s="12"/>
      <c r="G827" s="12">
        <f>+D825-F825</f>
        <v>0</v>
      </c>
      <c r="H827" s="12"/>
      <c r="I827" s="12"/>
      <c r="L827" s="5"/>
      <c r="M827" s="5"/>
      <c r="N827" s="5"/>
      <c r="O827" s="5"/>
    </row>
    <row r="828" spans="1:15" x14ac:dyDescent="0.3">
      <c r="A828" s="14">
        <f>C825</f>
        <v>10222494</v>
      </c>
      <c r="B828" s="15">
        <f>G825</f>
        <v>17525203</v>
      </c>
      <c r="C828" s="12">
        <f>E825</f>
        <v>10187414</v>
      </c>
      <c r="D828" s="12">
        <f>A828+B828-C828</f>
        <v>17560283</v>
      </c>
      <c r="E828" s="13">
        <f>I825-D828</f>
        <v>0</v>
      </c>
      <c r="F828" s="12"/>
      <c r="G828" s="12"/>
      <c r="H828" s="12"/>
      <c r="I828" s="12"/>
      <c r="L828" s="5"/>
      <c r="M828" s="5"/>
      <c r="N828" s="5"/>
      <c r="O828" s="5"/>
    </row>
    <row r="829" spans="1:15" x14ac:dyDescent="0.3">
      <c r="A829" s="14"/>
      <c r="B829" s="15"/>
      <c r="C829" s="12"/>
      <c r="D829" s="12"/>
      <c r="E829" s="13"/>
      <c r="F829" s="12"/>
      <c r="G829" s="12"/>
      <c r="H829" s="12"/>
      <c r="I829" s="12"/>
      <c r="L829" s="5"/>
      <c r="M829" s="5"/>
      <c r="N829" s="5"/>
      <c r="O829" s="5"/>
    </row>
    <row r="830" spans="1:15" x14ac:dyDescent="0.3">
      <c r="A830" s="16" t="s">
        <v>52</v>
      </c>
      <c r="B830" s="16"/>
      <c r="C830" s="16"/>
      <c r="D830" s="17"/>
      <c r="E830" s="17"/>
      <c r="F830" s="17"/>
      <c r="G830" s="17"/>
      <c r="H830" s="17"/>
      <c r="I830" s="17"/>
      <c r="L830" s="5"/>
      <c r="M830" s="5"/>
      <c r="N830" s="5"/>
      <c r="O830" s="5"/>
    </row>
    <row r="831" spans="1:15" x14ac:dyDescent="0.3">
      <c r="A831" s="18" t="s">
        <v>179</v>
      </c>
      <c r="B831" s="18"/>
      <c r="C831" s="18"/>
      <c r="D831" s="18"/>
      <c r="E831" s="18"/>
      <c r="F831" s="18"/>
      <c r="G831" s="18"/>
      <c r="H831" s="18"/>
      <c r="I831" s="18"/>
      <c r="J831" s="18"/>
      <c r="L831" s="5"/>
      <c r="M831" s="5"/>
      <c r="N831" s="5"/>
      <c r="O831" s="5"/>
    </row>
    <row r="832" spans="1:15" x14ac:dyDescent="0.3">
      <c r="A832" s="19"/>
      <c r="B832" s="17"/>
      <c r="C832" s="20"/>
      <c r="D832" s="20"/>
      <c r="E832" s="20"/>
      <c r="F832" s="20"/>
      <c r="G832" s="20"/>
      <c r="H832" s="17"/>
      <c r="I832" s="17"/>
      <c r="L832" s="5"/>
      <c r="M832" s="5"/>
      <c r="N832" s="5"/>
      <c r="O832" s="5"/>
    </row>
    <row r="833" spans="1:15" x14ac:dyDescent="0.3">
      <c r="A833" s="360" t="s">
        <v>53</v>
      </c>
      <c r="B833" s="362" t="s">
        <v>54</v>
      </c>
      <c r="C833" s="364" t="s">
        <v>181</v>
      </c>
      <c r="D833" s="366" t="s">
        <v>55</v>
      </c>
      <c r="E833" s="367"/>
      <c r="F833" s="367"/>
      <c r="G833" s="368"/>
      <c r="H833" s="369" t="s">
        <v>56</v>
      </c>
      <c r="I833" s="371" t="s">
        <v>57</v>
      </c>
      <c r="J833" s="17"/>
      <c r="L833" s="5"/>
      <c r="M833" s="5"/>
      <c r="N833" s="5"/>
      <c r="O833" s="5"/>
    </row>
    <row r="834" spans="1:15" ht="28.5" customHeight="1" x14ac:dyDescent="0.3">
      <c r="A834" s="361"/>
      <c r="B834" s="363"/>
      <c r="C834" s="365"/>
      <c r="D834" s="21" t="s">
        <v>24</v>
      </c>
      <c r="E834" s="21" t="s">
        <v>25</v>
      </c>
      <c r="F834" s="22" t="s">
        <v>123</v>
      </c>
      <c r="G834" s="21" t="s">
        <v>58</v>
      </c>
      <c r="H834" s="370"/>
      <c r="I834" s="372"/>
      <c r="J834" s="373" t="s">
        <v>180</v>
      </c>
      <c r="K834" s="143"/>
      <c r="L834" s="5"/>
      <c r="M834" s="5"/>
      <c r="N834" s="5"/>
      <c r="O834" s="5"/>
    </row>
    <row r="835" spans="1:15" x14ac:dyDescent="0.3">
      <c r="A835" s="23"/>
      <c r="B835" s="24" t="s">
        <v>59</v>
      </c>
      <c r="C835" s="25"/>
      <c r="D835" s="25"/>
      <c r="E835" s="25"/>
      <c r="F835" s="25"/>
      <c r="G835" s="25"/>
      <c r="H835" s="25"/>
      <c r="I835" s="26"/>
      <c r="J835" s="374"/>
      <c r="K835" s="143"/>
      <c r="L835" s="5"/>
      <c r="M835" s="5"/>
      <c r="N835" s="5"/>
      <c r="O835" s="5"/>
    </row>
    <row r="836" spans="1:15" x14ac:dyDescent="0.3">
      <c r="A836" s="122" t="s">
        <v>108</v>
      </c>
      <c r="B836" s="127" t="s">
        <v>162</v>
      </c>
      <c r="C836" s="32">
        <f>+C811</f>
        <v>9500</v>
      </c>
      <c r="D836" s="31"/>
      <c r="E836" s="32">
        <f>+D811</f>
        <v>567000</v>
      </c>
      <c r="F836" s="32"/>
      <c r="G836" s="32"/>
      <c r="H836" s="55">
        <f>+F811</f>
        <v>0</v>
      </c>
      <c r="I836" s="32">
        <f>+E811</f>
        <v>576000</v>
      </c>
      <c r="J836" s="30">
        <f t="shared" ref="J836:J837" si="482">+SUM(C836:G836)-(H836+I836)</f>
        <v>500</v>
      </c>
      <c r="K836" s="144" t="b">
        <f>J836=I811</f>
        <v>1</v>
      </c>
      <c r="L836" s="5"/>
      <c r="M836" s="5"/>
      <c r="N836" s="5"/>
      <c r="O836" s="5"/>
    </row>
    <row r="837" spans="1:15" x14ac:dyDescent="0.3">
      <c r="A837" s="122" t="str">
        <f>+A836</f>
        <v>JANVIER</v>
      </c>
      <c r="B837" s="127" t="s">
        <v>47</v>
      </c>
      <c r="C837" s="32">
        <f>+C815</f>
        <v>-37100</v>
      </c>
      <c r="D837" s="31"/>
      <c r="E837" s="32">
        <f>+D815</f>
        <v>256000</v>
      </c>
      <c r="F837" s="32"/>
      <c r="G837" s="32"/>
      <c r="H837" s="55">
        <f>+F815</f>
        <v>20000</v>
      </c>
      <c r="I837" s="32">
        <f>+E815</f>
        <v>189900</v>
      </c>
      <c r="J837" s="101">
        <f t="shared" si="482"/>
        <v>9000</v>
      </c>
      <c r="K837" s="144" t="b">
        <f t="shared" ref="K837:K846" si="483">J837=I815</f>
        <v>1</v>
      </c>
      <c r="L837" s="5"/>
      <c r="M837" s="5"/>
      <c r="N837" s="5"/>
      <c r="O837" s="5"/>
    </row>
    <row r="838" spans="1:15" x14ac:dyDescent="0.3">
      <c r="A838" s="122" t="str">
        <f t="shared" ref="A838:A846" si="484">+A837</f>
        <v>JANVIER</v>
      </c>
      <c r="B838" s="128" t="s">
        <v>31</v>
      </c>
      <c r="C838" s="32">
        <f>+C816</f>
        <v>8645</v>
      </c>
      <c r="D838" s="119"/>
      <c r="E838" s="32">
        <f>+D816</f>
        <v>0</v>
      </c>
      <c r="F838" s="51"/>
      <c r="G838" s="51"/>
      <c r="H838" s="55">
        <f>+F816</f>
        <v>0</v>
      </c>
      <c r="I838" s="32">
        <f>+E816</f>
        <v>0</v>
      </c>
      <c r="J838" s="124">
        <f>+SUM(C838:G838)-(H838+I838)</f>
        <v>8645</v>
      </c>
      <c r="K838" s="144" t="b">
        <f t="shared" si="483"/>
        <v>1</v>
      </c>
      <c r="L838" s="5"/>
      <c r="M838" s="5"/>
      <c r="N838" s="5"/>
      <c r="O838" s="5"/>
    </row>
    <row r="839" spans="1:15" x14ac:dyDescent="0.3">
      <c r="A839" s="122" t="str">
        <f t="shared" si="484"/>
        <v>JANVIER</v>
      </c>
      <c r="B839" s="129" t="s">
        <v>84</v>
      </c>
      <c r="C839" s="120">
        <f>+C817</f>
        <v>233614</v>
      </c>
      <c r="D839" s="123"/>
      <c r="E839" s="120">
        <f>+D817</f>
        <v>0</v>
      </c>
      <c r="F839" s="137"/>
      <c r="G839" s="137"/>
      <c r="H839" s="155">
        <f>+F817</f>
        <v>0</v>
      </c>
      <c r="I839" s="120">
        <f>+E817</f>
        <v>0</v>
      </c>
      <c r="J839" s="121">
        <f>+SUM(C839:G839)-(H839+I839)</f>
        <v>233614</v>
      </c>
      <c r="K839" s="144" t="b">
        <f t="shared" si="483"/>
        <v>1</v>
      </c>
      <c r="L839" s="5"/>
      <c r="M839" s="5"/>
      <c r="N839" s="5"/>
      <c r="O839" s="5"/>
    </row>
    <row r="840" spans="1:15" x14ac:dyDescent="0.3">
      <c r="A840" s="122" t="str">
        <f t="shared" si="484"/>
        <v>JANVIER</v>
      </c>
      <c r="B840" s="129" t="s">
        <v>83</v>
      </c>
      <c r="C840" s="120">
        <f>+C818</f>
        <v>249769</v>
      </c>
      <c r="D840" s="123"/>
      <c r="E840" s="120">
        <f>+D818</f>
        <v>0</v>
      </c>
      <c r="F840" s="137"/>
      <c r="G840" s="137"/>
      <c r="H840" s="155">
        <f>+F818</f>
        <v>0</v>
      </c>
      <c r="I840" s="120">
        <f>+E818</f>
        <v>0</v>
      </c>
      <c r="J840" s="121">
        <f t="shared" ref="J840:J846" si="485">+SUM(C840:G840)-(H840+I840)</f>
        <v>249769</v>
      </c>
      <c r="K840" s="144" t="b">
        <f t="shared" si="483"/>
        <v>1</v>
      </c>
      <c r="L840" s="5"/>
      <c r="M840" s="5"/>
      <c r="N840" s="5"/>
      <c r="O840" s="5"/>
    </row>
    <row r="841" spans="1:15" x14ac:dyDescent="0.3">
      <c r="A841" s="122" t="str">
        <f t="shared" si="484"/>
        <v>JANVIER</v>
      </c>
      <c r="B841" s="127" t="s">
        <v>144</v>
      </c>
      <c r="C841" s="32">
        <f>+C819</f>
        <v>34935</v>
      </c>
      <c r="D841" s="31"/>
      <c r="E841" s="32">
        <f>+D819</f>
        <v>365000</v>
      </c>
      <c r="F841" s="32"/>
      <c r="G841" s="104"/>
      <c r="H841" s="55">
        <f>+F819</f>
        <v>0</v>
      </c>
      <c r="I841" s="32">
        <f>+E819</f>
        <v>320000</v>
      </c>
      <c r="J841" s="30">
        <f t="shared" si="485"/>
        <v>79935</v>
      </c>
      <c r="K841" s="144" t="b">
        <f t="shared" si="483"/>
        <v>1</v>
      </c>
      <c r="L841" s="5"/>
      <c r="M841" s="5"/>
      <c r="N841" s="5"/>
      <c r="O841" s="5"/>
    </row>
    <row r="842" spans="1:15" x14ac:dyDescent="0.3">
      <c r="A842" s="122" t="str">
        <f t="shared" si="484"/>
        <v>JANVIER</v>
      </c>
      <c r="B842" s="127" t="s">
        <v>143</v>
      </c>
      <c r="C842" s="32">
        <f t="shared" ref="C842:C846" si="486">+C820</f>
        <v>44200</v>
      </c>
      <c r="D842" s="31"/>
      <c r="E842" s="32">
        <f t="shared" ref="E842:E846" si="487">+D820</f>
        <v>0</v>
      </c>
      <c r="F842" s="32"/>
      <c r="G842" s="104"/>
      <c r="H842" s="55">
        <f t="shared" ref="H842:H846" si="488">+F820</f>
        <v>15000</v>
      </c>
      <c r="I842" s="32">
        <f t="shared" ref="I842:I846" si="489">+E820</f>
        <v>9400</v>
      </c>
      <c r="J842" s="30">
        <f t="shared" si="485"/>
        <v>19800</v>
      </c>
      <c r="K842" s="144" t="b">
        <f t="shared" si="483"/>
        <v>1</v>
      </c>
      <c r="L842" s="5"/>
      <c r="M842" s="5"/>
      <c r="N842" s="5"/>
      <c r="O842" s="5"/>
    </row>
    <row r="843" spans="1:15" x14ac:dyDescent="0.3">
      <c r="A843" s="122" t="str">
        <f t="shared" si="484"/>
        <v>JANVIER</v>
      </c>
      <c r="B843" s="127" t="s">
        <v>30</v>
      </c>
      <c r="C843" s="32">
        <f t="shared" si="486"/>
        <v>12050</v>
      </c>
      <c r="D843" s="31"/>
      <c r="E843" s="32">
        <f t="shared" si="487"/>
        <v>492000</v>
      </c>
      <c r="F843" s="32"/>
      <c r="G843" s="104"/>
      <c r="H843" s="55">
        <f t="shared" si="488"/>
        <v>0</v>
      </c>
      <c r="I843" s="32">
        <f t="shared" si="489"/>
        <v>473500</v>
      </c>
      <c r="J843" s="30">
        <f t="shared" si="485"/>
        <v>30550</v>
      </c>
      <c r="K843" s="144" t="b">
        <f t="shared" si="483"/>
        <v>1</v>
      </c>
    </row>
    <row r="844" spans="1:15" x14ac:dyDescent="0.3">
      <c r="A844" s="122" t="str">
        <f>+A842</f>
        <v>JANVIER</v>
      </c>
      <c r="B844" s="127" t="s">
        <v>93</v>
      </c>
      <c r="C844" s="32">
        <f t="shared" si="486"/>
        <v>5500</v>
      </c>
      <c r="D844" s="31"/>
      <c r="E844" s="32">
        <f t="shared" si="487"/>
        <v>20000</v>
      </c>
      <c r="F844" s="32"/>
      <c r="G844" s="104"/>
      <c r="H844" s="55">
        <f t="shared" si="488"/>
        <v>0</v>
      </c>
      <c r="I844" s="32">
        <f t="shared" si="489"/>
        <v>12500</v>
      </c>
      <c r="J844" s="30">
        <f t="shared" si="485"/>
        <v>13000</v>
      </c>
      <c r="K844" s="144" t="b">
        <f t="shared" si="483"/>
        <v>1</v>
      </c>
    </row>
    <row r="845" spans="1:15" x14ac:dyDescent="0.3">
      <c r="A845" s="122" t="str">
        <f>+A843</f>
        <v>JANVIER</v>
      </c>
      <c r="B845" s="127" t="s">
        <v>29</v>
      </c>
      <c r="C845" s="32">
        <f t="shared" si="486"/>
        <v>58200</v>
      </c>
      <c r="D845" s="31"/>
      <c r="E845" s="32">
        <f t="shared" si="487"/>
        <v>530000</v>
      </c>
      <c r="F845" s="32"/>
      <c r="G845" s="104"/>
      <c r="H845" s="55">
        <f t="shared" si="488"/>
        <v>0</v>
      </c>
      <c r="I845" s="32">
        <f t="shared" si="489"/>
        <v>532500</v>
      </c>
      <c r="J845" s="30">
        <f t="shared" si="485"/>
        <v>55700</v>
      </c>
      <c r="K845" s="144" t="b">
        <f t="shared" si="483"/>
        <v>1</v>
      </c>
    </row>
    <row r="846" spans="1:15" x14ac:dyDescent="0.3">
      <c r="A846" s="122" t="str">
        <f t="shared" si="484"/>
        <v>JANVIER</v>
      </c>
      <c r="B846" s="128" t="s">
        <v>113</v>
      </c>
      <c r="C846" s="32">
        <f t="shared" si="486"/>
        <v>263673</v>
      </c>
      <c r="D846" s="119"/>
      <c r="E846" s="32">
        <f t="shared" si="487"/>
        <v>300000</v>
      </c>
      <c r="F846" s="51"/>
      <c r="G846" s="138"/>
      <c r="H846" s="55">
        <f t="shared" si="488"/>
        <v>0</v>
      </c>
      <c r="I846" s="32">
        <f t="shared" si="489"/>
        <v>599910</v>
      </c>
      <c r="J846" s="30">
        <f t="shared" si="485"/>
        <v>-36237</v>
      </c>
      <c r="K846" s="144" t="b">
        <f t="shared" si="483"/>
        <v>1</v>
      </c>
    </row>
    <row r="847" spans="1:15" x14ac:dyDescent="0.3">
      <c r="A847" s="34" t="s">
        <v>60</v>
      </c>
      <c r="B847" s="35"/>
      <c r="C847" s="35"/>
      <c r="D847" s="35"/>
      <c r="E847" s="35"/>
      <c r="F847" s="35"/>
      <c r="G847" s="35"/>
      <c r="H847" s="35"/>
      <c r="I847" s="35"/>
      <c r="J847" s="36"/>
      <c r="K847" s="143"/>
    </row>
    <row r="848" spans="1:15" x14ac:dyDescent="0.3">
      <c r="A848" s="122" t="str">
        <f>+A846</f>
        <v>JANVIER</v>
      </c>
      <c r="B848" s="37" t="s">
        <v>61</v>
      </c>
      <c r="C848" s="38">
        <f>+C814</f>
        <v>1042520</v>
      </c>
      <c r="D848" s="49"/>
      <c r="E848" s="49">
        <f>D814</f>
        <v>3035000</v>
      </c>
      <c r="F848" s="49"/>
      <c r="G848" s="125"/>
      <c r="H848" s="51">
        <f>+F814</f>
        <v>2530000</v>
      </c>
      <c r="I848" s="126">
        <f>+E814</f>
        <v>966635</v>
      </c>
      <c r="J848" s="30">
        <f>+SUM(C848:G848)-(H848+I848)</f>
        <v>580885</v>
      </c>
      <c r="K848" s="144" t="b">
        <f>J848=I814</f>
        <v>1</v>
      </c>
    </row>
    <row r="849" spans="1:16" x14ac:dyDescent="0.3">
      <c r="A849" s="43" t="s">
        <v>62</v>
      </c>
      <c r="B849" s="24"/>
      <c r="C849" s="35"/>
      <c r="D849" s="24"/>
      <c r="E849" s="24"/>
      <c r="F849" s="24"/>
      <c r="G849" s="24"/>
      <c r="H849" s="24"/>
      <c r="I849" s="24"/>
      <c r="J849" s="36"/>
      <c r="K849" s="143"/>
    </row>
    <row r="850" spans="1:16" x14ac:dyDescent="0.3">
      <c r="A850" s="122" t="str">
        <f>+A848</f>
        <v>JANVIER</v>
      </c>
      <c r="B850" s="37" t="s">
        <v>156</v>
      </c>
      <c r="C850" s="125">
        <f>+C812</f>
        <v>3455373</v>
      </c>
      <c r="D850" s="132">
        <f>+G812</f>
        <v>0</v>
      </c>
      <c r="E850" s="49"/>
      <c r="F850" s="49"/>
      <c r="G850" s="49"/>
      <c r="H850" s="51">
        <f>+F812</f>
        <v>1000000</v>
      </c>
      <c r="I850" s="53">
        <f>+E812</f>
        <v>283345</v>
      </c>
      <c r="J850" s="30">
        <f>+SUM(C850:G850)-(H850+I850)</f>
        <v>2172028</v>
      </c>
      <c r="K850" s="144" t="b">
        <f>+J850=I812</f>
        <v>1</v>
      </c>
    </row>
    <row r="851" spans="1:16" x14ac:dyDescent="0.3">
      <c r="A851" s="122" t="str">
        <f t="shared" ref="A851" si="490">+A850</f>
        <v>JANVIER</v>
      </c>
      <c r="B851" s="37" t="s">
        <v>64</v>
      </c>
      <c r="C851" s="125">
        <f>+C813</f>
        <v>4841615</v>
      </c>
      <c r="D851" s="49">
        <f>+G813</f>
        <v>17525203</v>
      </c>
      <c r="E851" s="48"/>
      <c r="F851" s="48"/>
      <c r="G851" s="48"/>
      <c r="H851" s="32">
        <f>+F813</f>
        <v>2000000</v>
      </c>
      <c r="I851" s="50">
        <f>+E813</f>
        <v>6223724</v>
      </c>
      <c r="J851" s="30">
        <f>SUM(C851:G851)-(H851+I851)</f>
        <v>14143094</v>
      </c>
      <c r="K851" s="144" t="b">
        <f>+J851=I813</f>
        <v>1</v>
      </c>
    </row>
    <row r="852" spans="1:16" ht="15.6" x14ac:dyDescent="0.3">
      <c r="C852" s="141">
        <f>SUM(C836:C851)</f>
        <v>10222494</v>
      </c>
      <c r="I852" s="140">
        <f>SUM(I836:I851)</f>
        <v>10187414</v>
      </c>
      <c r="J852" s="105">
        <f>+SUM(J836:J851)</f>
        <v>17560283</v>
      </c>
      <c r="K852" s="5" t="b">
        <f>J852=I825</f>
        <v>1</v>
      </c>
    </row>
    <row r="853" spans="1:16" ht="15.6" x14ac:dyDescent="0.3">
      <c r="C853" s="141"/>
      <c r="I853" s="140"/>
      <c r="J853" s="105"/>
    </row>
    <row r="854" spans="1:16" ht="15.6" x14ac:dyDescent="0.3">
      <c r="A854" s="160"/>
      <c r="B854" s="160"/>
      <c r="C854" s="161"/>
      <c r="D854" s="160"/>
      <c r="E854" s="160"/>
      <c r="F854" s="160"/>
      <c r="G854" s="160"/>
      <c r="H854" s="160"/>
      <c r="I854" s="162"/>
      <c r="J854" s="163"/>
      <c r="K854" s="160"/>
      <c r="L854" s="164"/>
      <c r="M854" s="164"/>
      <c r="N854" s="164"/>
      <c r="O854" s="164"/>
      <c r="P854" s="160"/>
    </row>
    <row r="856" spans="1:16" ht="15.6" x14ac:dyDescent="0.3">
      <c r="A856" s="6" t="s">
        <v>36</v>
      </c>
      <c r="B856" s="6" t="s">
        <v>1</v>
      </c>
      <c r="C856" s="6">
        <v>44531</v>
      </c>
      <c r="D856" s="7" t="s">
        <v>37</v>
      </c>
      <c r="E856" s="7" t="s">
        <v>38</v>
      </c>
      <c r="F856" s="7" t="s">
        <v>39</v>
      </c>
      <c r="G856" s="7" t="s">
        <v>40</v>
      </c>
      <c r="H856" s="6">
        <v>44561</v>
      </c>
      <c r="I856" s="7" t="s">
        <v>41</v>
      </c>
      <c r="K856" s="45"/>
      <c r="L856" s="45" t="s">
        <v>42</v>
      </c>
      <c r="M856" s="45" t="s">
        <v>43</v>
      </c>
      <c r="N856" s="45" t="s">
        <v>44</v>
      </c>
      <c r="O856" s="45" t="s">
        <v>45</v>
      </c>
    </row>
    <row r="857" spans="1:16" s="156" customFormat="1" ht="15.6" x14ac:dyDescent="0.3">
      <c r="A857" s="58" t="str">
        <f>+K857</f>
        <v>Axel</v>
      </c>
      <c r="B857" s="158" t="s">
        <v>154</v>
      </c>
      <c r="C857" s="60">
        <v>29107</v>
      </c>
      <c r="D857" s="61">
        <f t="shared" ref="D857:D871" si="491">+L857</f>
        <v>1125000</v>
      </c>
      <c r="E857" s="61">
        <f>+N857</f>
        <v>1008750</v>
      </c>
      <c r="F857" s="61">
        <f>+M857</f>
        <v>145357</v>
      </c>
      <c r="G857" s="61">
        <f t="shared" ref="G857:G869" si="492">+O857</f>
        <v>0</v>
      </c>
      <c r="H857" s="61">
        <v>0</v>
      </c>
      <c r="I857" s="61">
        <f>+C857+D857-E857-F857+G857</f>
        <v>0</v>
      </c>
      <c r="J857" s="9">
        <f>I857-H857</f>
        <v>0</v>
      </c>
      <c r="K857" s="157" t="s">
        <v>153</v>
      </c>
      <c r="L857" s="157">
        <v>1125000</v>
      </c>
      <c r="M857" s="157">
        <v>145357</v>
      </c>
      <c r="N857" s="157">
        <v>1008750</v>
      </c>
      <c r="O857" s="157">
        <v>0</v>
      </c>
    </row>
    <row r="858" spans="1:16" x14ac:dyDescent="0.3">
      <c r="A858" s="58" t="str">
        <f>+K858</f>
        <v>B52</v>
      </c>
      <c r="B858" s="59" t="s">
        <v>4</v>
      </c>
      <c r="C858" s="60">
        <v>4000</v>
      </c>
      <c r="D858" s="61">
        <f t="shared" si="491"/>
        <v>426000</v>
      </c>
      <c r="E858" s="61">
        <f>+N858</f>
        <v>420500</v>
      </c>
      <c r="F858" s="61">
        <f>+M858</f>
        <v>0</v>
      </c>
      <c r="G858" s="61">
        <f t="shared" si="492"/>
        <v>0</v>
      </c>
      <c r="H858" s="61">
        <v>9500</v>
      </c>
      <c r="I858" s="61">
        <f>+C858+D858-E858-F858+G858</f>
        <v>9500</v>
      </c>
      <c r="J858" s="9">
        <f>I858-H858</f>
        <v>0</v>
      </c>
      <c r="K858" s="45" t="s">
        <v>162</v>
      </c>
      <c r="L858" s="47">
        <v>426000</v>
      </c>
      <c r="M858" s="47">
        <v>0</v>
      </c>
      <c r="N858" s="47">
        <v>420500</v>
      </c>
      <c r="O858" s="47">
        <v>0</v>
      </c>
    </row>
    <row r="859" spans="1:16" x14ac:dyDescent="0.3">
      <c r="A859" s="58" t="str">
        <f>+K859</f>
        <v>BCI</v>
      </c>
      <c r="B859" s="59" t="s">
        <v>46</v>
      </c>
      <c r="C859" s="60">
        <v>5738718</v>
      </c>
      <c r="D859" s="61">
        <f t="shared" si="491"/>
        <v>0</v>
      </c>
      <c r="E859" s="61">
        <f>+N859</f>
        <v>283345</v>
      </c>
      <c r="F859" s="61">
        <f>+M859</f>
        <v>2000000</v>
      </c>
      <c r="G859" s="61">
        <f t="shared" si="492"/>
        <v>0</v>
      </c>
      <c r="H859" s="61">
        <v>3455373</v>
      </c>
      <c r="I859" s="61">
        <f>+C859+D859-E859-F859+G859</f>
        <v>3455373</v>
      </c>
      <c r="J859" s="9">
        <f t="shared" ref="J859:J866" si="493">I859-H859</f>
        <v>0</v>
      </c>
      <c r="K859" s="45" t="s">
        <v>24</v>
      </c>
      <c r="L859" s="47">
        <v>0</v>
      </c>
      <c r="M859" s="47">
        <v>2000000</v>
      </c>
      <c r="N859" s="47">
        <v>283345</v>
      </c>
      <c r="O859" s="47">
        <v>0</v>
      </c>
    </row>
    <row r="860" spans="1:16" x14ac:dyDescent="0.3">
      <c r="A860" s="58" t="str">
        <f t="shared" ref="A860:A862" si="494">+K860</f>
        <v>BCI-Sous Compte</v>
      </c>
      <c r="B860" s="59" t="s">
        <v>46</v>
      </c>
      <c r="C860" s="60">
        <v>16087207</v>
      </c>
      <c r="D860" s="61">
        <f t="shared" si="491"/>
        <v>0</v>
      </c>
      <c r="E860" s="61">
        <f>+N860</f>
        <v>3245592</v>
      </c>
      <c r="F860" s="61">
        <f>+M860</f>
        <v>8000000</v>
      </c>
      <c r="G860" s="61">
        <f t="shared" si="492"/>
        <v>0</v>
      </c>
      <c r="H860" s="61">
        <v>4841615</v>
      </c>
      <c r="I860" s="61">
        <f>+C860+D860-E860-F860+G860</f>
        <v>4841615</v>
      </c>
      <c r="J860" s="102">
        <f t="shared" si="493"/>
        <v>0</v>
      </c>
      <c r="K860" s="45" t="s">
        <v>148</v>
      </c>
      <c r="L860" s="47">
        <v>0</v>
      </c>
      <c r="M860" s="47">
        <v>8000000</v>
      </c>
      <c r="N860" s="47">
        <v>3245592</v>
      </c>
      <c r="O860" s="47">
        <v>0</v>
      </c>
    </row>
    <row r="861" spans="1:16" x14ac:dyDescent="0.3">
      <c r="A861" s="58" t="str">
        <f t="shared" si="494"/>
        <v>Caisse</v>
      </c>
      <c r="B861" s="59" t="s">
        <v>25</v>
      </c>
      <c r="C861" s="60">
        <v>926369</v>
      </c>
      <c r="D861" s="61">
        <f t="shared" si="491"/>
        <v>10580357</v>
      </c>
      <c r="E861" s="61">
        <f t="shared" ref="E861" si="495">+N861</f>
        <v>3713706</v>
      </c>
      <c r="F861" s="61">
        <f t="shared" ref="F861:F869" si="496">+M861</f>
        <v>6750500</v>
      </c>
      <c r="G861" s="61">
        <f t="shared" si="492"/>
        <v>0</v>
      </c>
      <c r="H861" s="61">
        <v>1042520</v>
      </c>
      <c r="I861" s="61">
        <f>+C861+D861-E861-F861+G861</f>
        <v>1042520</v>
      </c>
      <c r="J861" s="9">
        <f t="shared" si="493"/>
        <v>0</v>
      </c>
      <c r="K861" s="45" t="s">
        <v>25</v>
      </c>
      <c r="L861" s="47">
        <v>10580357</v>
      </c>
      <c r="M861" s="47">
        <v>6750500</v>
      </c>
      <c r="N861" s="47">
        <v>3713706</v>
      </c>
      <c r="O861" s="47">
        <v>0</v>
      </c>
    </row>
    <row r="862" spans="1:16" x14ac:dyDescent="0.3">
      <c r="A862" s="58" t="str">
        <f t="shared" si="494"/>
        <v>Crépin</v>
      </c>
      <c r="B862" s="59" t="s">
        <v>154</v>
      </c>
      <c r="C862" s="60">
        <v>-3675</v>
      </c>
      <c r="D862" s="61">
        <f t="shared" si="491"/>
        <v>1778500</v>
      </c>
      <c r="E862" s="61">
        <f>+N862</f>
        <v>1666925</v>
      </c>
      <c r="F862" s="61">
        <f t="shared" si="496"/>
        <v>145000</v>
      </c>
      <c r="G862" s="61">
        <f t="shared" si="492"/>
        <v>0</v>
      </c>
      <c r="H862" s="61">
        <v>-37100</v>
      </c>
      <c r="I862" s="61">
        <f t="shared" ref="I862" si="497">+C862+D862-E862-F862+G862</f>
        <v>-37100</v>
      </c>
      <c r="J862" s="9">
        <f t="shared" si="493"/>
        <v>0</v>
      </c>
      <c r="K862" s="45" t="s">
        <v>47</v>
      </c>
      <c r="L862" s="47">
        <v>1778500</v>
      </c>
      <c r="M862" s="47">
        <v>145000</v>
      </c>
      <c r="N862" s="47">
        <v>1666925</v>
      </c>
      <c r="O862" s="47">
        <v>0</v>
      </c>
    </row>
    <row r="863" spans="1:16" x14ac:dyDescent="0.3">
      <c r="A863" s="58" t="str">
        <f>K863</f>
        <v>Evariste</v>
      </c>
      <c r="B863" s="59" t="s">
        <v>155</v>
      </c>
      <c r="C863" s="60">
        <v>7595</v>
      </c>
      <c r="D863" s="61">
        <f t="shared" si="491"/>
        <v>286000</v>
      </c>
      <c r="E863" s="61">
        <f t="shared" ref="E863" si="498">+N863</f>
        <v>284950</v>
      </c>
      <c r="F863" s="61">
        <f t="shared" si="496"/>
        <v>0</v>
      </c>
      <c r="G863" s="61">
        <f t="shared" si="492"/>
        <v>0</v>
      </c>
      <c r="H863" s="61">
        <v>8645</v>
      </c>
      <c r="I863" s="61">
        <f>+C863+D863-E863-F863+G863</f>
        <v>8645</v>
      </c>
      <c r="J863" s="9">
        <f t="shared" si="493"/>
        <v>0</v>
      </c>
      <c r="K863" s="45" t="s">
        <v>31</v>
      </c>
      <c r="L863" s="47">
        <v>286000</v>
      </c>
      <c r="M863" s="47">
        <v>0</v>
      </c>
      <c r="N863" s="47">
        <v>284950</v>
      </c>
      <c r="O863" s="47">
        <v>0</v>
      </c>
    </row>
    <row r="864" spans="1:16" x14ac:dyDescent="0.3">
      <c r="A864" s="115" t="str">
        <f t="shared" ref="A864:A871" si="499">+K864</f>
        <v>I55S</v>
      </c>
      <c r="B864" s="116" t="s">
        <v>4</v>
      </c>
      <c r="C864" s="117">
        <v>233614</v>
      </c>
      <c r="D864" s="118">
        <f t="shared" si="491"/>
        <v>0</v>
      </c>
      <c r="E864" s="118">
        <f>+N864</f>
        <v>0</v>
      </c>
      <c r="F864" s="118">
        <f t="shared" si="496"/>
        <v>0</v>
      </c>
      <c r="G864" s="118">
        <f t="shared" si="492"/>
        <v>0</v>
      </c>
      <c r="H864" s="118">
        <v>233614</v>
      </c>
      <c r="I864" s="118">
        <f>+C864+D864-E864-F864+G864</f>
        <v>233614</v>
      </c>
      <c r="J864" s="9">
        <f t="shared" si="493"/>
        <v>0</v>
      </c>
      <c r="K864" s="45" t="s">
        <v>84</v>
      </c>
      <c r="L864" s="47">
        <v>0</v>
      </c>
      <c r="M864" s="47">
        <v>0</v>
      </c>
      <c r="N864" s="47">
        <v>0</v>
      </c>
      <c r="O864" s="47">
        <v>0</v>
      </c>
    </row>
    <row r="865" spans="1:15" x14ac:dyDescent="0.3">
      <c r="A865" s="115" t="str">
        <f t="shared" si="499"/>
        <v>I73X</v>
      </c>
      <c r="B865" s="116" t="s">
        <v>4</v>
      </c>
      <c r="C865" s="117">
        <v>249769</v>
      </c>
      <c r="D865" s="118">
        <f t="shared" si="491"/>
        <v>0</v>
      </c>
      <c r="E865" s="118">
        <f>+N865</f>
        <v>0</v>
      </c>
      <c r="F865" s="118">
        <f t="shared" si="496"/>
        <v>0</v>
      </c>
      <c r="G865" s="118">
        <f t="shared" si="492"/>
        <v>0</v>
      </c>
      <c r="H865" s="118">
        <v>249769</v>
      </c>
      <c r="I865" s="118">
        <f t="shared" ref="I865:I868" si="500">+C865+D865-E865-F865+G865</f>
        <v>249769</v>
      </c>
      <c r="J865" s="9">
        <f t="shared" si="493"/>
        <v>0</v>
      </c>
      <c r="K865" s="45" t="s">
        <v>83</v>
      </c>
      <c r="L865" s="47">
        <v>0</v>
      </c>
      <c r="M865" s="47">
        <v>0</v>
      </c>
      <c r="N865" s="47">
        <v>0</v>
      </c>
      <c r="O865" s="47">
        <v>0</v>
      </c>
    </row>
    <row r="866" spans="1:15" x14ac:dyDescent="0.3">
      <c r="A866" s="58" t="str">
        <f t="shared" si="499"/>
        <v>Godfré</v>
      </c>
      <c r="B866" s="98" t="s">
        <v>154</v>
      </c>
      <c r="C866" s="60">
        <v>-6000</v>
      </c>
      <c r="D866" s="61">
        <f t="shared" si="491"/>
        <v>797000</v>
      </c>
      <c r="E866" s="154">
        <f t="shared" ref="E866:E871" si="501">+N866</f>
        <v>578885</v>
      </c>
      <c r="F866" s="61">
        <f t="shared" si="496"/>
        <v>177180</v>
      </c>
      <c r="G866" s="61">
        <f t="shared" si="492"/>
        <v>0</v>
      </c>
      <c r="H866" s="61">
        <v>34935</v>
      </c>
      <c r="I866" s="61">
        <f t="shared" si="500"/>
        <v>34935</v>
      </c>
      <c r="J866" s="9">
        <f t="shared" si="493"/>
        <v>0</v>
      </c>
      <c r="K866" s="45" t="s">
        <v>144</v>
      </c>
      <c r="L866" s="47">
        <v>797000</v>
      </c>
      <c r="M866" s="47">
        <v>177180</v>
      </c>
      <c r="N866" s="47">
        <v>578885</v>
      </c>
      <c r="O866" s="47">
        <v>0</v>
      </c>
    </row>
    <row r="867" spans="1:15" x14ac:dyDescent="0.3">
      <c r="A867" s="58" t="str">
        <f t="shared" si="499"/>
        <v>Grace</v>
      </c>
      <c r="B867" s="59" t="s">
        <v>2</v>
      </c>
      <c r="C867" s="60">
        <v>48400</v>
      </c>
      <c r="D867" s="61">
        <f t="shared" si="491"/>
        <v>847000</v>
      </c>
      <c r="E867" s="154">
        <f>+N867</f>
        <v>193200</v>
      </c>
      <c r="F867" s="61">
        <f t="shared" si="496"/>
        <v>658000</v>
      </c>
      <c r="G867" s="61">
        <f t="shared" si="492"/>
        <v>0</v>
      </c>
      <c r="H867" s="61">
        <v>44200</v>
      </c>
      <c r="I867" s="61">
        <f t="shared" si="500"/>
        <v>44200</v>
      </c>
      <c r="J867" s="9">
        <f>I867-H867</f>
        <v>0</v>
      </c>
      <c r="K867" s="45" t="s">
        <v>143</v>
      </c>
      <c r="L867" s="47">
        <v>847000</v>
      </c>
      <c r="M867" s="47">
        <v>658000</v>
      </c>
      <c r="N867" s="47">
        <v>193200</v>
      </c>
      <c r="O867" s="47">
        <v>0</v>
      </c>
    </row>
    <row r="868" spans="1:15" x14ac:dyDescent="0.3">
      <c r="A868" s="58" t="str">
        <f t="shared" si="499"/>
        <v>I23C</v>
      </c>
      <c r="B868" s="98" t="s">
        <v>4</v>
      </c>
      <c r="C868" s="60">
        <v>6800</v>
      </c>
      <c r="D868" s="61">
        <f t="shared" si="491"/>
        <v>861000</v>
      </c>
      <c r="E868" s="154">
        <f t="shared" si="501"/>
        <v>855750</v>
      </c>
      <c r="F868" s="61">
        <f t="shared" si="496"/>
        <v>0</v>
      </c>
      <c r="G868" s="61">
        <f t="shared" si="492"/>
        <v>0</v>
      </c>
      <c r="H868" s="61">
        <v>12050</v>
      </c>
      <c r="I868" s="61">
        <f t="shared" si="500"/>
        <v>12050</v>
      </c>
      <c r="J868" s="9">
        <f t="shared" ref="J868:J869" si="502">I868-H868</f>
        <v>0</v>
      </c>
      <c r="K868" s="45" t="s">
        <v>30</v>
      </c>
      <c r="L868" s="47">
        <v>861000</v>
      </c>
      <c r="M868" s="47">
        <v>0</v>
      </c>
      <c r="N868" s="47">
        <v>855750</v>
      </c>
      <c r="O868" s="47">
        <v>0</v>
      </c>
    </row>
    <row r="869" spans="1:15" x14ac:dyDescent="0.3">
      <c r="A869" s="58" t="str">
        <f t="shared" si="499"/>
        <v>Merveille</v>
      </c>
      <c r="B869" s="59" t="s">
        <v>2</v>
      </c>
      <c r="C869" s="60">
        <v>5500</v>
      </c>
      <c r="D869" s="61">
        <f t="shared" si="491"/>
        <v>0</v>
      </c>
      <c r="E869" s="154">
        <f t="shared" si="501"/>
        <v>0</v>
      </c>
      <c r="F869" s="61">
        <f t="shared" si="496"/>
        <v>0</v>
      </c>
      <c r="G869" s="61">
        <f t="shared" si="492"/>
        <v>0</v>
      </c>
      <c r="H869" s="61">
        <v>5500</v>
      </c>
      <c r="I869" s="61">
        <f>+C869+D869-E869-F869+G869</f>
        <v>5500</v>
      </c>
      <c r="J869" s="9">
        <f t="shared" si="502"/>
        <v>0</v>
      </c>
      <c r="K869" s="45" t="s">
        <v>93</v>
      </c>
      <c r="L869" s="47">
        <v>0</v>
      </c>
      <c r="M869" s="47">
        <v>0</v>
      </c>
      <c r="N869" s="47">
        <v>0</v>
      </c>
      <c r="O869" s="47"/>
    </row>
    <row r="870" spans="1:15" x14ac:dyDescent="0.3">
      <c r="A870" s="58" t="str">
        <f t="shared" si="499"/>
        <v>P29</v>
      </c>
      <c r="B870" s="59" t="s">
        <v>4</v>
      </c>
      <c r="C870" s="60">
        <v>30700</v>
      </c>
      <c r="D870" s="61">
        <f t="shared" si="491"/>
        <v>1215000</v>
      </c>
      <c r="E870" s="154">
        <f t="shared" si="501"/>
        <v>697500</v>
      </c>
      <c r="F870" s="61">
        <f>+M870</f>
        <v>490000</v>
      </c>
      <c r="G870" s="61">
        <f>+O870</f>
        <v>0</v>
      </c>
      <c r="H870" s="61">
        <v>58200</v>
      </c>
      <c r="I870" s="61">
        <f>+C870+D870-E870-F870+G870</f>
        <v>58200</v>
      </c>
      <c r="J870" s="9">
        <f>I870-H870</f>
        <v>0</v>
      </c>
      <c r="K870" s="45" t="s">
        <v>29</v>
      </c>
      <c r="L870" s="47">
        <v>1215000</v>
      </c>
      <c r="M870" s="47">
        <v>490000</v>
      </c>
      <c r="N870" s="47">
        <v>697500</v>
      </c>
      <c r="O870" s="47">
        <v>0</v>
      </c>
    </row>
    <row r="871" spans="1:15" x14ac:dyDescent="0.3">
      <c r="A871" s="58" t="str">
        <f t="shared" si="499"/>
        <v>Tiffany</v>
      </c>
      <c r="B871" s="59" t="s">
        <v>2</v>
      </c>
      <c r="C871" s="60">
        <v>9193</v>
      </c>
      <c r="D871" s="61">
        <f t="shared" si="491"/>
        <v>1100180</v>
      </c>
      <c r="E871" s="154">
        <f t="shared" si="501"/>
        <v>195700</v>
      </c>
      <c r="F871" s="61">
        <f t="shared" ref="F871" si="503">+M871</f>
        <v>650000</v>
      </c>
      <c r="G871" s="61">
        <f t="shared" ref="G871" si="504">+O871</f>
        <v>0</v>
      </c>
      <c r="H871" s="61">
        <v>263673</v>
      </c>
      <c r="I871" s="61">
        <f t="shared" ref="I871" si="505">+C871+D871-E871-F871+G871</f>
        <v>263673</v>
      </c>
      <c r="J871" s="9">
        <f t="shared" ref="J871" si="506">I871-H871</f>
        <v>0</v>
      </c>
      <c r="K871" s="45" t="s">
        <v>113</v>
      </c>
      <c r="L871" s="47">
        <v>1100180</v>
      </c>
      <c r="M871" s="47">
        <v>650000</v>
      </c>
      <c r="N871" s="47">
        <v>195700</v>
      </c>
      <c r="O871" s="47">
        <v>0</v>
      </c>
    </row>
    <row r="872" spans="1:15" x14ac:dyDescent="0.3">
      <c r="A872" s="10" t="s">
        <v>50</v>
      </c>
      <c r="B872" s="11"/>
      <c r="C872" s="12">
        <f>SUM(C857:C871)</f>
        <v>23367297</v>
      </c>
      <c r="D872" s="57">
        <f t="shared" ref="D872:G872" si="507">SUM(D857:D871)</f>
        <v>19016037</v>
      </c>
      <c r="E872" s="57">
        <f t="shared" si="507"/>
        <v>13144803</v>
      </c>
      <c r="F872" s="57">
        <f t="shared" si="507"/>
        <v>19016037</v>
      </c>
      <c r="G872" s="57">
        <f t="shared" si="507"/>
        <v>0</v>
      </c>
      <c r="H872" s="57">
        <f>SUM(H857:H871)</f>
        <v>10222494</v>
      </c>
      <c r="I872" s="57">
        <f>SUM(I857:I871)</f>
        <v>10222494</v>
      </c>
      <c r="J872" s="9">
        <f>I872-H872</f>
        <v>0</v>
      </c>
      <c r="K872" s="3"/>
      <c r="L872" s="47">
        <f>+SUM(L857:L871)</f>
        <v>19016037</v>
      </c>
      <c r="M872" s="47">
        <f t="shared" ref="M872:O872" si="508">+SUM(M857:M871)</f>
        <v>19016037</v>
      </c>
      <c r="N872" s="47">
        <f>+SUM(N857:N871)</f>
        <v>13144803</v>
      </c>
      <c r="O872" s="47">
        <f t="shared" si="508"/>
        <v>0</v>
      </c>
    </row>
    <row r="873" spans="1:15" x14ac:dyDescent="0.3">
      <c r="A873" s="10"/>
      <c r="B873" s="11"/>
      <c r="C873" s="12"/>
      <c r="D873" s="13"/>
      <c r="E873" s="12"/>
      <c r="F873" s="13"/>
      <c r="G873" s="12"/>
      <c r="H873" s="12"/>
      <c r="I873" s="134" t="b">
        <f>I872=D875</f>
        <v>1</v>
      </c>
      <c r="L873" s="5"/>
      <c r="M873" s="5"/>
      <c r="N873" s="5"/>
      <c r="O873" s="5"/>
    </row>
    <row r="874" spans="1:15" x14ac:dyDescent="0.3">
      <c r="A874" s="10" t="s">
        <v>164</v>
      </c>
      <c r="B874" s="11" t="s">
        <v>165</v>
      </c>
      <c r="C874" s="12" t="s">
        <v>166</v>
      </c>
      <c r="D874" s="12" t="s">
        <v>173</v>
      </c>
      <c r="E874" s="12" t="s">
        <v>51</v>
      </c>
      <c r="F874" s="12"/>
      <c r="G874" s="12">
        <f>+D872-F872</f>
        <v>0</v>
      </c>
      <c r="H874" s="12"/>
      <c r="I874" s="12"/>
    </row>
    <row r="875" spans="1:15" x14ac:dyDescent="0.3">
      <c r="A875" s="14">
        <f>C872</f>
        <v>23367297</v>
      </c>
      <c r="B875" s="15">
        <f>G872</f>
        <v>0</v>
      </c>
      <c r="C875" s="12">
        <f>E872</f>
        <v>13144803</v>
      </c>
      <c r="D875" s="12">
        <f>A875+B875-C875</f>
        <v>10222494</v>
      </c>
      <c r="E875" s="13">
        <f>I872-D875</f>
        <v>0</v>
      </c>
      <c r="F875" s="12"/>
      <c r="G875" s="12"/>
      <c r="H875" s="12"/>
      <c r="I875" s="12"/>
      <c r="L875" s="5"/>
      <c r="M875" s="5"/>
      <c r="N875" s="5"/>
      <c r="O875" s="5"/>
    </row>
    <row r="876" spans="1:15" x14ac:dyDescent="0.3">
      <c r="A876" s="14"/>
      <c r="B876" s="15"/>
      <c r="C876" s="12"/>
      <c r="D876" s="12"/>
      <c r="E876" s="13"/>
      <c r="F876" s="12"/>
      <c r="G876" s="12"/>
      <c r="H876" s="12"/>
      <c r="I876" s="12"/>
      <c r="L876" s="5"/>
      <c r="M876" s="5"/>
      <c r="N876" s="5"/>
      <c r="O876" s="5"/>
    </row>
    <row r="877" spans="1:15" x14ac:dyDescent="0.3">
      <c r="A877" s="16" t="s">
        <v>52</v>
      </c>
      <c r="B877" s="16"/>
      <c r="C877" s="16"/>
      <c r="D877" s="17"/>
      <c r="E877" s="17"/>
      <c r="F877" s="17"/>
      <c r="G877" s="17"/>
      <c r="H877" s="17"/>
      <c r="I877" s="17"/>
      <c r="L877" s="5"/>
      <c r="M877" s="5"/>
      <c r="N877" s="5"/>
      <c r="O877" s="5"/>
    </row>
    <row r="878" spans="1:15" x14ac:dyDescent="0.3">
      <c r="A878" s="18" t="s">
        <v>172</v>
      </c>
      <c r="B878" s="18"/>
      <c r="C878" s="18"/>
      <c r="D878" s="18"/>
      <c r="E878" s="18"/>
      <c r="F878" s="18"/>
      <c r="G878" s="18"/>
      <c r="H878" s="18"/>
      <c r="I878" s="18"/>
      <c r="J878" s="18"/>
      <c r="L878" s="5"/>
      <c r="M878" s="5"/>
      <c r="N878" s="5"/>
      <c r="O878" s="5"/>
    </row>
    <row r="879" spans="1:15" x14ac:dyDescent="0.3">
      <c r="A879" s="19"/>
      <c r="B879" s="17"/>
      <c r="C879" s="20"/>
      <c r="D879" s="20"/>
      <c r="E879" s="20"/>
      <c r="F879" s="20"/>
      <c r="G879" s="20"/>
      <c r="H879" s="17"/>
      <c r="I879" s="17"/>
      <c r="L879" s="5"/>
      <c r="M879" s="5"/>
      <c r="N879" s="5"/>
      <c r="O879" s="5"/>
    </row>
    <row r="880" spans="1:15" x14ac:dyDescent="0.3">
      <c r="A880" s="360" t="s">
        <v>53</v>
      </c>
      <c r="B880" s="362" t="s">
        <v>54</v>
      </c>
      <c r="C880" s="364" t="s">
        <v>167</v>
      </c>
      <c r="D880" s="366" t="s">
        <v>55</v>
      </c>
      <c r="E880" s="367"/>
      <c r="F880" s="367"/>
      <c r="G880" s="368"/>
      <c r="H880" s="369" t="s">
        <v>56</v>
      </c>
      <c r="I880" s="371" t="s">
        <v>57</v>
      </c>
      <c r="J880" s="17"/>
      <c r="L880" s="5"/>
      <c r="M880" s="5"/>
      <c r="N880" s="5"/>
      <c r="O880" s="5"/>
    </row>
    <row r="881" spans="1:15" ht="28.5" customHeight="1" x14ac:dyDescent="0.3">
      <c r="A881" s="361"/>
      <c r="B881" s="363"/>
      <c r="C881" s="365"/>
      <c r="D881" s="21" t="s">
        <v>24</v>
      </c>
      <c r="E881" s="21" t="s">
        <v>25</v>
      </c>
      <c r="F881" s="22" t="s">
        <v>123</v>
      </c>
      <c r="G881" s="21" t="s">
        <v>58</v>
      </c>
      <c r="H881" s="370"/>
      <c r="I881" s="372"/>
      <c r="J881" s="373" t="s">
        <v>168</v>
      </c>
      <c r="K881" s="143"/>
      <c r="L881" s="5"/>
      <c r="M881" s="5"/>
      <c r="N881" s="5"/>
      <c r="O881" s="5"/>
    </row>
    <row r="882" spans="1:15" x14ac:dyDescent="0.3">
      <c r="A882" s="23"/>
      <c r="B882" s="24" t="s">
        <v>59</v>
      </c>
      <c r="C882" s="25"/>
      <c r="D882" s="25"/>
      <c r="E882" s="25"/>
      <c r="F882" s="25"/>
      <c r="G882" s="25"/>
      <c r="H882" s="25"/>
      <c r="I882" s="26"/>
      <c r="J882" s="374"/>
      <c r="K882" s="143"/>
      <c r="L882" s="5"/>
      <c r="M882" s="5"/>
      <c r="N882" s="5"/>
      <c r="O882" s="5"/>
    </row>
    <row r="883" spans="1:15" x14ac:dyDescent="0.3">
      <c r="A883" s="122" t="s">
        <v>103</v>
      </c>
      <c r="B883" s="127" t="s">
        <v>153</v>
      </c>
      <c r="C883" s="32">
        <f>+C857</f>
        <v>29107</v>
      </c>
      <c r="D883" s="31"/>
      <c r="E883" s="32">
        <f>D857</f>
        <v>1125000</v>
      </c>
      <c r="F883" s="32"/>
      <c r="G883" s="32"/>
      <c r="H883" s="55">
        <f>+F857</f>
        <v>145357</v>
      </c>
      <c r="I883" s="32">
        <f>+E857</f>
        <v>1008750</v>
      </c>
      <c r="J883" s="30">
        <f>+SUM(C883:G883)-(H883+I883)</f>
        <v>0</v>
      </c>
      <c r="K883" s="144" t="b">
        <f>J883=I857</f>
        <v>1</v>
      </c>
      <c r="L883" s="5"/>
      <c r="M883" s="5"/>
      <c r="N883" s="5"/>
      <c r="O883" s="5"/>
    </row>
    <row r="884" spans="1:15" x14ac:dyDescent="0.3">
      <c r="A884" s="122" t="str">
        <f>A883</f>
        <v>DECEMBRE</v>
      </c>
      <c r="B884" s="127" t="s">
        <v>162</v>
      </c>
      <c r="C884" s="32">
        <f>+C858</f>
        <v>4000</v>
      </c>
      <c r="D884" s="31"/>
      <c r="E884" s="32">
        <f>+D858</f>
        <v>426000</v>
      </c>
      <c r="F884" s="32"/>
      <c r="G884" s="32"/>
      <c r="H884" s="55">
        <f>+F858</f>
        <v>0</v>
      </c>
      <c r="I884" s="32">
        <f>+E858</f>
        <v>420500</v>
      </c>
      <c r="J884" s="30">
        <f t="shared" ref="J884:J885" si="509">+SUM(C884:G884)-(H884+I884)</f>
        <v>9500</v>
      </c>
      <c r="K884" s="144" t="b">
        <f>J884=I858</f>
        <v>1</v>
      </c>
      <c r="L884" s="5"/>
      <c r="M884" s="5"/>
      <c r="N884" s="5"/>
      <c r="O884" s="5"/>
    </row>
    <row r="885" spans="1:15" x14ac:dyDescent="0.3">
      <c r="A885" s="122" t="str">
        <f>+A884</f>
        <v>DECEMBRE</v>
      </c>
      <c r="B885" s="127" t="s">
        <v>47</v>
      </c>
      <c r="C885" s="32">
        <f>+C862</f>
        <v>-3675</v>
      </c>
      <c r="D885" s="31"/>
      <c r="E885" s="32">
        <f>+D862</f>
        <v>1778500</v>
      </c>
      <c r="F885" s="32"/>
      <c r="G885" s="32"/>
      <c r="H885" s="55">
        <f>+F862</f>
        <v>145000</v>
      </c>
      <c r="I885" s="32">
        <f>+E862</f>
        <v>1666925</v>
      </c>
      <c r="J885" s="101">
        <f t="shared" si="509"/>
        <v>-37100</v>
      </c>
      <c r="K885" s="144" t="b">
        <f>J885=I862</f>
        <v>1</v>
      </c>
      <c r="L885" s="5"/>
      <c r="M885" s="5"/>
      <c r="N885" s="5"/>
      <c r="O885" s="5"/>
    </row>
    <row r="886" spans="1:15" x14ac:dyDescent="0.3">
      <c r="A886" s="122" t="str">
        <f t="shared" ref="A886:A894" si="510">+A885</f>
        <v>DECEMBRE</v>
      </c>
      <c r="B886" s="128" t="s">
        <v>31</v>
      </c>
      <c r="C886" s="32">
        <f>+C863</f>
        <v>7595</v>
      </c>
      <c r="D886" s="119"/>
      <c r="E886" s="32">
        <f>+D863</f>
        <v>286000</v>
      </c>
      <c r="F886" s="51"/>
      <c r="G886" s="51"/>
      <c r="H886" s="55">
        <f>+F863</f>
        <v>0</v>
      </c>
      <c r="I886" s="32">
        <f>+E863</f>
        <v>284950</v>
      </c>
      <c r="J886" s="124">
        <f>+SUM(C886:G886)-(H886+I886)</f>
        <v>8645</v>
      </c>
      <c r="K886" s="144" t="b">
        <f t="shared" ref="K886:K894" si="511">J886=I863</f>
        <v>1</v>
      </c>
      <c r="L886" s="5"/>
      <c r="M886" s="5"/>
      <c r="N886" s="5"/>
      <c r="O886" s="5"/>
    </row>
    <row r="887" spans="1:15" x14ac:dyDescent="0.3">
      <c r="A887" s="122" t="str">
        <f t="shared" si="510"/>
        <v>DECEMBRE</v>
      </c>
      <c r="B887" s="129" t="s">
        <v>84</v>
      </c>
      <c r="C887" s="120">
        <f>+C864</f>
        <v>233614</v>
      </c>
      <c r="D887" s="123"/>
      <c r="E887" s="120">
        <f>+D864</f>
        <v>0</v>
      </c>
      <c r="F887" s="137"/>
      <c r="G887" s="137"/>
      <c r="H887" s="155">
        <f>+F864</f>
        <v>0</v>
      </c>
      <c r="I887" s="120">
        <f>+E864</f>
        <v>0</v>
      </c>
      <c r="J887" s="121">
        <f>+SUM(C887:G887)-(H887+I887)</f>
        <v>233614</v>
      </c>
      <c r="K887" s="144" t="b">
        <f t="shared" si="511"/>
        <v>1</v>
      </c>
      <c r="L887" s="5"/>
      <c r="M887" s="5"/>
      <c r="N887" s="5"/>
      <c r="O887" s="5"/>
    </row>
    <row r="888" spans="1:15" x14ac:dyDescent="0.3">
      <c r="A888" s="122" t="str">
        <f t="shared" si="510"/>
        <v>DECEMBRE</v>
      </c>
      <c r="B888" s="129" t="s">
        <v>83</v>
      </c>
      <c r="C888" s="120">
        <f>+C865</f>
        <v>249769</v>
      </c>
      <c r="D888" s="123"/>
      <c r="E888" s="120">
        <f>+D865</f>
        <v>0</v>
      </c>
      <c r="F888" s="137"/>
      <c r="G888" s="137"/>
      <c r="H888" s="155">
        <f>+F865</f>
        <v>0</v>
      </c>
      <c r="I888" s="120">
        <f>+E865</f>
        <v>0</v>
      </c>
      <c r="J888" s="121">
        <f t="shared" ref="J888:J894" si="512">+SUM(C888:G888)-(H888+I888)</f>
        <v>249769</v>
      </c>
      <c r="K888" s="144" t="b">
        <f t="shared" si="511"/>
        <v>1</v>
      </c>
      <c r="L888" s="5"/>
      <c r="M888" s="5"/>
      <c r="N888" s="5"/>
      <c r="O888" s="5"/>
    </row>
    <row r="889" spans="1:15" x14ac:dyDescent="0.3">
      <c r="A889" s="122" t="str">
        <f t="shared" si="510"/>
        <v>DECEMBRE</v>
      </c>
      <c r="B889" s="127" t="s">
        <v>144</v>
      </c>
      <c r="C889" s="32">
        <f>+C866</f>
        <v>-6000</v>
      </c>
      <c r="D889" s="31"/>
      <c r="E889" s="32">
        <f>+D866</f>
        <v>797000</v>
      </c>
      <c r="F889" s="32"/>
      <c r="G889" s="104"/>
      <c r="H889" s="55">
        <f>+F866</f>
        <v>177180</v>
      </c>
      <c r="I889" s="32">
        <f>+E866</f>
        <v>578885</v>
      </c>
      <c r="J889" s="30">
        <f t="shared" si="512"/>
        <v>34935</v>
      </c>
      <c r="K889" s="144" t="b">
        <f t="shared" si="511"/>
        <v>1</v>
      </c>
      <c r="L889" s="5"/>
      <c r="M889" s="5"/>
      <c r="N889" s="5"/>
      <c r="O889" s="5"/>
    </row>
    <row r="890" spans="1:15" x14ac:dyDescent="0.3">
      <c r="A890" s="122" t="str">
        <f t="shared" si="510"/>
        <v>DECEMBRE</v>
      </c>
      <c r="B890" s="127" t="s">
        <v>143</v>
      </c>
      <c r="C890" s="32">
        <f t="shared" ref="C890:C894" si="513">+C867</f>
        <v>48400</v>
      </c>
      <c r="D890" s="31"/>
      <c r="E890" s="32">
        <f t="shared" ref="E890:E894" si="514">+D867</f>
        <v>847000</v>
      </c>
      <c r="F890" s="32"/>
      <c r="G890" s="104"/>
      <c r="H890" s="55">
        <f t="shared" ref="H890:H894" si="515">+F867</f>
        <v>658000</v>
      </c>
      <c r="I890" s="32">
        <f t="shared" ref="I890:I894" si="516">+E867</f>
        <v>193200</v>
      </c>
      <c r="J890" s="30">
        <f t="shared" si="512"/>
        <v>44200</v>
      </c>
      <c r="K890" s="144" t="b">
        <f t="shared" si="511"/>
        <v>1</v>
      </c>
      <c r="L890" s="5"/>
      <c r="M890" s="5"/>
      <c r="N890" s="5"/>
      <c r="O890" s="5"/>
    </row>
    <row r="891" spans="1:15" x14ac:dyDescent="0.3">
      <c r="A891" s="122" t="str">
        <f t="shared" si="510"/>
        <v>DECEMBRE</v>
      </c>
      <c r="B891" s="127" t="s">
        <v>30</v>
      </c>
      <c r="C891" s="32">
        <f t="shared" si="513"/>
        <v>6800</v>
      </c>
      <c r="D891" s="31"/>
      <c r="E891" s="32">
        <f t="shared" si="514"/>
        <v>861000</v>
      </c>
      <c r="F891" s="32"/>
      <c r="G891" s="104"/>
      <c r="H891" s="55">
        <f t="shared" si="515"/>
        <v>0</v>
      </c>
      <c r="I891" s="32">
        <f t="shared" si="516"/>
        <v>855750</v>
      </c>
      <c r="J891" s="30">
        <f t="shared" si="512"/>
        <v>12050</v>
      </c>
      <c r="K891" s="144" t="b">
        <f t="shared" si="511"/>
        <v>1</v>
      </c>
    </row>
    <row r="892" spans="1:15" x14ac:dyDescent="0.3">
      <c r="A892" s="122" t="str">
        <f>+A890</f>
        <v>DECEMBRE</v>
      </c>
      <c r="B892" s="127" t="s">
        <v>93</v>
      </c>
      <c r="C892" s="32">
        <f t="shared" si="513"/>
        <v>5500</v>
      </c>
      <c r="D892" s="31"/>
      <c r="E892" s="32">
        <f t="shared" si="514"/>
        <v>0</v>
      </c>
      <c r="F892" s="32"/>
      <c r="G892" s="104"/>
      <c r="H892" s="55">
        <f t="shared" si="515"/>
        <v>0</v>
      </c>
      <c r="I892" s="32">
        <f t="shared" si="516"/>
        <v>0</v>
      </c>
      <c r="J892" s="30">
        <f t="shared" si="512"/>
        <v>5500</v>
      </c>
      <c r="K892" s="144" t="b">
        <f t="shared" si="511"/>
        <v>1</v>
      </c>
    </row>
    <row r="893" spans="1:15" x14ac:dyDescent="0.3">
      <c r="A893" s="122" t="str">
        <f>+A891</f>
        <v>DECEMBRE</v>
      </c>
      <c r="B893" s="127" t="s">
        <v>29</v>
      </c>
      <c r="C893" s="32">
        <f t="shared" si="513"/>
        <v>30700</v>
      </c>
      <c r="D893" s="31"/>
      <c r="E893" s="32">
        <f t="shared" si="514"/>
        <v>1215000</v>
      </c>
      <c r="F893" s="32"/>
      <c r="G893" s="104"/>
      <c r="H893" s="55">
        <f t="shared" si="515"/>
        <v>490000</v>
      </c>
      <c r="I893" s="32">
        <f t="shared" si="516"/>
        <v>697500</v>
      </c>
      <c r="J893" s="30">
        <f t="shared" si="512"/>
        <v>58200</v>
      </c>
      <c r="K893" s="144" t="b">
        <f t="shared" si="511"/>
        <v>1</v>
      </c>
    </row>
    <row r="894" spans="1:15" x14ac:dyDescent="0.3">
      <c r="A894" s="122" t="str">
        <f t="shared" si="510"/>
        <v>DECEMBRE</v>
      </c>
      <c r="B894" s="128" t="s">
        <v>113</v>
      </c>
      <c r="C894" s="32">
        <f t="shared" si="513"/>
        <v>9193</v>
      </c>
      <c r="D894" s="119"/>
      <c r="E894" s="32">
        <f t="shared" si="514"/>
        <v>1100180</v>
      </c>
      <c r="F894" s="51"/>
      <c r="G894" s="138"/>
      <c r="H894" s="55">
        <f t="shared" si="515"/>
        <v>650000</v>
      </c>
      <c r="I894" s="32">
        <f t="shared" si="516"/>
        <v>195700</v>
      </c>
      <c r="J894" s="30">
        <f t="shared" si="512"/>
        <v>263673</v>
      </c>
      <c r="K894" s="144" t="b">
        <f t="shared" si="511"/>
        <v>1</v>
      </c>
    </row>
    <row r="895" spans="1:15" x14ac:dyDescent="0.3">
      <c r="A895" s="34" t="s">
        <v>60</v>
      </c>
      <c r="B895" s="35"/>
      <c r="C895" s="35"/>
      <c r="D895" s="35"/>
      <c r="E895" s="35"/>
      <c r="F895" s="35"/>
      <c r="G895" s="35"/>
      <c r="H895" s="35"/>
      <c r="I895" s="35"/>
      <c r="J895" s="36"/>
      <c r="K895" s="143"/>
    </row>
    <row r="896" spans="1:15" x14ac:dyDescent="0.3">
      <c r="A896" s="122" t="str">
        <f>+A894</f>
        <v>DECEMBRE</v>
      </c>
      <c r="B896" s="37" t="s">
        <v>61</v>
      </c>
      <c r="C896" s="38">
        <f>+C861</f>
        <v>926369</v>
      </c>
      <c r="D896" s="49"/>
      <c r="E896" s="49">
        <f>D861</f>
        <v>10580357</v>
      </c>
      <c r="F896" s="49"/>
      <c r="G896" s="125"/>
      <c r="H896" s="51">
        <f>+F861</f>
        <v>6750500</v>
      </c>
      <c r="I896" s="126">
        <f>+E861</f>
        <v>3713706</v>
      </c>
      <c r="J896" s="30">
        <f>+SUM(C896:G896)-(H896+I896)</f>
        <v>1042520</v>
      </c>
      <c r="K896" s="144" t="b">
        <f>J896=I861</f>
        <v>1</v>
      </c>
    </row>
    <row r="897" spans="1:16" x14ac:dyDescent="0.3">
      <c r="A897" s="43" t="s">
        <v>62</v>
      </c>
      <c r="B897" s="24"/>
      <c r="C897" s="35"/>
      <c r="D897" s="24"/>
      <c r="E897" s="24"/>
      <c r="F897" s="24"/>
      <c r="G897" s="24"/>
      <c r="H897" s="24"/>
      <c r="I897" s="24"/>
      <c r="J897" s="36"/>
      <c r="K897" s="143"/>
    </row>
    <row r="898" spans="1:16" x14ac:dyDescent="0.3">
      <c r="A898" s="122" t="str">
        <f>+A896</f>
        <v>DECEMBRE</v>
      </c>
      <c r="B898" s="37" t="s">
        <v>156</v>
      </c>
      <c r="C898" s="125">
        <f>+C859</f>
        <v>5738718</v>
      </c>
      <c r="D898" s="132">
        <f>+G859</f>
        <v>0</v>
      </c>
      <c r="E898" s="49"/>
      <c r="F898" s="49"/>
      <c r="G898" s="49"/>
      <c r="H898" s="51">
        <f>+F859</f>
        <v>2000000</v>
      </c>
      <c r="I898" s="53">
        <f>+E859</f>
        <v>283345</v>
      </c>
      <c r="J898" s="30">
        <f>+SUM(C898:G898)-(H898+I898)</f>
        <v>3455373</v>
      </c>
      <c r="K898" s="144" t="b">
        <f>+J898=I859</f>
        <v>1</v>
      </c>
    </row>
    <row r="899" spans="1:16" x14ac:dyDescent="0.3">
      <c r="A899" s="122" t="str">
        <f t="shared" ref="A899" si="517">+A898</f>
        <v>DECEMBRE</v>
      </c>
      <c r="B899" s="37" t="s">
        <v>64</v>
      </c>
      <c r="C899" s="125">
        <f>+C860</f>
        <v>16087207</v>
      </c>
      <c r="D899" s="49">
        <f>+G860</f>
        <v>0</v>
      </c>
      <c r="E899" s="48"/>
      <c r="F899" s="48"/>
      <c r="G899" s="48"/>
      <c r="H899" s="32">
        <f>+F860</f>
        <v>8000000</v>
      </c>
      <c r="I899" s="50">
        <f>+E860</f>
        <v>3245592</v>
      </c>
      <c r="J899" s="30">
        <f>SUM(C899:G899)-(H899+I899)</f>
        <v>4841615</v>
      </c>
      <c r="K899" s="144" t="b">
        <f>+J899=I860</f>
        <v>1</v>
      </c>
    </row>
    <row r="900" spans="1:16" ht="15.6" x14ac:dyDescent="0.3">
      <c r="C900" s="141">
        <f>SUM(C884:C899)</f>
        <v>23338190</v>
      </c>
      <c r="I900" s="140">
        <f>SUM(I884:I899)</f>
        <v>12136053</v>
      </c>
      <c r="J900" s="105">
        <f>+SUM(J883:J899)</f>
        <v>10222494</v>
      </c>
      <c r="K900" s="5" t="b">
        <f>J900=I872</f>
        <v>1</v>
      </c>
    </row>
    <row r="901" spans="1:16" x14ac:dyDescent="0.3">
      <c r="G901" s="9"/>
    </row>
    <row r="902" spans="1:16" x14ac:dyDescent="0.3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  <c r="K902" s="160"/>
      <c r="L902" s="164"/>
      <c r="M902" s="164"/>
      <c r="N902" s="164"/>
      <c r="O902" s="164"/>
      <c r="P902" s="160"/>
    </row>
    <row r="903" spans="1:16" x14ac:dyDescent="0.3">
      <c r="A903" s="4">
        <v>44530</v>
      </c>
    </row>
    <row r="904" spans="1:16" ht="15.6" x14ac:dyDescent="0.3">
      <c r="A904" s="6" t="s">
        <v>36</v>
      </c>
      <c r="B904" s="6" t="s">
        <v>1</v>
      </c>
      <c r="C904" s="6">
        <v>44501</v>
      </c>
      <c r="D904" s="7" t="s">
        <v>37</v>
      </c>
      <c r="E904" s="7" t="s">
        <v>38</v>
      </c>
      <c r="F904" s="7" t="s">
        <v>39</v>
      </c>
      <c r="G904" s="7" t="s">
        <v>40</v>
      </c>
      <c r="H904" s="6">
        <v>44530</v>
      </c>
      <c r="I904" s="7" t="s">
        <v>41</v>
      </c>
      <c r="K904" s="45"/>
      <c r="L904" s="45" t="s">
        <v>42</v>
      </c>
      <c r="M904" s="45" t="s">
        <v>43</v>
      </c>
      <c r="N904" s="45" t="s">
        <v>44</v>
      </c>
      <c r="O904" s="45" t="s">
        <v>45</v>
      </c>
    </row>
    <row r="905" spans="1:16" s="156" customFormat="1" ht="15.6" x14ac:dyDescent="0.3">
      <c r="A905" s="58" t="str">
        <f>+K905</f>
        <v>Axel</v>
      </c>
      <c r="B905" s="158" t="s">
        <v>154</v>
      </c>
      <c r="C905" s="60">
        <v>6757</v>
      </c>
      <c r="D905" s="61">
        <f t="shared" ref="D905:D918" si="518">+L905</f>
        <v>337000</v>
      </c>
      <c r="E905" s="61">
        <f>+N905</f>
        <v>314650</v>
      </c>
      <c r="F905" s="61">
        <f>+M905</f>
        <v>0</v>
      </c>
      <c r="G905" s="61">
        <f t="shared" ref="G905:G907" si="519">+O905</f>
        <v>0</v>
      </c>
      <c r="H905" s="61">
        <v>29107</v>
      </c>
      <c r="I905" s="61">
        <f>+C905+D905-E905-F905+G905</f>
        <v>29107</v>
      </c>
      <c r="J905" s="9">
        <f>I905-H905</f>
        <v>0</v>
      </c>
      <c r="K905" s="157" t="s">
        <v>153</v>
      </c>
      <c r="L905" s="157">
        <v>337000</v>
      </c>
      <c r="M905" s="157">
        <v>0</v>
      </c>
      <c r="N905" s="157">
        <v>314650</v>
      </c>
      <c r="O905" s="157">
        <v>0</v>
      </c>
    </row>
    <row r="906" spans="1:16" x14ac:dyDescent="0.3">
      <c r="A906" s="58" t="str">
        <f>+K906</f>
        <v>B52</v>
      </c>
      <c r="B906" s="59" t="s">
        <v>4</v>
      </c>
      <c r="C906" s="60">
        <v>0</v>
      </c>
      <c r="D906" s="61">
        <f t="shared" si="518"/>
        <v>118000</v>
      </c>
      <c r="E906" s="61">
        <f>+N906</f>
        <v>114000</v>
      </c>
      <c r="F906" s="61">
        <f>+M906</f>
        <v>0</v>
      </c>
      <c r="G906" s="61">
        <f t="shared" si="519"/>
        <v>0</v>
      </c>
      <c r="H906" s="61">
        <v>4000</v>
      </c>
      <c r="I906" s="61">
        <f>+C906+D906-E906-F906+G906</f>
        <v>4000</v>
      </c>
      <c r="J906" s="9">
        <f>I906-H906</f>
        <v>0</v>
      </c>
      <c r="K906" s="45" t="s">
        <v>162</v>
      </c>
      <c r="L906" s="47">
        <v>118000</v>
      </c>
      <c r="M906" s="47">
        <v>0</v>
      </c>
      <c r="N906" s="47">
        <v>114000</v>
      </c>
      <c r="O906" s="47">
        <v>0</v>
      </c>
    </row>
    <row r="907" spans="1:16" x14ac:dyDescent="0.3">
      <c r="A907" s="58" t="str">
        <f>+K907</f>
        <v>BCI</v>
      </c>
      <c r="B907" s="59" t="s">
        <v>46</v>
      </c>
      <c r="C907" s="60">
        <v>6762063</v>
      </c>
      <c r="D907" s="61">
        <f t="shared" si="518"/>
        <v>0</v>
      </c>
      <c r="E907" s="61">
        <f>+N907</f>
        <v>23345</v>
      </c>
      <c r="F907" s="61">
        <f>+M907</f>
        <v>1000000</v>
      </c>
      <c r="G907" s="61">
        <f t="shared" si="519"/>
        <v>0</v>
      </c>
      <c r="H907" s="61">
        <v>5738718</v>
      </c>
      <c r="I907" s="61">
        <f>+C907+D907-E907-F907+G907</f>
        <v>5738718</v>
      </c>
      <c r="J907" s="9">
        <f t="shared" ref="J907:J914" si="520">I907-H907</f>
        <v>0</v>
      </c>
      <c r="K907" s="45" t="s">
        <v>24</v>
      </c>
      <c r="L907" s="47">
        <v>0</v>
      </c>
      <c r="M907" s="47">
        <v>1000000</v>
      </c>
      <c r="N907" s="47">
        <v>23345</v>
      </c>
      <c r="O907" s="47">
        <v>0</v>
      </c>
    </row>
    <row r="908" spans="1:16" x14ac:dyDescent="0.3">
      <c r="A908" s="58" t="str">
        <f t="shared" ref="A908:A910" si="521">+K908</f>
        <v>BCI-Sous Compte</v>
      </c>
      <c r="B908" s="59" t="s">
        <v>46</v>
      </c>
      <c r="C908" s="60">
        <v>23107840</v>
      </c>
      <c r="D908" s="61">
        <f t="shared" si="518"/>
        <v>0</v>
      </c>
      <c r="E908" s="61">
        <f>+N908</f>
        <v>4020633</v>
      </c>
      <c r="F908" s="61">
        <f>+M908</f>
        <v>3000000</v>
      </c>
      <c r="G908" s="61">
        <f t="shared" ref="G908:G919" si="522">+O908</f>
        <v>0</v>
      </c>
      <c r="H908" s="61">
        <v>16087207</v>
      </c>
      <c r="I908" s="61">
        <f>+C908+D908-E908-F908+G908</f>
        <v>16087207</v>
      </c>
      <c r="J908" s="102">
        <f t="shared" si="520"/>
        <v>0</v>
      </c>
      <c r="K908" s="45" t="s">
        <v>148</v>
      </c>
      <c r="L908" s="47">
        <v>0</v>
      </c>
      <c r="M908" s="47">
        <v>3000000</v>
      </c>
      <c r="N908" s="47">
        <v>4020633</v>
      </c>
      <c r="O908" s="47">
        <v>0</v>
      </c>
    </row>
    <row r="909" spans="1:16" x14ac:dyDescent="0.3">
      <c r="A909" s="58" t="str">
        <f t="shared" si="521"/>
        <v>Caisse</v>
      </c>
      <c r="B909" s="59" t="s">
        <v>25</v>
      </c>
      <c r="C909" s="60">
        <v>1685107</v>
      </c>
      <c r="D909" s="61">
        <f t="shared" si="518"/>
        <v>4090000</v>
      </c>
      <c r="E909" s="61">
        <f t="shared" ref="E909" si="523">+N909</f>
        <v>2854238</v>
      </c>
      <c r="F909" s="61">
        <f t="shared" ref="F909:F916" si="524">+M909</f>
        <v>1994500</v>
      </c>
      <c r="G909" s="61">
        <f t="shared" si="522"/>
        <v>0</v>
      </c>
      <c r="H909" s="61">
        <v>926369</v>
      </c>
      <c r="I909" s="61">
        <f>+C909+D909-E909-F909+G909</f>
        <v>926369</v>
      </c>
      <c r="J909" s="9">
        <f t="shared" si="520"/>
        <v>0</v>
      </c>
      <c r="K909" s="45" t="s">
        <v>25</v>
      </c>
      <c r="L909" s="47">
        <v>4090000</v>
      </c>
      <c r="M909" s="47">
        <v>1994500</v>
      </c>
      <c r="N909" s="47">
        <v>2854238</v>
      </c>
      <c r="O909" s="47">
        <v>0</v>
      </c>
    </row>
    <row r="910" spans="1:16" x14ac:dyDescent="0.3">
      <c r="A910" s="58" t="str">
        <f t="shared" si="521"/>
        <v>Crépin</v>
      </c>
      <c r="B910" s="59" t="s">
        <v>154</v>
      </c>
      <c r="C910" s="60">
        <v>7200</v>
      </c>
      <c r="D910" s="61">
        <f t="shared" si="518"/>
        <v>286000</v>
      </c>
      <c r="E910" s="61">
        <f>+N910</f>
        <v>226875</v>
      </c>
      <c r="F910" s="61">
        <f t="shared" si="524"/>
        <v>70000</v>
      </c>
      <c r="G910" s="61">
        <f t="shared" si="522"/>
        <v>0</v>
      </c>
      <c r="H910" s="61">
        <v>-3675</v>
      </c>
      <c r="I910" s="61">
        <f t="shared" ref="I910" si="525">+C910+D910-E910-F910+G910</f>
        <v>-3675</v>
      </c>
      <c r="J910" s="9">
        <f t="shared" si="520"/>
        <v>0</v>
      </c>
      <c r="K910" s="45" t="s">
        <v>47</v>
      </c>
      <c r="L910" s="47">
        <v>286000</v>
      </c>
      <c r="M910" s="47">
        <v>70000</v>
      </c>
      <c r="N910" s="47">
        <v>226875</v>
      </c>
      <c r="O910" s="47">
        <v>0</v>
      </c>
    </row>
    <row r="911" spans="1:16" x14ac:dyDescent="0.3">
      <c r="A911" s="58" t="str">
        <f>K911</f>
        <v>Evariste</v>
      </c>
      <c r="B911" s="59" t="s">
        <v>155</v>
      </c>
      <c r="C911" s="60">
        <v>10095</v>
      </c>
      <c r="D911" s="61">
        <f t="shared" si="518"/>
        <v>70500</v>
      </c>
      <c r="E911" s="61">
        <f t="shared" ref="E911" si="526">+N911</f>
        <v>73000</v>
      </c>
      <c r="F911" s="61">
        <f t="shared" si="524"/>
        <v>0</v>
      </c>
      <c r="G911" s="61">
        <f t="shared" si="522"/>
        <v>0</v>
      </c>
      <c r="H911" s="61">
        <v>7595</v>
      </c>
      <c r="I911" s="61">
        <f>+C911+D911-E911-F911+G911</f>
        <v>7595</v>
      </c>
      <c r="J911" s="9">
        <f t="shared" si="520"/>
        <v>0</v>
      </c>
      <c r="K911" s="45" t="s">
        <v>31</v>
      </c>
      <c r="L911" s="47">
        <v>70500</v>
      </c>
      <c r="M911" s="47">
        <v>0</v>
      </c>
      <c r="N911" s="47">
        <v>73000</v>
      </c>
      <c r="O911" s="47">
        <v>0</v>
      </c>
    </row>
    <row r="912" spans="1:16" x14ac:dyDescent="0.3">
      <c r="A912" s="115" t="str">
        <f t="shared" ref="A912:A919" si="527">+K912</f>
        <v>I55S</v>
      </c>
      <c r="B912" s="116" t="s">
        <v>4</v>
      </c>
      <c r="C912" s="117">
        <v>233614</v>
      </c>
      <c r="D912" s="118">
        <f t="shared" si="518"/>
        <v>0</v>
      </c>
      <c r="E912" s="118">
        <f>+N912</f>
        <v>0</v>
      </c>
      <c r="F912" s="118">
        <f t="shared" si="524"/>
        <v>0</v>
      </c>
      <c r="G912" s="118">
        <f t="shared" si="522"/>
        <v>0</v>
      </c>
      <c r="H912" s="118">
        <v>233614</v>
      </c>
      <c r="I912" s="118">
        <f>+C912+D912-E912-F912+G912</f>
        <v>233614</v>
      </c>
      <c r="J912" s="9">
        <f t="shared" si="520"/>
        <v>0</v>
      </c>
      <c r="K912" s="45" t="s">
        <v>84</v>
      </c>
      <c r="L912" s="47">
        <v>0</v>
      </c>
      <c r="M912" s="47">
        <v>0</v>
      </c>
      <c r="N912" s="47">
        <v>0</v>
      </c>
      <c r="O912" s="47">
        <v>0</v>
      </c>
    </row>
    <row r="913" spans="1:15" x14ac:dyDescent="0.3">
      <c r="A913" s="115" t="str">
        <f t="shared" si="527"/>
        <v>I73X</v>
      </c>
      <c r="B913" s="116" t="s">
        <v>4</v>
      </c>
      <c r="C913" s="117">
        <v>249769</v>
      </c>
      <c r="D913" s="118">
        <f t="shared" si="518"/>
        <v>0</v>
      </c>
      <c r="E913" s="118">
        <f>+N913</f>
        <v>0</v>
      </c>
      <c r="F913" s="118">
        <f t="shared" si="524"/>
        <v>0</v>
      </c>
      <c r="G913" s="118">
        <f t="shared" si="522"/>
        <v>0</v>
      </c>
      <c r="H913" s="118">
        <v>249769</v>
      </c>
      <c r="I913" s="118">
        <f t="shared" ref="I913:I916" si="528">+C913+D913-E913-F913+G913</f>
        <v>249769</v>
      </c>
      <c r="J913" s="9">
        <f t="shared" si="520"/>
        <v>0</v>
      </c>
      <c r="K913" s="45" t="s">
        <v>83</v>
      </c>
      <c r="L913" s="47">
        <v>0</v>
      </c>
      <c r="M913" s="47">
        <v>0</v>
      </c>
      <c r="N913" s="47">
        <v>0</v>
      </c>
      <c r="O913" s="47">
        <v>0</v>
      </c>
    </row>
    <row r="914" spans="1:15" x14ac:dyDescent="0.3">
      <c r="A914" s="58" t="str">
        <f t="shared" si="527"/>
        <v>Godfré</v>
      </c>
      <c r="B914" s="98" t="s">
        <v>154</v>
      </c>
      <c r="C914" s="60">
        <v>3550</v>
      </c>
      <c r="D914" s="61">
        <f t="shared" si="518"/>
        <v>43000</v>
      </c>
      <c r="E914" s="154">
        <f t="shared" ref="E914:E919" si="529">+N914</f>
        <v>52550</v>
      </c>
      <c r="F914" s="61">
        <f t="shared" si="524"/>
        <v>0</v>
      </c>
      <c r="G914" s="61">
        <f t="shared" si="522"/>
        <v>0</v>
      </c>
      <c r="H914" s="61">
        <v>-6000</v>
      </c>
      <c r="I914" s="61">
        <f t="shared" si="528"/>
        <v>-6000</v>
      </c>
      <c r="J914" s="9">
        <f t="shared" si="520"/>
        <v>0</v>
      </c>
      <c r="K914" s="45" t="s">
        <v>144</v>
      </c>
      <c r="L914" s="47">
        <v>43000</v>
      </c>
      <c r="M914" s="47">
        <v>0</v>
      </c>
      <c r="N914" s="47">
        <v>52550</v>
      </c>
      <c r="O914" s="47">
        <v>0</v>
      </c>
    </row>
    <row r="915" spans="1:15" x14ac:dyDescent="0.3">
      <c r="A915" s="58" t="str">
        <f t="shared" si="527"/>
        <v>Grace</v>
      </c>
      <c r="B915" s="59" t="s">
        <v>2</v>
      </c>
      <c r="C915" s="60">
        <v>61300</v>
      </c>
      <c r="D915" s="61">
        <f t="shared" si="518"/>
        <v>53000</v>
      </c>
      <c r="E915" s="154">
        <f t="shared" si="529"/>
        <v>45900</v>
      </c>
      <c r="F915" s="61">
        <f t="shared" si="524"/>
        <v>20000</v>
      </c>
      <c r="G915" s="61">
        <f t="shared" si="522"/>
        <v>0</v>
      </c>
      <c r="H915" s="61">
        <v>48400</v>
      </c>
      <c r="I915" s="61">
        <f t="shared" si="528"/>
        <v>48400</v>
      </c>
      <c r="J915" s="9">
        <f>I915-H915</f>
        <v>0</v>
      </c>
      <c r="K915" s="45" t="s">
        <v>143</v>
      </c>
      <c r="L915" s="47">
        <v>53000</v>
      </c>
      <c r="M915" s="47">
        <v>20000</v>
      </c>
      <c r="N915" s="47">
        <v>45900</v>
      </c>
      <c r="O915" s="47">
        <v>0</v>
      </c>
    </row>
    <row r="916" spans="1:15" x14ac:dyDescent="0.3">
      <c r="A916" s="58" t="str">
        <f t="shared" si="527"/>
        <v>I23C</v>
      </c>
      <c r="B916" s="98" t="s">
        <v>4</v>
      </c>
      <c r="C916" s="60">
        <v>10800</v>
      </c>
      <c r="D916" s="61">
        <f t="shared" si="518"/>
        <v>488000</v>
      </c>
      <c r="E916" s="154">
        <f t="shared" si="529"/>
        <v>492000</v>
      </c>
      <c r="F916" s="61">
        <f t="shared" si="524"/>
        <v>0</v>
      </c>
      <c r="G916" s="61">
        <f t="shared" si="522"/>
        <v>0</v>
      </c>
      <c r="H916" s="61">
        <v>6800</v>
      </c>
      <c r="I916" s="61">
        <f t="shared" si="528"/>
        <v>6800</v>
      </c>
      <c r="J916" s="9">
        <f t="shared" ref="J916" si="530">I916-H916</f>
        <v>0</v>
      </c>
      <c r="K916" s="45" t="s">
        <v>30</v>
      </c>
      <c r="L916" s="47">
        <v>488000</v>
      </c>
      <c r="M916" s="47">
        <v>0</v>
      </c>
      <c r="N916" s="47">
        <v>492000</v>
      </c>
      <c r="O916" s="47">
        <v>0</v>
      </c>
    </row>
    <row r="917" spans="1:15" x14ac:dyDescent="0.3">
      <c r="A917" s="58" t="str">
        <f t="shared" si="527"/>
        <v>Merveille</v>
      </c>
      <c r="B917" s="59" t="s">
        <v>2</v>
      </c>
      <c r="C917" s="60">
        <v>9500</v>
      </c>
      <c r="D917" s="61">
        <f t="shared" si="518"/>
        <v>20000</v>
      </c>
      <c r="E917" s="154">
        <f t="shared" si="529"/>
        <v>24000</v>
      </c>
      <c r="F917" s="61">
        <f t="shared" ref="F917" si="531">+M917</f>
        <v>0</v>
      </c>
      <c r="G917" s="61">
        <f t="shared" ref="G917" si="532">+O917</f>
        <v>0</v>
      </c>
      <c r="H917" s="61">
        <v>5500</v>
      </c>
      <c r="I917" s="61">
        <f t="shared" ref="I917" si="533">+C917+D917-E917-F917+G917</f>
        <v>5500</v>
      </c>
      <c r="J917" s="9">
        <f t="shared" ref="J917" si="534">I917-H917</f>
        <v>0</v>
      </c>
      <c r="K917" s="45" t="s">
        <v>93</v>
      </c>
      <c r="L917" s="47">
        <v>20000</v>
      </c>
      <c r="M917" s="47">
        <v>0</v>
      </c>
      <c r="N917" s="47">
        <v>24000</v>
      </c>
      <c r="O917" s="47"/>
    </row>
    <row r="918" spans="1:15" x14ac:dyDescent="0.3">
      <c r="A918" s="58" t="str">
        <f t="shared" si="527"/>
        <v>P29</v>
      </c>
      <c r="B918" s="59" t="s">
        <v>4</v>
      </c>
      <c r="C918" s="60">
        <v>21200</v>
      </c>
      <c r="D918" s="61">
        <f t="shared" si="518"/>
        <v>543000</v>
      </c>
      <c r="E918" s="154">
        <f t="shared" si="529"/>
        <v>533500</v>
      </c>
      <c r="F918" s="61">
        <f>+M918</f>
        <v>0</v>
      </c>
      <c r="G918" s="61">
        <f>+O918</f>
        <v>0</v>
      </c>
      <c r="H918" s="61">
        <v>30700</v>
      </c>
      <c r="I918" s="61">
        <f>+C918+D918-E918-F918+G918</f>
        <v>30700</v>
      </c>
      <c r="J918" s="9">
        <f>I918-H918</f>
        <v>0</v>
      </c>
      <c r="K918" s="45" t="s">
        <v>29</v>
      </c>
      <c r="L918" s="47">
        <v>543000</v>
      </c>
      <c r="M918" s="47">
        <v>0</v>
      </c>
      <c r="N918" s="47">
        <v>533500</v>
      </c>
      <c r="O918" s="47">
        <v>0</v>
      </c>
    </row>
    <row r="919" spans="1:15" x14ac:dyDescent="0.3">
      <c r="A919" s="58" t="str">
        <f t="shared" si="527"/>
        <v>Tiffany</v>
      </c>
      <c r="B919" s="59" t="s">
        <v>2</v>
      </c>
      <c r="C919" s="60">
        <v>26193</v>
      </c>
      <c r="D919" s="61">
        <f t="shared" ref="D919" si="535">+L919</f>
        <v>36000</v>
      </c>
      <c r="E919" s="154">
        <f t="shared" si="529"/>
        <v>53000</v>
      </c>
      <c r="F919" s="61">
        <f t="shared" ref="F919" si="536">+M919</f>
        <v>0</v>
      </c>
      <c r="G919" s="61">
        <f t="shared" si="522"/>
        <v>0</v>
      </c>
      <c r="H919" s="61">
        <v>9193</v>
      </c>
      <c r="I919" s="61">
        <f t="shared" ref="I919" si="537">+C919+D919-E919-F919+G919</f>
        <v>9193</v>
      </c>
      <c r="J919" s="9">
        <f t="shared" ref="J919" si="538">I919-H919</f>
        <v>0</v>
      </c>
      <c r="K919" s="45" t="s">
        <v>113</v>
      </c>
      <c r="L919" s="47">
        <v>36000</v>
      </c>
      <c r="M919" s="47">
        <v>0</v>
      </c>
      <c r="N919" s="47">
        <v>53000</v>
      </c>
      <c r="O919" s="47">
        <v>0</v>
      </c>
    </row>
    <row r="920" spans="1:15" x14ac:dyDescent="0.3">
      <c r="A920" s="10" t="s">
        <v>50</v>
      </c>
      <c r="B920" s="11"/>
      <c r="C920" s="12">
        <f>SUM(C905:C919)</f>
        <v>32194988</v>
      </c>
      <c r="D920" s="57">
        <f t="shared" ref="D920:G920" si="539">SUM(D905:D919)</f>
        <v>6084500</v>
      </c>
      <c r="E920" s="57">
        <f t="shared" si="539"/>
        <v>8827691</v>
      </c>
      <c r="F920" s="57">
        <f t="shared" si="539"/>
        <v>6084500</v>
      </c>
      <c r="G920" s="57">
        <f t="shared" si="539"/>
        <v>0</v>
      </c>
      <c r="H920" s="57">
        <f>SUM(H905:H919)</f>
        <v>23367297</v>
      </c>
      <c r="I920" s="57">
        <f>SUM(I905:I919)</f>
        <v>23367297</v>
      </c>
      <c r="J920" s="9">
        <f>I920-H920</f>
        <v>0</v>
      </c>
      <c r="K920" s="3"/>
      <c r="L920" s="47">
        <v>6084500</v>
      </c>
      <c r="M920" s="47">
        <v>6084500</v>
      </c>
      <c r="N920" s="47">
        <v>8828291</v>
      </c>
      <c r="O920" s="47">
        <v>0</v>
      </c>
    </row>
    <row r="921" spans="1:15" x14ac:dyDescent="0.3">
      <c r="A921" s="10"/>
      <c r="B921" s="11"/>
      <c r="C921" s="12"/>
      <c r="D921" s="13"/>
      <c r="E921" s="12"/>
      <c r="F921" s="13"/>
      <c r="G921" s="12"/>
      <c r="H921" s="12"/>
      <c r="I921" s="134" t="b">
        <f>I920=D923</f>
        <v>1</v>
      </c>
      <c r="L921" s="5"/>
      <c r="M921" s="5"/>
      <c r="N921" s="5"/>
      <c r="O921" s="5"/>
    </row>
    <row r="922" spans="1:15" x14ac:dyDescent="0.3">
      <c r="A922" s="10" t="s">
        <v>158</v>
      </c>
      <c r="B922" s="11" t="s">
        <v>160</v>
      </c>
      <c r="C922" s="12" t="s">
        <v>163</v>
      </c>
      <c r="D922" s="12" t="s">
        <v>157</v>
      </c>
      <c r="E922" s="12" t="s">
        <v>51</v>
      </c>
      <c r="F922" s="12"/>
      <c r="G922" s="12">
        <f>+D920-F920</f>
        <v>0</v>
      </c>
      <c r="H922" s="12"/>
      <c r="I922" s="12"/>
    </row>
    <row r="923" spans="1:15" x14ac:dyDescent="0.3">
      <c r="A923" s="14">
        <f>C920</f>
        <v>32194988</v>
      </c>
      <c r="B923" s="15">
        <f>G920</f>
        <v>0</v>
      </c>
      <c r="C923" s="12">
        <f>E920</f>
        <v>8827691</v>
      </c>
      <c r="D923" s="12">
        <f>A923+B923-C923</f>
        <v>23367297</v>
      </c>
      <c r="E923" s="13">
        <f>I920-D923</f>
        <v>0</v>
      </c>
      <c r="F923" s="12"/>
      <c r="G923" s="12"/>
      <c r="H923" s="12"/>
      <c r="I923" s="12"/>
      <c r="L923" s="5"/>
      <c r="M923" s="5"/>
      <c r="N923" s="5"/>
      <c r="O923" s="5"/>
    </row>
    <row r="924" spans="1:15" x14ac:dyDescent="0.3">
      <c r="A924" s="14"/>
      <c r="B924" s="15"/>
      <c r="C924" s="12"/>
      <c r="D924" s="12"/>
      <c r="E924" s="13"/>
      <c r="F924" s="12"/>
      <c r="G924" s="12"/>
      <c r="H924" s="12"/>
      <c r="I924" s="12"/>
      <c r="L924" s="5"/>
      <c r="M924" s="5"/>
      <c r="N924" s="5"/>
      <c r="O924" s="5"/>
    </row>
    <row r="925" spans="1:15" x14ac:dyDescent="0.3">
      <c r="A925" s="16" t="s">
        <v>52</v>
      </c>
      <c r="B925" s="16"/>
      <c r="C925" s="16"/>
      <c r="D925" s="17"/>
      <c r="E925" s="17"/>
      <c r="F925" s="17"/>
      <c r="G925" s="17"/>
      <c r="H925" s="17"/>
      <c r="I925" s="17"/>
      <c r="L925" s="5"/>
      <c r="M925" s="5"/>
      <c r="N925" s="5"/>
      <c r="O925" s="5"/>
    </row>
    <row r="926" spans="1:15" x14ac:dyDescent="0.3">
      <c r="A926" s="18" t="s">
        <v>159</v>
      </c>
      <c r="B926" s="18"/>
      <c r="C926" s="18"/>
      <c r="D926" s="18"/>
      <c r="E926" s="18"/>
      <c r="F926" s="18"/>
      <c r="G926" s="18"/>
      <c r="H926" s="18"/>
      <c r="I926" s="18"/>
      <c r="J926" s="18"/>
      <c r="L926" s="5"/>
      <c r="M926" s="5"/>
      <c r="N926" s="5"/>
      <c r="O926" s="5"/>
    </row>
    <row r="927" spans="1:15" x14ac:dyDescent="0.3">
      <c r="A927" s="19"/>
      <c r="B927" s="17"/>
      <c r="C927" s="20"/>
      <c r="D927" s="20"/>
      <c r="E927" s="20"/>
      <c r="F927" s="20"/>
      <c r="G927" s="20"/>
      <c r="H927" s="17"/>
      <c r="I927" s="17"/>
      <c r="L927" s="5"/>
      <c r="M927" s="5"/>
      <c r="N927" s="5"/>
      <c r="O927" s="5"/>
    </row>
    <row r="928" spans="1:15" x14ac:dyDescent="0.3">
      <c r="A928" s="360" t="s">
        <v>53</v>
      </c>
      <c r="B928" s="362" t="s">
        <v>54</v>
      </c>
      <c r="C928" s="364" t="s">
        <v>161</v>
      </c>
      <c r="D928" s="366" t="s">
        <v>55</v>
      </c>
      <c r="E928" s="367"/>
      <c r="F928" s="367"/>
      <c r="G928" s="368"/>
      <c r="H928" s="369" t="s">
        <v>56</v>
      </c>
      <c r="I928" s="371" t="s">
        <v>57</v>
      </c>
      <c r="J928" s="17"/>
      <c r="L928" s="5"/>
      <c r="M928" s="5"/>
      <c r="N928" s="5"/>
      <c r="O928" s="5"/>
    </row>
    <row r="929" spans="1:15" ht="28.5" customHeight="1" x14ac:dyDescent="0.3">
      <c r="A929" s="361"/>
      <c r="B929" s="363"/>
      <c r="C929" s="365"/>
      <c r="D929" s="21" t="s">
        <v>24</v>
      </c>
      <c r="E929" s="21" t="s">
        <v>25</v>
      </c>
      <c r="F929" s="22" t="s">
        <v>123</v>
      </c>
      <c r="G929" s="21" t="s">
        <v>58</v>
      </c>
      <c r="H929" s="370"/>
      <c r="I929" s="372"/>
      <c r="J929" s="373" t="s">
        <v>169</v>
      </c>
      <c r="K929" s="143"/>
      <c r="L929" s="5"/>
      <c r="M929" s="5"/>
      <c r="N929" s="5"/>
      <c r="O929" s="5"/>
    </row>
    <row r="930" spans="1:15" x14ac:dyDescent="0.3">
      <c r="A930" s="23"/>
      <c r="B930" s="24" t="s">
        <v>59</v>
      </c>
      <c r="C930" s="25"/>
      <c r="D930" s="25"/>
      <c r="E930" s="25"/>
      <c r="F930" s="25"/>
      <c r="G930" s="25"/>
      <c r="H930" s="25"/>
      <c r="I930" s="26"/>
      <c r="J930" s="374"/>
      <c r="K930" s="143"/>
      <c r="L930" s="5"/>
      <c r="M930" s="5"/>
      <c r="N930" s="5"/>
      <c r="O930" s="5"/>
    </row>
    <row r="931" spans="1:15" x14ac:dyDescent="0.3">
      <c r="A931" s="122" t="s">
        <v>98</v>
      </c>
      <c r="B931" s="127" t="s">
        <v>153</v>
      </c>
      <c r="C931" s="32">
        <f>+C905</f>
        <v>6757</v>
      </c>
      <c r="D931" s="31"/>
      <c r="E931" s="32">
        <f>D905</f>
        <v>337000</v>
      </c>
      <c r="F931" s="32"/>
      <c r="G931" s="32"/>
      <c r="H931" s="55">
        <f>+F905</f>
        <v>0</v>
      </c>
      <c r="I931" s="32">
        <f>+E905</f>
        <v>314650</v>
      </c>
      <c r="J931" s="30">
        <f>+SUM(C931:G931)-(H931+I931)</f>
        <v>29107</v>
      </c>
      <c r="K931" s="144" t="b">
        <f>J931=I905</f>
        <v>1</v>
      </c>
      <c r="L931" s="5"/>
      <c r="M931" s="5"/>
      <c r="N931" s="5"/>
      <c r="O931" s="5"/>
    </row>
    <row r="932" spans="1:15" x14ac:dyDescent="0.3">
      <c r="A932" s="122" t="str">
        <f>A931</f>
        <v>NOVEMBRE</v>
      </c>
      <c r="B932" s="127" t="s">
        <v>162</v>
      </c>
      <c r="C932" s="32">
        <f>+C906</f>
        <v>0</v>
      </c>
      <c r="D932" s="31"/>
      <c r="E932" s="32">
        <f>+D906</f>
        <v>118000</v>
      </c>
      <c r="F932" s="32"/>
      <c r="G932" s="32"/>
      <c r="H932" s="55">
        <f>+F906</f>
        <v>0</v>
      </c>
      <c r="I932" s="32">
        <f>+E906</f>
        <v>114000</v>
      </c>
      <c r="J932" s="30">
        <f t="shared" ref="J932:J933" si="540">+SUM(C932:G932)-(H932+I932)</f>
        <v>4000</v>
      </c>
      <c r="K932" s="144" t="b">
        <f>J932=I906</f>
        <v>1</v>
      </c>
      <c r="L932" s="5"/>
      <c r="M932" s="5"/>
      <c r="N932" s="5"/>
      <c r="O932" s="5"/>
    </row>
    <row r="933" spans="1:15" x14ac:dyDescent="0.3">
      <c r="A933" s="122" t="str">
        <f>+A932</f>
        <v>NOVEMBRE</v>
      </c>
      <c r="B933" s="127" t="s">
        <v>47</v>
      </c>
      <c r="C933" s="32">
        <f>+C910</f>
        <v>7200</v>
      </c>
      <c r="D933" s="31"/>
      <c r="E933" s="32">
        <f>+D910</f>
        <v>286000</v>
      </c>
      <c r="F933" s="32"/>
      <c r="G933" s="32"/>
      <c r="H933" s="55">
        <f>+F910</f>
        <v>70000</v>
      </c>
      <c r="I933" s="32">
        <f>+E910</f>
        <v>226875</v>
      </c>
      <c r="J933" s="101">
        <f t="shared" si="540"/>
        <v>-3675</v>
      </c>
      <c r="K933" s="144" t="b">
        <f>J933=I910</f>
        <v>1</v>
      </c>
      <c r="L933" s="5"/>
      <c r="M933" s="5"/>
      <c r="N933" s="5"/>
      <c r="O933" s="5"/>
    </row>
    <row r="934" spans="1:15" x14ac:dyDescent="0.3">
      <c r="A934" s="122" t="str">
        <f t="shared" ref="A934:A942" si="541">+A933</f>
        <v>NOVEMBRE</v>
      </c>
      <c r="B934" s="128" t="s">
        <v>31</v>
      </c>
      <c r="C934" s="32">
        <f>+C911</f>
        <v>10095</v>
      </c>
      <c r="D934" s="119"/>
      <c r="E934" s="32">
        <f>+D911</f>
        <v>70500</v>
      </c>
      <c r="F934" s="51"/>
      <c r="G934" s="51"/>
      <c r="H934" s="55">
        <f>+F911</f>
        <v>0</v>
      </c>
      <c r="I934" s="32">
        <f>+E911</f>
        <v>73000</v>
      </c>
      <c r="J934" s="124">
        <f>+SUM(C934:G934)-(H934+I934)</f>
        <v>7595</v>
      </c>
      <c r="K934" s="144" t="b">
        <f t="shared" ref="K934:K942" si="542">J934=I911</f>
        <v>1</v>
      </c>
      <c r="L934" s="5"/>
      <c r="M934" s="5"/>
      <c r="N934" s="5"/>
      <c r="O934" s="5"/>
    </row>
    <row r="935" spans="1:15" x14ac:dyDescent="0.3">
      <c r="A935" s="122" t="str">
        <f t="shared" si="541"/>
        <v>NOVEMBRE</v>
      </c>
      <c r="B935" s="129" t="s">
        <v>84</v>
      </c>
      <c r="C935" s="120">
        <f>+C912</f>
        <v>233614</v>
      </c>
      <c r="D935" s="123"/>
      <c r="E935" s="120">
        <f>+D912</f>
        <v>0</v>
      </c>
      <c r="F935" s="137"/>
      <c r="G935" s="137"/>
      <c r="H935" s="155">
        <f>+F912</f>
        <v>0</v>
      </c>
      <c r="I935" s="120">
        <f>+E912</f>
        <v>0</v>
      </c>
      <c r="J935" s="121">
        <f>+SUM(C935:G935)-(H935+I935)</f>
        <v>233614</v>
      </c>
      <c r="K935" s="144" t="b">
        <f t="shared" si="542"/>
        <v>1</v>
      </c>
      <c r="L935" s="5"/>
      <c r="M935" s="5"/>
      <c r="N935" s="5"/>
      <c r="O935" s="5"/>
    </row>
    <row r="936" spans="1:15" x14ac:dyDescent="0.3">
      <c r="A936" s="122" t="str">
        <f t="shared" si="541"/>
        <v>NOVEMBRE</v>
      </c>
      <c r="B936" s="129" t="s">
        <v>83</v>
      </c>
      <c r="C936" s="120">
        <f>+C913</f>
        <v>249769</v>
      </c>
      <c r="D936" s="123"/>
      <c r="E936" s="120">
        <f>+D913</f>
        <v>0</v>
      </c>
      <c r="F936" s="137"/>
      <c r="G936" s="137"/>
      <c r="H936" s="155">
        <f>+F913</f>
        <v>0</v>
      </c>
      <c r="I936" s="120">
        <f>+E913</f>
        <v>0</v>
      </c>
      <c r="J936" s="121">
        <f t="shared" ref="J936:J942" si="543">+SUM(C936:G936)-(H936+I936)</f>
        <v>249769</v>
      </c>
      <c r="K936" s="144" t="b">
        <f t="shared" si="542"/>
        <v>1</v>
      </c>
      <c r="L936" s="5"/>
      <c r="M936" s="5"/>
      <c r="N936" s="5"/>
      <c r="O936" s="5"/>
    </row>
    <row r="937" spans="1:15" x14ac:dyDescent="0.3">
      <c r="A937" s="122" t="str">
        <f t="shared" si="541"/>
        <v>NOVEMBRE</v>
      </c>
      <c r="B937" s="127" t="s">
        <v>144</v>
      </c>
      <c r="C937" s="32">
        <f>+C914</f>
        <v>3550</v>
      </c>
      <c r="D937" s="31"/>
      <c r="E937" s="32">
        <f>+D914</f>
        <v>43000</v>
      </c>
      <c r="F937" s="32"/>
      <c r="G937" s="104"/>
      <c r="H937" s="55">
        <f>+F914</f>
        <v>0</v>
      </c>
      <c r="I937" s="32">
        <f>+E914</f>
        <v>52550</v>
      </c>
      <c r="J937" s="30">
        <f t="shared" si="543"/>
        <v>-6000</v>
      </c>
      <c r="K937" s="144" t="b">
        <f t="shared" si="542"/>
        <v>1</v>
      </c>
      <c r="L937" s="5"/>
      <c r="M937" s="5"/>
      <c r="N937" s="5"/>
      <c r="O937" s="5"/>
    </row>
    <row r="938" spans="1:15" x14ac:dyDescent="0.3">
      <c r="A938" s="122" t="str">
        <f t="shared" si="541"/>
        <v>NOVEMBRE</v>
      </c>
      <c r="B938" s="127" t="s">
        <v>143</v>
      </c>
      <c r="C938" s="32">
        <f t="shared" ref="C938:C942" si="544">+C915</f>
        <v>61300</v>
      </c>
      <c r="D938" s="31"/>
      <c r="E938" s="32">
        <f t="shared" ref="E938:E942" si="545">+D915</f>
        <v>53000</v>
      </c>
      <c r="F938" s="32"/>
      <c r="G938" s="104"/>
      <c r="H938" s="55">
        <f t="shared" ref="H938:H942" si="546">+F915</f>
        <v>20000</v>
      </c>
      <c r="I938" s="32">
        <f t="shared" ref="I938:I942" si="547">+E915</f>
        <v>45900</v>
      </c>
      <c r="J938" s="30">
        <f t="shared" si="543"/>
        <v>48400</v>
      </c>
      <c r="K938" s="144" t="b">
        <f t="shared" si="542"/>
        <v>1</v>
      </c>
      <c r="L938" s="5"/>
      <c r="M938" s="5"/>
      <c r="N938" s="5"/>
      <c r="O938" s="5"/>
    </row>
    <row r="939" spans="1:15" x14ac:dyDescent="0.3">
      <c r="A939" s="122" t="str">
        <f t="shared" si="541"/>
        <v>NOVEMBRE</v>
      </c>
      <c r="B939" s="127" t="s">
        <v>30</v>
      </c>
      <c r="C939" s="32">
        <f t="shared" si="544"/>
        <v>10800</v>
      </c>
      <c r="D939" s="31"/>
      <c r="E939" s="32">
        <f t="shared" si="545"/>
        <v>488000</v>
      </c>
      <c r="F939" s="32"/>
      <c r="G939" s="104"/>
      <c r="H939" s="55">
        <f t="shared" si="546"/>
        <v>0</v>
      </c>
      <c r="I939" s="32">
        <f t="shared" si="547"/>
        <v>492000</v>
      </c>
      <c r="J939" s="30">
        <f t="shared" si="543"/>
        <v>6800</v>
      </c>
      <c r="K939" s="144" t="b">
        <f t="shared" si="542"/>
        <v>1</v>
      </c>
      <c r="L939" s="5"/>
      <c r="M939" s="5"/>
      <c r="N939" s="5"/>
      <c r="O939" s="5"/>
    </row>
    <row r="940" spans="1:15" x14ac:dyDescent="0.3">
      <c r="A940" s="122" t="str">
        <f>+A938</f>
        <v>NOVEMBRE</v>
      </c>
      <c r="B940" s="127" t="s">
        <v>93</v>
      </c>
      <c r="C940" s="32">
        <f t="shared" si="544"/>
        <v>9500</v>
      </c>
      <c r="D940" s="31"/>
      <c r="E940" s="32">
        <f t="shared" si="545"/>
        <v>20000</v>
      </c>
      <c r="F940" s="32"/>
      <c r="G940" s="104"/>
      <c r="H940" s="55">
        <f t="shared" si="546"/>
        <v>0</v>
      </c>
      <c r="I940" s="32">
        <f t="shared" si="547"/>
        <v>24000</v>
      </c>
      <c r="J940" s="30">
        <f t="shared" si="543"/>
        <v>5500</v>
      </c>
      <c r="K940" s="144" t="b">
        <f t="shared" si="542"/>
        <v>1</v>
      </c>
      <c r="L940" s="5"/>
      <c r="M940" s="5"/>
      <c r="N940" s="5"/>
      <c r="O940" s="5"/>
    </row>
    <row r="941" spans="1:15" x14ac:dyDescent="0.3">
      <c r="A941" s="122" t="str">
        <f>+A939</f>
        <v>NOVEMBRE</v>
      </c>
      <c r="B941" s="127" t="s">
        <v>29</v>
      </c>
      <c r="C941" s="32">
        <f t="shared" si="544"/>
        <v>21200</v>
      </c>
      <c r="D941" s="31"/>
      <c r="E941" s="32">
        <f t="shared" si="545"/>
        <v>543000</v>
      </c>
      <c r="F941" s="32"/>
      <c r="G941" s="104"/>
      <c r="H941" s="55">
        <f t="shared" si="546"/>
        <v>0</v>
      </c>
      <c r="I941" s="32">
        <f t="shared" si="547"/>
        <v>533500</v>
      </c>
      <c r="J941" s="30">
        <f t="shared" si="543"/>
        <v>30700</v>
      </c>
      <c r="K941" s="144" t="b">
        <f t="shared" si="542"/>
        <v>1</v>
      </c>
      <c r="L941" s="5"/>
      <c r="M941" s="5"/>
      <c r="N941" s="5"/>
      <c r="O941" s="5"/>
    </row>
    <row r="942" spans="1:15" x14ac:dyDescent="0.3">
      <c r="A942" s="122" t="str">
        <f t="shared" si="541"/>
        <v>NOVEMBRE</v>
      </c>
      <c r="B942" s="128" t="s">
        <v>113</v>
      </c>
      <c r="C942" s="32">
        <f t="shared" si="544"/>
        <v>26193</v>
      </c>
      <c r="D942" s="119"/>
      <c r="E942" s="32">
        <f t="shared" si="545"/>
        <v>36000</v>
      </c>
      <c r="F942" s="51"/>
      <c r="G942" s="138"/>
      <c r="H942" s="55">
        <f t="shared" si="546"/>
        <v>0</v>
      </c>
      <c r="I942" s="32">
        <f t="shared" si="547"/>
        <v>53000</v>
      </c>
      <c r="J942" s="30">
        <f t="shared" si="543"/>
        <v>9193</v>
      </c>
      <c r="K942" s="144" t="b">
        <f t="shared" si="542"/>
        <v>1</v>
      </c>
      <c r="L942" s="5"/>
      <c r="M942" s="5"/>
      <c r="N942" s="5"/>
      <c r="O942" s="5"/>
    </row>
    <row r="943" spans="1:15" x14ac:dyDescent="0.3">
      <c r="A943" s="34" t="s">
        <v>60</v>
      </c>
      <c r="B943" s="35"/>
      <c r="C943" s="35"/>
      <c r="D943" s="35"/>
      <c r="E943" s="35"/>
      <c r="F943" s="35"/>
      <c r="G943" s="35"/>
      <c r="H943" s="35"/>
      <c r="I943" s="35"/>
      <c r="J943" s="36"/>
      <c r="K943" s="143"/>
      <c r="L943" s="5"/>
      <c r="M943" s="5"/>
      <c r="N943" s="5"/>
      <c r="O943" s="5"/>
    </row>
    <row r="944" spans="1:15" x14ac:dyDescent="0.3">
      <c r="A944" s="122" t="str">
        <f>+A942</f>
        <v>NOVEMBRE</v>
      </c>
      <c r="B944" s="37" t="s">
        <v>61</v>
      </c>
      <c r="C944" s="38">
        <f>+C909</f>
        <v>1685107</v>
      </c>
      <c r="D944" s="49"/>
      <c r="E944" s="49">
        <f>D909</f>
        <v>4090000</v>
      </c>
      <c r="F944" s="49"/>
      <c r="G944" s="125"/>
      <c r="H944" s="51">
        <f>+F909</f>
        <v>1994500</v>
      </c>
      <c r="I944" s="126">
        <f>+E909</f>
        <v>2854238</v>
      </c>
      <c r="J944" s="30">
        <f>+SUM(C944:G944)-(H944+I944)</f>
        <v>926369</v>
      </c>
      <c r="K944" s="144" t="b">
        <f>J944=I909</f>
        <v>1</v>
      </c>
      <c r="L944" s="5"/>
      <c r="M944" s="5"/>
      <c r="N944" s="5"/>
      <c r="O944" s="5"/>
    </row>
    <row r="945" spans="1:15" x14ac:dyDescent="0.3">
      <c r="A945" s="43" t="s">
        <v>62</v>
      </c>
      <c r="B945" s="24"/>
      <c r="C945" s="35"/>
      <c r="D945" s="24"/>
      <c r="E945" s="24"/>
      <c r="F945" s="24"/>
      <c r="G945" s="24"/>
      <c r="H945" s="24"/>
      <c r="I945" s="24"/>
      <c r="J945" s="36"/>
      <c r="K945" s="143"/>
      <c r="L945" s="5"/>
      <c r="M945" s="5"/>
      <c r="N945" s="5"/>
      <c r="O945" s="5"/>
    </row>
    <row r="946" spans="1:15" x14ac:dyDescent="0.3">
      <c r="A946" s="122" t="str">
        <f>+A944</f>
        <v>NOVEMBRE</v>
      </c>
      <c r="B946" s="37" t="s">
        <v>156</v>
      </c>
      <c r="C946" s="125">
        <f>+C907</f>
        <v>6762063</v>
      </c>
      <c r="D946" s="132">
        <f>+G907</f>
        <v>0</v>
      </c>
      <c r="E946" s="49"/>
      <c r="F946" s="49"/>
      <c r="G946" s="49"/>
      <c r="H946" s="51">
        <f>+F907</f>
        <v>1000000</v>
      </c>
      <c r="I946" s="53">
        <f>+E907</f>
        <v>23345</v>
      </c>
      <c r="J946" s="30">
        <f>+SUM(C946:G946)-(H946+I946)</f>
        <v>5738718</v>
      </c>
      <c r="K946" s="144" t="b">
        <f>+J946=I907</f>
        <v>1</v>
      </c>
      <c r="L946" s="5"/>
      <c r="M946" s="5"/>
      <c r="N946" s="5"/>
      <c r="O946" s="5"/>
    </row>
    <row r="947" spans="1:15" x14ac:dyDescent="0.3">
      <c r="A947" s="122" t="str">
        <f t="shared" ref="A947" si="548">+A946</f>
        <v>NOVEMBRE</v>
      </c>
      <c r="B947" s="37" t="s">
        <v>64</v>
      </c>
      <c r="C947" s="125">
        <f>+C908</f>
        <v>23107840</v>
      </c>
      <c r="D947" s="49">
        <f>+G908</f>
        <v>0</v>
      </c>
      <c r="E947" s="48"/>
      <c r="F947" s="48"/>
      <c r="G947" s="48"/>
      <c r="H947" s="32">
        <f>+F908</f>
        <v>3000000</v>
      </c>
      <c r="I947" s="50">
        <f>+E908</f>
        <v>4020633</v>
      </c>
      <c r="J947" s="30">
        <f>SUM(C947:G947)-(H947+I947)</f>
        <v>16087207</v>
      </c>
      <c r="K947" s="144" t="b">
        <f>+J947=I908</f>
        <v>1</v>
      </c>
      <c r="L947" s="5"/>
      <c r="M947" s="5"/>
      <c r="N947" s="5"/>
      <c r="O947" s="5"/>
    </row>
    <row r="948" spans="1:15" ht="15.6" x14ac:dyDescent="0.3">
      <c r="C948" s="141">
        <f>SUM(C932:C947)</f>
        <v>32188231</v>
      </c>
      <c r="I948" s="140">
        <f>SUM(I932:I947)</f>
        <v>8513041</v>
      </c>
      <c r="J948" s="105">
        <f>+SUM(J931:J947)</f>
        <v>23367297</v>
      </c>
      <c r="K948" s="5" t="b">
        <f>J948=I920</f>
        <v>1</v>
      </c>
      <c r="L948" s="5"/>
      <c r="M948" s="5"/>
      <c r="N948" s="5"/>
      <c r="O948" s="5"/>
    </row>
    <row r="949" spans="1:15" x14ac:dyDescent="0.3">
      <c r="G949" s="9"/>
      <c r="L949" s="5"/>
      <c r="M949" s="5"/>
      <c r="N949" s="5"/>
      <c r="O949" s="5"/>
    </row>
    <row r="950" spans="1:15" x14ac:dyDescent="0.3">
      <c r="A950" s="16" t="s">
        <v>52</v>
      </c>
      <c r="B950" s="16"/>
      <c r="C950" s="16"/>
      <c r="D950" s="17"/>
      <c r="E950" s="17"/>
      <c r="F950" s="17"/>
      <c r="G950" s="17"/>
      <c r="H950" s="17"/>
      <c r="I950" s="17"/>
      <c r="L950" s="5"/>
      <c r="M950" s="5"/>
      <c r="N950" s="5"/>
      <c r="O950" s="5"/>
    </row>
    <row r="951" spans="1:15" x14ac:dyDescent="0.3">
      <c r="A951" s="18" t="s">
        <v>152</v>
      </c>
      <c r="B951" s="18"/>
      <c r="C951" s="18"/>
      <c r="D951" s="18"/>
      <c r="E951" s="18"/>
      <c r="F951" s="18"/>
      <c r="G951" s="18"/>
      <c r="H951" s="18"/>
      <c r="I951" s="18"/>
      <c r="J951" s="18"/>
      <c r="L951" s="5"/>
      <c r="M951" s="5"/>
      <c r="N951" s="5"/>
      <c r="O951" s="5"/>
    </row>
    <row r="952" spans="1:15" x14ac:dyDescent="0.3">
      <c r="A952" s="19"/>
      <c r="B952" s="17"/>
      <c r="C952" s="20"/>
      <c r="D952" s="20"/>
      <c r="E952" s="20"/>
      <c r="F952" s="20"/>
      <c r="G952" s="20"/>
      <c r="H952" s="17"/>
      <c r="I952" s="17"/>
      <c r="L952" s="5"/>
      <c r="M952" s="5"/>
      <c r="N952" s="5"/>
      <c r="O952" s="5"/>
    </row>
    <row r="953" spans="1:15" x14ac:dyDescent="0.3">
      <c r="A953" s="360" t="s">
        <v>53</v>
      </c>
      <c r="B953" s="362" t="s">
        <v>54</v>
      </c>
      <c r="C953" s="364" t="s">
        <v>149</v>
      </c>
      <c r="D953" s="366" t="s">
        <v>55</v>
      </c>
      <c r="E953" s="367"/>
      <c r="F953" s="367"/>
      <c r="G953" s="368"/>
      <c r="H953" s="369" t="s">
        <v>56</v>
      </c>
      <c r="I953" s="371" t="s">
        <v>57</v>
      </c>
      <c r="J953" s="17"/>
      <c r="L953" s="5"/>
      <c r="M953" s="5"/>
      <c r="N953" s="5"/>
      <c r="O953" s="5"/>
    </row>
    <row r="954" spans="1:15" x14ac:dyDescent="0.3">
      <c r="A954" s="361"/>
      <c r="B954" s="363"/>
      <c r="C954" s="365"/>
      <c r="D954" s="21" t="s">
        <v>24</v>
      </c>
      <c r="E954" s="21" t="s">
        <v>25</v>
      </c>
      <c r="F954" s="22" t="s">
        <v>123</v>
      </c>
      <c r="G954" s="21" t="s">
        <v>58</v>
      </c>
      <c r="H954" s="370"/>
      <c r="I954" s="372"/>
      <c r="J954" s="373" t="s">
        <v>150</v>
      </c>
      <c r="K954" s="143"/>
      <c r="L954" s="5"/>
      <c r="M954" s="5"/>
      <c r="N954" s="5"/>
      <c r="O954" s="5"/>
    </row>
    <row r="955" spans="1:15" x14ac:dyDescent="0.3">
      <c r="A955" s="23"/>
      <c r="B955" s="24" t="s">
        <v>59</v>
      </c>
      <c r="C955" s="25"/>
      <c r="D955" s="25"/>
      <c r="E955" s="25"/>
      <c r="F955" s="25"/>
      <c r="G955" s="25"/>
      <c r="H955" s="25"/>
      <c r="I955" s="26"/>
      <c r="J955" s="374"/>
      <c r="K955" s="143"/>
      <c r="L955" s="5"/>
      <c r="M955" s="5"/>
      <c r="N955" s="5"/>
      <c r="O955" s="5"/>
    </row>
    <row r="956" spans="1:15" x14ac:dyDescent="0.3">
      <c r="A956" s="122" t="s">
        <v>90</v>
      </c>
      <c r="B956" s="127" t="s">
        <v>153</v>
      </c>
      <c r="C956" s="32">
        <f>+C905</f>
        <v>6757</v>
      </c>
      <c r="D956" s="31"/>
      <c r="E956" s="32">
        <f>+D905</f>
        <v>337000</v>
      </c>
      <c r="F956" s="32"/>
      <c r="G956" s="32"/>
      <c r="H956" s="55">
        <f>+F905</f>
        <v>0</v>
      </c>
      <c r="I956" s="32">
        <f>+E905</f>
        <v>314650</v>
      </c>
      <c r="J956" s="30">
        <f>+SUM(C956:G956)-(H956+I956)</f>
        <v>29107</v>
      </c>
      <c r="K956" s="144" t="b">
        <f>J956=I905</f>
        <v>1</v>
      </c>
      <c r="L956" s="5"/>
      <c r="M956" s="5"/>
      <c r="N956" s="5"/>
      <c r="O956" s="5"/>
    </row>
    <row r="957" spans="1:15" x14ac:dyDescent="0.3">
      <c r="A957" s="122" t="s">
        <v>90</v>
      </c>
      <c r="B957" s="127" t="s">
        <v>47</v>
      </c>
      <c r="C957" s="32">
        <f t="shared" ref="C957:C966" si="549">C909</f>
        <v>1685107</v>
      </c>
      <c r="D957" s="31"/>
      <c r="E957" s="32">
        <f>+D909</f>
        <v>4090000</v>
      </c>
      <c r="F957" s="32"/>
      <c r="G957" s="32"/>
      <c r="H957" s="55">
        <f t="shared" ref="H957:H966" si="550">+F909</f>
        <v>1994500</v>
      </c>
      <c r="I957" s="32">
        <f t="shared" ref="I957:I966" si="551">+E909</f>
        <v>2854238</v>
      </c>
      <c r="J957" s="30">
        <f t="shared" ref="J957:J958" si="552">+SUM(C957:G957)-(H957+I957)</f>
        <v>926369</v>
      </c>
      <c r="K957" s="144" t="b">
        <f t="shared" ref="K957:K967" si="553">J957=I909</f>
        <v>1</v>
      </c>
      <c r="L957" s="5"/>
      <c r="M957" s="5"/>
      <c r="N957" s="5"/>
      <c r="O957" s="5"/>
    </row>
    <row r="958" spans="1:15" x14ac:dyDescent="0.3">
      <c r="A958" s="122" t="str">
        <f>+A957</f>
        <v>OCTOBRE</v>
      </c>
      <c r="B958" s="127" t="s">
        <v>31</v>
      </c>
      <c r="C958" s="32">
        <f t="shared" si="549"/>
        <v>7200</v>
      </c>
      <c r="D958" s="31"/>
      <c r="E958" s="32">
        <f>+D910</f>
        <v>286000</v>
      </c>
      <c r="F958" s="32"/>
      <c r="G958" s="32"/>
      <c r="H958" s="55">
        <f t="shared" si="550"/>
        <v>70000</v>
      </c>
      <c r="I958" s="32">
        <f t="shared" si="551"/>
        <v>226875</v>
      </c>
      <c r="J958" s="101">
        <f t="shared" si="552"/>
        <v>-3675</v>
      </c>
      <c r="K958" s="144" t="b">
        <f t="shared" si="553"/>
        <v>1</v>
      </c>
      <c r="L958" s="5"/>
      <c r="M958" s="5"/>
      <c r="N958" s="5"/>
      <c r="O958" s="5"/>
    </row>
    <row r="959" spans="1:15" x14ac:dyDescent="0.3">
      <c r="A959" s="122" t="str">
        <f t="shared" ref="A959:A967" si="554">+A958</f>
        <v>OCTOBRE</v>
      </c>
      <c r="B959" s="128" t="s">
        <v>144</v>
      </c>
      <c r="C959" s="32">
        <f t="shared" si="549"/>
        <v>10095</v>
      </c>
      <c r="D959" s="119"/>
      <c r="E959" s="32">
        <f>D911</f>
        <v>70500</v>
      </c>
      <c r="F959" s="51"/>
      <c r="G959" s="51"/>
      <c r="H959" s="55">
        <f t="shared" si="550"/>
        <v>0</v>
      </c>
      <c r="I959" s="32">
        <f t="shared" si="551"/>
        <v>73000</v>
      </c>
      <c r="J959" s="124">
        <f>+SUM(C959:G959)-(H959+I959)</f>
        <v>7595</v>
      </c>
      <c r="K959" s="144" t="b">
        <f t="shared" si="553"/>
        <v>1</v>
      </c>
      <c r="L959" s="5"/>
      <c r="M959" s="5"/>
      <c r="N959" s="5"/>
      <c r="O959" s="5"/>
    </row>
    <row r="960" spans="1:15" x14ac:dyDescent="0.3">
      <c r="A960" s="122" t="str">
        <f t="shared" si="554"/>
        <v>OCTOBRE</v>
      </c>
      <c r="B960" s="129" t="s">
        <v>84</v>
      </c>
      <c r="C960" s="120">
        <f t="shared" si="549"/>
        <v>233614</v>
      </c>
      <c r="D960" s="123"/>
      <c r="E960" s="120">
        <f t="shared" ref="E960:E964" si="555">+D912</f>
        <v>0</v>
      </c>
      <c r="F960" s="137"/>
      <c r="G960" s="137"/>
      <c r="H960" s="155">
        <f t="shared" si="550"/>
        <v>0</v>
      </c>
      <c r="I960" s="120">
        <f t="shared" si="551"/>
        <v>0</v>
      </c>
      <c r="J960" s="121">
        <f>+SUM(C960:G960)-(H960+I960)</f>
        <v>233614</v>
      </c>
      <c r="K960" s="144" t="b">
        <f t="shared" si="553"/>
        <v>1</v>
      </c>
      <c r="L960" s="5"/>
      <c r="M960" s="5"/>
      <c r="N960" s="5"/>
      <c r="O960" s="5"/>
    </row>
    <row r="961" spans="1:15" x14ac:dyDescent="0.3">
      <c r="A961" s="122" t="str">
        <f t="shared" si="554"/>
        <v>OCTOBRE</v>
      </c>
      <c r="B961" s="129" t="s">
        <v>83</v>
      </c>
      <c r="C961" s="120">
        <f t="shared" si="549"/>
        <v>249769</v>
      </c>
      <c r="D961" s="123"/>
      <c r="E961" s="120">
        <f t="shared" si="555"/>
        <v>0</v>
      </c>
      <c r="F961" s="137"/>
      <c r="G961" s="137"/>
      <c r="H961" s="155">
        <f t="shared" si="550"/>
        <v>0</v>
      </c>
      <c r="I961" s="120">
        <f t="shared" si="551"/>
        <v>0</v>
      </c>
      <c r="J961" s="121">
        <f t="shared" ref="J961:J967" si="556">+SUM(C961:G961)-(H961+I961)</f>
        <v>249769</v>
      </c>
      <c r="K961" s="144" t="b">
        <f t="shared" si="553"/>
        <v>1</v>
      </c>
      <c r="L961" s="5"/>
      <c r="M961" s="5"/>
      <c r="N961" s="5"/>
      <c r="O961" s="5"/>
    </row>
    <row r="962" spans="1:15" x14ac:dyDescent="0.3">
      <c r="A962" s="122" t="str">
        <f t="shared" si="554"/>
        <v>OCTOBRE</v>
      </c>
      <c r="B962" s="127" t="s">
        <v>143</v>
      </c>
      <c r="C962" s="32">
        <f t="shared" si="549"/>
        <v>3550</v>
      </c>
      <c r="D962" s="31"/>
      <c r="E962" s="32">
        <f t="shared" si="555"/>
        <v>43000</v>
      </c>
      <c r="F962" s="32"/>
      <c r="G962" s="104"/>
      <c r="H962" s="55">
        <f t="shared" si="550"/>
        <v>0</v>
      </c>
      <c r="I962" s="32">
        <f t="shared" si="551"/>
        <v>52550</v>
      </c>
      <c r="J962" s="30">
        <f t="shared" si="556"/>
        <v>-6000</v>
      </c>
      <c r="K962" s="144" t="b">
        <f t="shared" si="553"/>
        <v>1</v>
      </c>
      <c r="L962" s="5"/>
      <c r="M962" s="5"/>
      <c r="N962" s="5"/>
      <c r="O962" s="5"/>
    </row>
    <row r="963" spans="1:15" x14ac:dyDescent="0.3">
      <c r="A963" s="122" t="str">
        <f t="shared" si="554"/>
        <v>OCTOBRE</v>
      </c>
      <c r="B963" s="127" t="s">
        <v>30</v>
      </c>
      <c r="C963" s="32">
        <f t="shared" si="549"/>
        <v>61300</v>
      </c>
      <c r="D963" s="31"/>
      <c r="E963" s="32">
        <f t="shared" si="555"/>
        <v>53000</v>
      </c>
      <c r="F963" s="32"/>
      <c r="G963" s="104"/>
      <c r="H963" s="55">
        <f t="shared" si="550"/>
        <v>20000</v>
      </c>
      <c r="I963" s="32">
        <f t="shared" si="551"/>
        <v>45900</v>
      </c>
      <c r="J963" s="30">
        <f t="shared" si="556"/>
        <v>48400</v>
      </c>
      <c r="K963" s="144" t="b">
        <f t="shared" si="553"/>
        <v>1</v>
      </c>
      <c r="L963" s="5"/>
      <c r="M963" s="5"/>
      <c r="N963" s="5"/>
      <c r="O963" s="5"/>
    </row>
    <row r="964" spans="1:15" x14ac:dyDescent="0.3">
      <c r="A964" s="122" t="str">
        <f t="shared" si="554"/>
        <v>OCTOBRE</v>
      </c>
      <c r="B964" s="127" t="s">
        <v>93</v>
      </c>
      <c r="C964" s="32">
        <f t="shared" si="549"/>
        <v>10800</v>
      </c>
      <c r="D964" s="31"/>
      <c r="E964" s="32">
        <f t="shared" si="555"/>
        <v>488000</v>
      </c>
      <c r="F964" s="32"/>
      <c r="G964" s="104"/>
      <c r="H964" s="55">
        <f t="shared" si="550"/>
        <v>0</v>
      </c>
      <c r="I964" s="32">
        <f t="shared" si="551"/>
        <v>492000</v>
      </c>
      <c r="J964" s="30">
        <f t="shared" si="556"/>
        <v>6800</v>
      </c>
      <c r="K964" s="144" t="b">
        <f t="shared" si="553"/>
        <v>1</v>
      </c>
      <c r="L964" s="5"/>
      <c r="M964" s="5"/>
      <c r="N964" s="5"/>
      <c r="O964" s="5"/>
    </row>
    <row r="965" spans="1:15" x14ac:dyDescent="0.3">
      <c r="A965" s="122" t="str">
        <f>+A963</f>
        <v>OCTOBRE</v>
      </c>
      <c r="B965" s="127" t="s">
        <v>29</v>
      </c>
      <c r="C965" s="32">
        <f t="shared" si="549"/>
        <v>9500</v>
      </c>
      <c r="D965" s="31"/>
      <c r="E965" s="32">
        <f>+D917</f>
        <v>20000</v>
      </c>
      <c r="F965" s="32"/>
      <c r="G965" s="104"/>
      <c r="H965" s="55">
        <f t="shared" si="550"/>
        <v>0</v>
      </c>
      <c r="I965" s="32">
        <f t="shared" si="551"/>
        <v>24000</v>
      </c>
      <c r="J965" s="30">
        <f t="shared" ref="J965" si="557">+SUM(C965:G965)-(H965+I965)</f>
        <v>5500</v>
      </c>
      <c r="K965" s="144" t="b">
        <f t="shared" si="553"/>
        <v>1</v>
      </c>
      <c r="L965" s="5"/>
      <c r="M965" s="5"/>
      <c r="N965" s="5"/>
      <c r="O965" s="5"/>
    </row>
    <row r="966" spans="1:15" x14ac:dyDescent="0.3">
      <c r="A966" s="122" t="str">
        <f>+A964</f>
        <v>OCTOBRE</v>
      </c>
      <c r="B966" s="127" t="s">
        <v>147</v>
      </c>
      <c r="C966" s="32">
        <f t="shared" si="549"/>
        <v>21200</v>
      </c>
      <c r="D966" s="31"/>
      <c r="E966" s="32">
        <f>+D918</f>
        <v>543000</v>
      </c>
      <c r="F966" s="32"/>
      <c r="G966" s="104"/>
      <c r="H966" s="55">
        <f t="shared" si="550"/>
        <v>0</v>
      </c>
      <c r="I966" s="32">
        <f t="shared" si="551"/>
        <v>533500</v>
      </c>
      <c r="J966" s="30">
        <f t="shared" si="556"/>
        <v>30700</v>
      </c>
      <c r="K966" s="144" t="b">
        <f t="shared" si="553"/>
        <v>1</v>
      </c>
      <c r="L966" s="5"/>
      <c r="M966" s="5"/>
      <c r="N966" s="5"/>
      <c r="O966" s="5"/>
    </row>
    <row r="967" spans="1:15" x14ac:dyDescent="0.3">
      <c r="A967" s="122" t="str">
        <f t="shared" si="554"/>
        <v>OCTOBRE</v>
      </c>
      <c r="B967" s="128" t="s">
        <v>113</v>
      </c>
      <c r="C967" s="32">
        <f t="shared" ref="C967" si="558">C919</f>
        <v>26193</v>
      </c>
      <c r="D967" s="119"/>
      <c r="E967" s="32">
        <f t="shared" ref="E967" si="559">+D919</f>
        <v>36000</v>
      </c>
      <c r="F967" s="51"/>
      <c r="G967" s="138"/>
      <c r="H967" s="55">
        <f t="shared" ref="H967" si="560">+F919</f>
        <v>0</v>
      </c>
      <c r="I967" s="32">
        <f t="shared" ref="I967" si="561">+E919</f>
        <v>53000</v>
      </c>
      <c r="J967" s="30">
        <f t="shared" si="556"/>
        <v>9193</v>
      </c>
      <c r="K967" s="144" t="b">
        <f t="shared" si="553"/>
        <v>1</v>
      </c>
      <c r="L967" s="5"/>
      <c r="M967" s="5"/>
      <c r="N967" s="5"/>
      <c r="O967" s="5"/>
    </row>
    <row r="968" spans="1:15" x14ac:dyDescent="0.3">
      <c r="A968" s="34" t="s">
        <v>60</v>
      </c>
      <c r="B968" s="35"/>
      <c r="C968" s="35"/>
      <c r="D968" s="35"/>
      <c r="E968" s="35"/>
      <c r="F968" s="35"/>
      <c r="G968" s="35"/>
      <c r="H968" s="35"/>
      <c r="I968" s="35"/>
      <c r="J968" s="36"/>
      <c r="K968" s="143"/>
      <c r="L968" s="5"/>
      <c r="M968" s="5"/>
      <c r="N968" s="5"/>
      <c r="O968" s="5"/>
    </row>
    <row r="969" spans="1:15" x14ac:dyDescent="0.3">
      <c r="A969" s="122" t="str">
        <f>+A967</f>
        <v>OCTOBRE</v>
      </c>
      <c r="B969" s="37" t="s">
        <v>61</v>
      </c>
      <c r="C969" s="38">
        <f>C908</f>
        <v>23107840</v>
      </c>
      <c r="D969" s="49"/>
      <c r="E969" s="49">
        <f>D908</f>
        <v>0</v>
      </c>
      <c r="F969" s="49"/>
      <c r="G969" s="125"/>
      <c r="H969" s="51">
        <f>+F908</f>
        <v>3000000</v>
      </c>
      <c r="I969" s="126">
        <f>+E908</f>
        <v>4020633</v>
      </c>
      <c r="J969" s="30">
        <f>+SUM(C969:G969)-(H969+I969)</f>
        <v>16087207</v>
      </c>
      <c r="K969" s="144" t="b">
        <f>J969=I908</f>
        <v>1</v>
      </c>
      <c r="L969" s="5"/>
      <c r="M969" s="5"/>
      <c r="N969" s="5"/>
      <c r="O969" s="5"/>
    </row>
    <row r="970" spans="1:15" x14ac:dyDescent="0.3">
      <c r="A970" s="43" t="s">
        <v>62</v>
      </c>
      <c r="B970" s="24"/>
      <c r="C970" s="35"/>
      <c r="D970" s="24"/>
      <c r="E970" s="24"/>
      <c r="F970" s="24"/>
      <c r="G970" s="24"/>
      <c r="H970" s="24"/>
      <c r="I970" s="24"/>
      <c r="J970" s="36"/>
      <c r="K970" s="143"/>
      <c r="L970" s="5"/>
      <c r="M970" s="5"/>
      <c r="N970" s="5"/>
      <c r="O970" s="5"/>
    </row>
    <row r="971" spans="1:15" x14ac:dyDescent="0.3">
      <c r="A971" s="122" t="str">
        <f>+A969</f>
        <v>OCTOBRE</v>
      </c>
      <c r="B971" s="37" t="s">
        <v>156</v>
      </c>
      <c r="C971" s="125">
        <f>C906</f>
        <v>0</v>
      </c>
      <c r="D971" s="132">
        <f>G906</f>
        <v>0</v>
      </c>
      <c r="E971" s="49"/>
      <c r="F971" s="49"/>
      <c r="G971" s="49"/>
      <c r="H971" s="51">
        <f>+F906</f>
        <v>0</v>
      </c>
      <c r="I971" s="53">
        <f>+E906</f>
        <v>114000</v>
      </c>
      <c r="J971" s="30">
        <f>+SUM(C971:G971)-(H971+I971)</f>
        <v>-114000</v>
      </c>
      <c r="K971" s="144" t="b">
        <f>+J971=I906</f>
        <v>0</v>
      </c>
      <c r="L971" s="5"/>
      <c r="M971" s="5"/>
      <c r="N971" s="5"/>
      <c r="O971" s="5"/>
    </row>
    <row r="972" spans="1:15" x14ac:dyDescent="0.3">
      <c r="A972" s="122" t="str">
        <f t="shared" ref="A972" si="562">+A971</f>
        <v>OCTOBRE</v>
      </c>
      <c r="B972" s="37" t="s">
        <v>64</v>
      </c>
      <c r="C972" s="125">
        <f>C907</f>
        <v>6762063</v>
      </c>
      <c r="D972" s="49">
        <f>G907</f>
        <v>0</v>
      </c>
      <c r="E972" s="48"/>
      <c r="F972" s="48"/>
      <c r="G972" s="48"/>
      <c r="H972" s="32">
        <f>+F907</f>
        <v>1000000</v>
      </c>
      <c r="I972" s="50">
        <f>+E907</f>
        <v>23345</v>
      </c>
      <c r="J972" s="30">
        <f>SUM(C972:G972)-(H972+I972)</f>
        <v>5738718</v>
      </c>
      <c r="K972" s="144" t="b">
        <f>+J972=I907</f>
        <v>1</v>
      </c>
      <c r="L972" s="5"/>
      <c r="M972" s="5"/>
      <c r="N972" s="5"/>
      <c r="O972" s="5"/>
    </row>
    <row r="973" spans="1:15" ht="15.6" x14ac:dyDescent="0.3">
      <c r="C973" s="141">
        <f>SUM(C957:C972)</f>
        <v>32188231</v>
      </c>
      <c r="I973" s="140">
        <f>SUM(I957:I972)</f>
        <v>8513041</v>
      </c>
      <c r="J973" s="105">
        <f>+SUM(J956:J972)</f>
        <v>23249297</v>
      </c>
      <c r="K973" s="5" t="b">
        <f>J973=I920</f>
        <v>0</v>
      </c>
      <c r="L973" s="5"/>
      <c r="M973" s="5"/>
      <c r="N973" s="5"/>
      <c r="O973" s="5"/>
    </row>
    <row r="974" spans="1:15" x14ac:dyDescent="0.3">
      <c r="G974" s="9"/>
      <c r="L974" s="5"/>
      <c r="M974" s="5"/>
      <c r="N974" s="5"/>
      <c r="O974" s="5"/>
    </row>
    <row r="975" spans="1:15" x14ac:dyDescent="0.3">
      <c r="A975" s="16" t="s">
        <v>52</v>
      </c>
      <c r="B975" s="16"/>
      <c r="C975" s="16"/>
      <c r="D975" s="17"/>
      <c r="E975" s="17"/>
      <c r="F975" s="17"/>
      <c r="G975" s="17"/>
      <c r="H975" s="17"/>
      <c r="I975" s="17"/>
      <c r="L975" s="5"/>
      <c r="M975" s="5"/>
      <c r="N975" s="5"/>
      <c r="O975" s="5"/>
    </row>
    <row r="976" spans="1:15" x14ac:dyDescent="0.3">
      <c r="A976" s="18" t="s">
        <v>145</v>
      </c>
      <c r="B976" s="18"/>
      <c r="C976" s="18"/>
      <c r="D976" s="18"/>
      <c r="E976" s="18"/>
      <c r="F976" s="18"/>
      <c r="G976" s="18"/>
      <c r="H976" s="18"/>
      <c r="I976" s="18"/>
      <c r="J976" s="18"/>
      <c r="L976" s="5"/>
      <c r="M976" s="5"/>
      <c r="N976" s="5"/>
      <c r="O976" s="5"/>
    </row>
    <row r="977" spans="1:15" x14ac:dyDescent="0.3">
      <c r="A977" s="19"/>
      <c r="B977" s="17"/>
      <c r="C977" s="20"/>
      <c r="D977" s="20"/>
      <c r="E977" s="20"/>
      <c r="F977" s="20"/>
      <c r="G977" s="20"/>
      <c r="H977" s="17"/>
      <c r="I977" s="17"/>
      <c r="L977" s="5"/>
      <c r="M977" s="5"/>
      <c r="N977" s="5"/>
      <c r="O977" s="5"/>
    </row>
    <row r="978" spans="1:15" x14ac:dyDescent="0.3">
      <c r="A978" s="360" t="s">
        <v>53</v>
      </c>
      <c r="B978" s="362" t="s">
        <v>54</v>
      </c>
      <c r="C978" s="364" t="s">
        <v>146</v>
      </c>
      <c r="D978" s="366" t="s">
        <v>55</v>
      </c>
      <c r="E978" s="367"/>
      <c r="F978" s="367"/>
      <c r="G978" s="368"/>
      <c r="H978" s="369" t="s">
        <v>56</v>
      </c>
      <c r="I978" s="371" t="s">
        <v>57</v>
      </c>
      <c r="J978" s="17"/>
      <c r="L978" s="5"/>
      <c r="M978" s="5"/>
      <c r="N978" s="5"/>
      <c r="O978" s="5"/>
    </row>
    <row r="979" spans="1:15" x14ac:dyDescent="0.3">
      <c r="A979" s="361"/>
      <c r="B979" s="363"/>
      <c r="C979" s="365"/>
      <c r="D979" s="21" t="s">
        <v>24</v>
      </c>
      <c r="E979" s="21" t="s">
        <v>25</v>
      </c>
      <c r="F979" s="22" t="s">
        <v>123</v>
      </c>
      <c r="G979" s="21" t="s">
        <v>58</v>
      </c>
      <c r="H979" s="370"/>
      <c r="I979" s="372"/>
      <c r="J979" s="373" t="s">
        <v>151</v>
      </c>
      <c r="K979" s="143"/>
      <c r="L979" s="5"/>
      <c r="M979" s="5"/>
      <c r="N979" s="5"/>
      <c r="O979" s="5"/>
    </row>
    <row r="980" spans="1:15" x14ac:dyDescent="0.3">
      <c r="A980" s="23"/>
      <c r="B980" s="24" t="s">
        <v>59</v>
      </c>
      <c r="C980" s="25"/>
      <c r="D980" s="25"/>
      <c r="E980" s="25"/>
      <c r="F980" s="25"/>
      <c r="G980" s="25"/>
      <c r="H980" s="25"/>
      <c r="I980" s="26"/>
      <c r="J980" s="374"/>
      <c r="K980" s="143"/>
      <c r="L980" s="5"/>
      <c r="M980" s="5"/>
      <c r="N980" s="5"/>
      <c r="O980" s="5"/>
    </row>
    <row r="981" spans="1:15" x14ac:dyDescent="0.3">
      <c r="A981" s="122" t="s">
        <v>79</v>
      </c>
      <c r="B981" s="127" t="s">
        <v>47</v>
      </c>
      <c r="C981" s="32" t="e">
        <f>#REF!</f>
        <v>#REF!</v>
      </c>
      <c r="D981" s="31"/>
      <c r="E981" s="32" t="e">
        <f>+#REF!</f>
        <v>#REF!</v>
      </c>
      <c r="F981" s="32"/>
      <c r="G981" s="32"/>
      <c r="H981" s="55" t="e">
        <f>+#REF!</f>
        <v>#REF!</v>
      </c>
      <c r="I981" s="32" t="e">
        <f>+#REF!</f>
        <v>#REF!</v>
      </c>
      <c r="J981" s="30" t="e">
        <f t="shared" ref="J981:J982" si="563">+SUM(C981:G981)-(H981+I981)</f>
        <v>#REF!</v>
      </c>
      <c r="K981" s="144" t="e">
        <f>J981=#REF!</f>
        <v>#REF!</v>
      </c>
      <c r="L981" s="5"/>
      <c r="M981" s="5"/>
      <c r="N981" s="5"/>
      <c r="O981" s="5"/>
    </row>
    <row r="982" spans="1:15" x14ac:dyDescent="0.3">
      <c r="A982" s="122" t="str">
        <f>+A981</f>
        <v>SEPTEMBRE</v>
      </c>
      <c r="B982" s="127" t="s">
        <v>31</v>
      </c>
      <c r="C982" s="32" t="e">
        <f>#REF!</f>
        <v>#REF!</v>
      </c>
      <c r="D982" s="31"/>
      <c r="E982" s="32" t="e">
        <f>+#REF!</f>
        <v>#REF!</v>
      </c>
      <c r="F982" s="32"/>
      <c r="G982" s="32"/>
      <c r="H982" s="55" t="e">
        <f>+#REF!</f>
        <v>#REF!</v>
      </c>
      <c r="I982" s="32" t="e">
        <f>+#REF!</f>
        <v>#REF!</v>
      </c>
      <c r="J982" s="101" t="e">
        <f t="shared" si="563"/>
        <v>#REF!</v>
      </c>
      <c r="K982" s="144" t="e">
        <f>J982=#REF!</f>
        <v>#REF!</v>
      </c>
      <c r="L982" s="5"/>
      <c r="M982" s="5"/>
      <c r="N982" s="5"/>
      <c r="O982" s="5"/>
    </row>
    <row r="983" spans="1:15" x14ac:dyDescent="0.3">
      <c r="A983" s="122" t="str">
        <f t="shared" ref="A983:A990" si="564">+A982</f>
        <v>SEPTEMBRE</v>
      </c>
      <c r="B983" s="128" t="s">
        <v>144</v>
      </c>
      <c r="C983" s="32" t="e">
        <f>#REF!</f>
        <v>#REF!</v>
      </c>
      <c r="D983" s="119"/>
      <c r="E983" s="32" t="e">
        <f>#REF!</f>
        <v>#REF!</v>
      </c>
      <c r="F983" s="51"/>
      <c r="G983" s="51"/>
      <c r="H983" s="55" t="e">
        <f>+#REF!</f>
        <v>#REF!</v>
      </c>
      <c r="I983" s="32" t="e">
        <f>+#REF!</f>
        <v>#REF!</v>
      </c>
      <c r="J983" s="124" t="e">
        <f>+SUM(C983:G983)-(H983+I983)</f>
        <v>#REF!</v>
      </c>
      <c r="K983" s="144" t="e">
        <f>J983=#REF!</f>
        <v>#REF!</v>
      </c>
      <c r="L983" s="5"/>
      <c r="M983" s="5"/>
      <c r="N983" s="5"/>
      <c r="O983" s="5"/>
    </row>
    <row r="984" spans="1:15" x14ac:dyDescent="0.3">
      <c r="A984" s="122" t="str">
        <f t="shared" si="564"/>
        <v>SEPTEMBRE</v>
      </c>
      <c r="B984" s="129" t="s">
        <v>84</v>
      </c>
      <c r="C984" s="120" t="e">
        <f>#REF!</f>
        <v>#REF!</v>
      </c>
      <c r="D984" s="123"/>
      <c r="E984" s="120" t="e">
        <f>+#REF!</f>
        <v>#REF!</v>
      </c>
      <c r="F984" s="137"/>
      <c r="G984" s="137"/>
      <c r="H984" s="155" t="e">
        <f>+#REF!</f>
        <v>#REF!</v>
      </c>
      <c r="I984" s="120" t="e">
        <f>+#REF!</f>
        <v>#REF!</v>
      </c>
      <c r="J984" s="121" t="e">
        <f>+SUM(C984:G984)-(H984+I984)</f>
        <v>#REF!</v>
      </c>
      <c r="K984" s="144" t="e">
        <f>J984=#REF!</f>
        <v>#REF!</v>
      </c>
      <c r="L984" s="5"/>
      <c r="M984" s="5"/>
      <c r="N984" s="5"/>
      <c r="O984" s="5"/>
    </row>
    <row r="985" spans="1:15" x14ac:dyDescent="0.3">
      <c r="A985" s="122" t="str">
        <f t="shared" si="564"/>
        <v>SEPTEMBRE</v>
      </c>
      <c r="B985" s="129" t="s">
        <v>83</v>
      </c>
      <c r="C985" s="120" t="e">
        <f>#REF!</f>
        <v>#REF!</v>
      </c>
      <c r="D985" s="123"/>
      <c r="E985" s="120" t="e">
        <f>+#REF!</f>
        <v>#REF!</v>
      </c>
      <c r="F985" s="137"/>
      <c r="G985" s="137"/>
      <c r="H985" s="155" t="e">
        <f>+#REF!</f>
        <v>#REF!</v>
      </c>
      <c r="I985" s="120" t="e">
        <f>+#REF!</f>
        <v>#REF!</v>
      </c>
      <c r="J985" s="121" t="e">
        <f t="shared" ref="J985:J990" si="565">+SUM(C985:G985)-(H985+I985)</f>
        <v>#REF!</v>
      </c>
      <c r="K985" s="144" t="e">
        <f>J985=#REF!</f>
        <v>#REF!</v>
      </c>
      <c r="L985" s="5"/>
      <c r="M985" s="5"/>
      <c r="N985" s="5"/>
      <c r="O985" s="5"/>
    </row>
    <row r="986" spans="1:15" x14ac:dyDescent="0.3">
      <c r="A986" s="122" t="str">
        <f t="shared" si="564"/>
        <v>SEPTEMBRE</v>
      </c>
      <c r="B986" s="127" t="s">
        <v>143</v>
      </c>
      <c r="C986" s="32" t="e">
        <f>#REF!</f>
        <v>#REF!</v>
      </c>
      <c r="D986" s="31"/>
      <c r="E986" s="32" t="e">
        <f>+#REF!</f>
        <v>#REF!</v>
      </c>
      <c r="F986" s="32"/>
      <c r="G986" s="104"/>
      <c r="H986" s="55" t="e">
        <f>+#REF!</f>
        <v>#REF!</v>
      </c>
      <c r="I986" s="32" t="e">
        <f>+#REF!</f>
        <v>#REF!</v>
      </c>
      <c r="J986" s="30" t="e">
        <f t="shared" si="565"/>
        <v>#REF!</v>
      </c>
      <c r="K986" s="144" t="e">
        <f>J986=#REF!</f>
        <v>#REF!</v>
      </c>
      <c r="L986" s="5"/>
      <c r="M986" s="5"/>
      <c r="N986" s="5"/>
      <c r="O986" s="5"/>
    </row>
    <row r="987" spans="1:15" x14ac:dyDescent="0.3">
      <c r="A987" s="122" t="str">
        <f t="shared" si="564"/>
        <v>SEPTEMBRE</v>
      </c>
      <c r="B987" s="127" t="s">
        <v>30</v>
      </c>
      <c r="C987" s="32" t="e">
        <f>#REF!</f>
        <v>#REF!</v>
      </c>
      <c r="D987" s="31"/>
      <c r="E987" s="32" t="e">
        <f>+#REF!</f>
        <v>#REF!</v>
      </c>
      <c r="F987" s="32"/>
      <c r="G987" s="104"/>
      <c r="H987" s="55" t="e">
        <f>+#REF!</f>
        <v>#REF!</v>
      </c>
      <c r="I987" s="32" t="e">
        <f>+#REF!</f>
        <v>#REF!</v>
      </c>
      <c r="J987" s="30" t="e">
        <f t="shared" si="565"/>
        <v>#REF!</v>
      </c>
      <c r="K987" s="144" t="e">
        <f>J987=#REF!</f>
        <v>#REF!</v>
      </c>
      <c r="L987" s="5"/>
      <c r="M987" s="5"/>
      <c r="N987" s="5"/>
      <c r="O987" s="5"/>
    </row>
    <row r="988" spans="1:15" x14ac:dyDescent="0.3">
      <c r="A988" s="122" t="str">
        <f t="shared" si="564"/>
        <v>SEPTEMBRE</v>
      </c>
      <c r="B988" s="127" t="s">
        <v>93</v>
      </c>
      <c r="C988" s="32" t="e">
        <f>#REF!</f>
        <v>#REF!</v>
      </c>
      <c r="D988" s="31"/>
      <c r="E988" s="32" t="e">
        <f>+#REF!</f>
        <v>#REF!</v>
      </c>
      <c r="F988" s="32"/>
      <c r="G988" s="104"/>
      <c r="H988" s="55" t="e">
        <f>+#REF!</f>
        <v>#REF!</v>
      </c>
      <c r="I988" s="32" t="e">
        <f>+#REF!</f>
        <v>#REF!</v>
      </c>
      <c r="J988" s="30" t="e">
        <f t="shared" si="565"/>
        <v>#REF!</v>
      </c>
      <c r="K988" s="144" t="e">
        <f>J988=#REF!</f>
        <v>#REF!</v>
      </c>
      <c r="L988" s="5"/>
      <c r="M988" s="5"/>
      <c r="N988" s="5"/>
      <c r="O988" s="5"/>
    </row>
    <row r="989" spans="1:15" x14ac:dyDescent="0.3">
      <c r="A989" s="122" t="str">
        <f t="shared" si="564"/>
        <v>SEPTEMBRE</v>
      </c>
      <c r="B989" s="127" t="s">
        <v>147</v>
      </c>
      <c r="C989" s="32" t="e">
        <f>#REF!</f>
        <v>#REF!</v>
      </c>
      <c r="D989" s="31"/>
      <c r="E989" s="32" t="e">
        <f>+#REF!</f>
        <v>#REF!</v>
      </c>
      <c r="F989" s="32"/>
      <c r="G989" s="104"/>
      <c r="H989" s="55" t="e">
        <f>+#REF!</f>
        <v>#REF!</v>
      </c>
      <c r="I989" s="32" t="e">
        <f>+#REF!</f>
        <v>#REF!</v>
      </c>
      <c r="J989" s="30" t="e">
        <f t="shared" si="565"/>
        <v>#REF!</v>
      </c>
      <c r="K989" s="144" t="e">
        <f>J989=#REF!</f>
        <v>#REF!</v>
      </c>
      <c r="L989" s="5"/>
      <c r="M989" s="5"/>
      <c r="N989" s="5"/>
      <c r="O989" s="5"/>
    </row>
    <row r="990" spans="1:15" x14ac:dyDescent="0.3">
      <c r="A990" s="122" t="str">
        <f t="shared" si="564"/>
        <v>SEPTEMBRE</v>
      </c>
      <c r="B990" s="128" t="s">
        <v>113</v>
      </c>
      <c r="C990" s="32" t="e">
        <f>#REF!</f>
        <v>#REF!</v>
      </c>
      <c r="D990" s="119"/>
      <c r="E990" s="32" t="e">
        <f>+#REF!</f>
        <v>#REF!</v>
      </c>
      <c r="F990" s="51"/>
      <c r="G990" s="138"/>
      <c r="H990" s="55" t="e">
        <f>+#REF!</f>
        <v>#REF!</v>
      </c>
      <c r="I990" s="32" t="e">
        <f>+#REF!</f>
        <v>#REF!</v>
      </c>
      <c r="J990" s="30" t="e">
        <f t="shared" si="565"/>
        <v>#REF!</v>
      </c>
      <c r="K990" s="144" t="e">
        <f>J990=#REF!</f>
        <v>#REF!</v>
      </c>
      <c r="L990" s="5"/>
      <c r="M990" s="5"/>
      <c r="N990" s="5"/>
      <c r="O990" s="5"/>
    </row>
    <row r="991" spans="1:15" x14ac:dyDescent="0.3">
      <c r="A991" s="34" t="s">
        <v>60</v>
      </c>
      <c r="B991" s="35"/>
      <c r="C991" s="35"/>
      <c r="D991" s="35"/>
      <c r="E991" s="35"/>
      <c r="F991" s="35"/>
      <c r="G991" s="35"/>
      <c r="H991" s="35"/>
      <c r="I991" s="35"/>
      <c r="J991" s="36"/>
      <c r="K991" s="143"/>
      <c r="L991" s="5"/>
      <c r="M991" s="5"/>
      <c r="N991" s="5"/>
      <c r="O991" s="5"/>
    </row>
    <row r="992" spans="1:15" x14ac:dyDescent="0.3">
      <c r="A992" s="122" t="str">
        <f>+A990</f>
        <v>SEPTEMBRE</v>
      </c>
      <c r="B992" s="37" t="s">
        <v>61</v>
      </c>
      <c r="C992" s="38" t="e">
        <f>#REF!</f>
        <v>#REF!</v>
      </c>
      <c r="D992" s="49"/>
      <c r="E992" s="49" t="e">
        <f>#REF!</f>
        <v>#REF!</v>
      </c>
      <c r="F992" s="49"/>
      <c r="G992" s="125"/>
      <c r="H992" s="51" t="e">
        <f>+#REF!</f>
        <v>#REF!</v>
      </c>
      <c r="I992" s="126" t="e">
        <f>+#REF!</f>
        <v>#REF!</v>
      </c>
      <c r="J992" s="30" t="e">
        <f>+SUM(C992:G992)-(H992+I992)</f>
        <v>#REF!</v>
      </c>
      <c r="K992" s="144" t="e">
        <f>J992=#REF!</f>
        <v>#REF!</v>
      </c>
      <c r="L992" s="5"/>
      <c r="M992" s="5"/>
      <c r="N992" s="5"/>
      <c r="O992" s="5"/>
    </row>
    <row r="993" spans="1:15" x14ac:dyDescent="0.3">
      <c r="A993" s="43" t="s">
        <v>62</v>
      </c>
      <c r="B993" s="24"/>
      <c r="C993" s="35"/>
      <c r="D993" s="24"/>
      <c r="E993" s="24"/>
      <c r="F993" s="24"/>
      <c r="G993" s="24"/>
      <c r="H993" s="24"/>
      <c r="I993" s="24"/>
      <c r="J993" s="36"/>
      <c r="K993" s="143"/>
      <c r="L993" s="5"/>
      <c r="M993" s="5"/>
      <c r="N993" s="5"/>
      <c r="O993" s="5"/>
    </row>
    <row r="994" spans="1:15" x14ac:dyDescent="0.3">
      <c r="A994" s="122" t="str">
        <f>+A992</f>
        <v>SEPTEMBRE</v>
      </c>
      <c r="B994" s="37" t="s">
        <v>63</v>
      </c>
      <c r="C994" s="125" t="e">
        <f>#REF!</f>
        <v>#REF!</v>
      </c>
      <c r="D994" s="132"/>
      <c r="E994" s="49"/>
      <c r="F994" s="49"/>
      <c r="G994" s="49"/>
      <c r="H994" s="51" t="e">
        <f>+#REF!</f>
        <v>#REF!</v>
      </c>
      <c r="I994" s="53" t="e">
        <f>+#REF!</f>
        <v>#REF!</v>
      </c>
      <c r="J994" s="30" t="e">
        <f>+SUM(C994:G994)-(H994+I994)</f>
        <v>#REF!</v>
      </c>
      <c r="K994" s="144" t="e">
        <f>+J994=#REF!</f>
        <v>#REF!</v>
      </c>
      <c r="L994" s="5"/>
      <c r="M994" s="5"/>
      <c r="N994" s="5"/>
      <c r="O994" s="5"/>
    </row>
    <row r="995" spans="1:15" x14ac:dyDescent="0.3">
      <c r="A995" s="122" t="str">
        <f t="shared" ref="A995" si="566">+A994</f>
        <v>SEPTEMBRE</v>
      </c>
      <c r="B995" s="37" t="s">
        <v>64</v>
      </c>
      <c r="C995" s="125" t="e">
        <f>#REF!</f>
        <v>#REF!</v>
      </c>
      <c r="D995" s="49"/>
      <c r="E995" s="48"/>
      <c r="F995" s="48"/>
      <c r="G995" s="48"/>
      <c r="H995" s="32" t="e">
        <f>+#REF!</f>
        <v>#REF!</v>
      </c>
      <c r="I995" s="50" t="e">
        <f>+#REF!</f>
        <v>#REF!</v>
      </c>
      <c r="J995" s="30" t="e">
        <f>SUM(C995:G995)-(H995+I995)</f>
        <v>#REF!</v>
      </c>
      <c r="K995" s="144" t="e">
        <f>+J995=#REF!</f>
        <v>#REF!</v>
      </c>
      <c r="L995" s="5"/>
      <c r="M995" s="5"/>
      <c r="N995" s="5"/>
      <c r="O995" s="5"/>
    </row>
    <row r="996" spans="1:15" ht="15.6" x14ac:dyDescent="0.3">
      <c r="C996" s="141" t="e">
        <f>SUM(C981:C995)</f>
        <v>#REF!</v>
      </c>
      <c r="I996" s="140" t="e">
        <f>SUM(I981:I995)</f>
        <v>#REF!</v>
      </c>
      <c r="J996" s="105" t="e">
        <f>+SUM(J981:J995)</f>
        <v>#REF!</v>
      </c>
      <c r="K996" s="5" t="e">
        <f>J996=#REF!</f>
        <v>#REF!</v>
      </c>
      <c r="L996" s="5"/>
      <c r="M996" s="5"/>
      <c r="N996" s="5"/>
      <c r="O996" s="5"/>
    </row>
    <row r="997" spans="1:15" x14ac:dyDescent="0.3">
      <c r="G997" s="9"/>
      <c r="L997" s="5"/>
      <c r="M997" s="5"/>
      <c r="N997" s="5"/>
      <c r="O997" s="5"/>
    </row>
    <row r="998" spans="1:15" x14ac:dyDescent="0.3">
      <c r="A998" s="16" t="s">
        <v>52</v>
      </c>
      <c r="B998" s="16"/>
      <c r="C998" s="16"/>
      <c r="D998" s="17"/>
      <c r="E998" s="17"/>
      <c r="F998" s="17"/>
      <c r="G998" s="17"/>
      <c r="H998" s="17"/>
      <c r="I998" s="17"/>
      <c r="L998" s="5"/>
      <c r="M998" s="5"/>
      <c r="N998" s="5"/>
      <c r="O998" s="5"/>
    </row>
    <row r="999" spans="1:15" x14ac:dyDescent="0.3">
      <c r="A999" s="18" t="s">
        <v>141</v>
      </c>
      <c r="B999" s="18"/>
      <c r="C999" s="18"/>
      <c r="D999" s="18"/>
      <c r="E999" s="18"/>
      <c r="F999" s="18"/>
      <c r="G999" s="18"/>
      <c r="H999" s="18"/>
      <c r="I999" s="18"/>
      <c r="J999" s="17"/>
      <c r="L999" s="5"/>
      <c r="M999" s="5"/>
      <c r="N999" s="5"/>
      <c r="O999" s="5"/>
    </row>
    <row r="1000" spans="1:15" x14ac:dyDescent="0.3">
      <c r="A1000" s="19"/>
      <c r="B1000" s="17"/>
      <c r="C1000" s="20"/>
      <c r="D1000" s="20"/>
      <c r="E1000" s="20"/>
      <c r="F1000" s="20"/>
      <c r="G1000" s="20"/>
      <c r="H1000" s="17"/>
      <c r="I1000" s="17"/>
      <c r="J1000" s="18"/>
      <c r="L1000" s="5"/>
      <c r="M1000" s="5"/>
      <c r="N1000" s="5"/>
      <c r="O1000" s="5"/>
    </row>
    <row r="1001" spans="1:15" x14ac:dyDescent="0.3">
      <c r="A1001" s="360" t="s">
        <v>53</v>
      </c>
      <c r="B1001" s="362" t="s">
        <v>54</v>
      </c>
      <c r="C1001" s="364" t="s">
        <v>140</v>
      </c>
      <c r="D1001" s="366" t="s">
        <v>55</v>
      </c>
      <c r="E1001" s="367"/>
      <c r="F1001" s="367"/>
      <c r="G1001" s="368"/>
      <c r="H1001" s="369" t="s">
        <v>56</v>
      </c>
      <c r="I1001" s="371" t="s">
        <v>57</v>
      </c>
      <c r="J1001" s="17"/>
      <c r="L1001" s="5"/>
      <c r="M1001" s="5"/>
      <c r="N1001" s="5"/>
      <c r="O1001" s="5"/>
    </row>
    <row r="1002" spans="1:15" x14ac:dyDescent="0.3">
      <c r="A1002" s="361"/>
      <c r="B1002" s="363"/>
      <c r="C1002" s="365"/>
      <c r="D1002" s="21" t="s">
        <v>24</v>
      </c>
      <c r="E1002" s="21" t="s">
        <v>25</v>
      </c>
      <c r="F1002" s="22" t="s">
        <v>123</v>
      </c>
      <c r="G1002" s="21" t="s">
        <v>58</v>
      </c>
      <c r="H1002" s="370"/>
      <c r="I1002" s="372"/>
      <c r="J1002" s="373" t="s">
        <v>142</v>
      </c>
      <c r="K1002" s="143"/>
      <c r="L1002" s="5"/>
      <c r="M1002" s="5"/>
      <c r="N1002" s="5"/>
      <c r="O1002" s="5"/>
    </row>
    <row r="1003" spans="1:15" x14ac:dyDescent="0.3">
      <c r="A1003" s="23"/>
      <c r="B1003" s="24" t="s">
        <v>59</v>
      </c>
      <c r="C1003" s="25"/>
      <c r="D1003" s="25"/>
      <c r="E1003" s="25"/>
      <c r="F1003" s="25"/>
      <c r="G1003" s="25"/>
      <c r="H1003" s="25"/>
      <c r="I1003" s="26"/>
      <c r="J1003" s="374"/>
      <c r="K1003" s="143"/>
      <c r="L1003" s="5"/>
      <c r="M1003" s="5"/>
      <c r="N1003" s="5"/>
      <c r="O1003" s="5"/>
    </row>
    <row r="1004" spans="1:15" x14ac:dyDescent="0.3">
      <c r="A1004" s="122" t="s">
        <v>139</v>
      </c>
      <c r="B1004" s="127" t="s">
        <v>47</v>
      </c>
      <c r="C1004" s="32" t="e">
        <f>#REF!</f>
        <v>#REF!</v>
      </c>
      <c r="D1004" s="31"/>
      <c r="E1004" s="32" t="e">
        <f>+#REF!</f>
        <v>#REF!</v>
      </c>
      <c r="F1004" s="32"/>
      <c r="G1004" s="32"/>
      <c r="H1004" s="55" t="e">
        <f>+#REF!</f>
        <v>#REF!</v>
      </c>
      <c r="I1004" s="32" t="e">
        <f>+#REF!</f>
        <v>#REF!</v>
      </c>
      <c r="J1004" s="30" t="e">
        <f t="shared" ref="J1004:J1005" si="567">+SUM(C1004:G1004)-(H1004+I1004)</f>
        <v>#REF!</v>
      </c>
      <c r="K1004" s="144" t="e">
        <f>J1004=#REF!</f>
        <v>#REF!</v>
      </c>
      <c r="L1004" s="5"/>
      <c r="M1004" s="5"/>
      <c r="N1004" s="5"/>
      <c r="O1004" s="5"/>
    </row>
    <row r="1005" spans="1:15" x14ac:dyDescent="0.3">
      <c r="A1005" s="122" t="s">
        <v>139</v>
      </c>
      <c r="B1005" s="127" t="s">
        <v>31</v>
      </c>
      <c r="C1005" s="32" t="e">
        <f>#REF!</f>
        <v>#REF!</v>
      </c>
      <c r="D1005" s="31"/>
      <c r="E1005" s="32" t="e">
        <f>+#REF!</f>
        <v>#REF!</v>
      </c>
      <c r="F1005" s="32"/>
      <c r="G1005" s="32"/>
      <c r="H1005" s="55" t="e">
        <f>+#REF!</f>
        <v>#REF!</v>
      </c>
      <c r="I1005" s="32" t="e">
        <f>+#REF!</f>
        <v>#REF!</v>
      </c>
      <c r="J1005" s="101" t="e">
        <f t="shared" si="567"/>
        <v>#REF!</v>
      </c>
      <c r="K1005" s="144" t="e">
        <f>J1005=#REF!</f>
        <v>#REF!</v>
      </c>
      <c r="L1005" s="5"/>
      <c r="M1005" s="5"/>
      <c r="N1005" s="5"/>
      <c r="O1005" s="5"/>
    </row>
    <row r="1006" spans="1:15" x14ac:dyDescent="0.3">
      <c r="A1006" s="122" t="s">
        <v>139</v>
      </c>
      <c r="B1006" s="128" t="s">
        <v>144</v>
      </c>
      <c r="C1006" s="32" t="e">
        <f>#REF!</f>
        <v>#REF!</v>
      </c>
      <c r="D1006" s="119"/>
      <c r="E1006" s="32">
        <v>30000</v>
      </c>
      <c r="F1006" s="51">
        <v>240000</v>
      </c>
      <c r="G1006" s="51"/>
      <c r="H1006" s="55" t="e">
        <f>+#REF!</f>
        <v>#REF!</v>
      </c>
      <c r="I1006" s="32" t="e">
        <f>+#REF!</f>
        <v>#REF!</v>
      </c>
      <c r="J1006" s="124" t="e">
        <f>+SUM(C1006:G1006)-(H1006+I1006)</f>
        <v>#REF!</v>
      </c>
      <c r="K1006" s="144" t="e">
        <f>J1006=#REF!</f>
        <v>#REF!</v>
      </c>
      <c r="L1006" s="5"/>
      <c r="M1006" s="5"/>
      <c r="N1006" s="5"/>
      <c r="O1006" s="5"/>
    </row>
    <row r="1007" spans="1:15" x14ac:dyDescent="0.3">
      <c r="A1007" s="122" t="s">
        <v>139</v>
      </c>
      <c r="B1007" s="129" t="s">
        <v>84</v>
      </c>
      <c r="C1007" s="120" t="e">
        <f>#REF!</f>
        <v>#REF!</v>
      </c>
      <c r="D1007" s="123"/>
      <c r="E1007" s="120" t="e">
        <f>+#REF!</f>
        <v>#REF!</v>
      </c>
      <c r="F1007" s="137"/>
      <c r="G1007" s="137"/>
      <c r="H1007" s="155" t="e">
        <f>+#REF!</f>
        <v>#REF!</v>
      </c>
      <c r="I1007" s="120" t="e">
        <f>+#REF!</f>
        <v>#REF!</v>
      </c>
      <c r="J1007" s="121" t="e">
        <f>+SUM(C1007:G1007)-(H1007+I1007)</f>
        <v>#REF!</v>
      </c>
      <c r="K1007" s="144" t="e">
        <f>J1007=#REF!</f>
        <v>#REF!</v>
      </c>
      <c r="L1007" s="5"/>
      <c r="M1007" s="5"/>
      <c r="N1007" s="5"/>
      <c r="O1007" s="5"/>
    </row>
    <row r="1008" spans="1:15" x14ac:dyDescent="0.3">
      <c r="A1008" s="122" t="s">
        <v>139</v>
      </c>
      <c r="B1008" s="129" t="s">
        <v>83</v>
      </c>
      <c r="C1008" s="120" t="e">
        <f>#REF!</f>
        <v>#REF!</v>
      </c>
      <c r="D1008" s="123"/>
      <c r="E1008" s="120" t="e">
        <f>+#REF!</f>
        <v>#REF!</v>
      </c>
      <c r="F1008" s="137"/>
      <c r="G1008" s="137"/>
      <c r="H1008" s="155" t="e">
        <f>+#REF!</f>
        <v>#REF!</v>
      </c>
      <c r="I1008" s="120" t="e">
        <f>+#REF!</f>
        <v>#REF!</v>
      </c>
      <c r="J1008" s="121" t="e">
        <f t="shared" ref="J1008:J1014" si="568">+SUM(C1008:G1008)-(H1008+I1008)</f>
        <v>#REF!</v>
      </c>
      <c r="K1008" s="144" t="e">
        <f>J1008=#REF!</f>
        <v>#REF!</v>
      </c>
      <c r="L1008" s="5"/>
      <c r="M1008" s="5"/>
      <c r="N1008" s="5"/>
      <c r="O1008" s="5"/>
    </row>
    <row r="1009" spans="1:15" x14ac:dyDescent="0.3">
      <c r="A1009" s="122" t="s">
        <v>139</v>
      </c>
      <c r="B1009" s="127" t="s">
        <v>143</v>
      </c>
      <c r="C1009" s="32" t="e">
        <f>#REF!</f>
        <v>#REF!</v>
      </c>
      <c r="D1009" s="31"/>
      <c r="E1009" s="32" t="e">
        <f>+#REF!</f>
        <v>#REF!</v>
      </c>
      <c r="F1009" s="32"/>
      <c r="G1009" s="104"/>
      <c r="H1009" s="55" t="e">
        <f>+#REF!</f>
        <v>#REF!</v>
      </c>
      <c r="I1009" s="32" t="e">
        <f>+#REF!</f>
        <v>#REF!</v>
      </c>
      <c r="J1009" s="30" t="e">
        <f t="shared" si="568"/>
        <v>#REF!</v>
      </c>
      <c r="K1009" s="144" t="e">
        <f>J1009=#REF!</f>
        <v>#REF!</v>
      </c>
      <c r="L1009" s="5"/>
      <c r="M1009" s="5"/>
      <c r="N1009" s="5"/>
      <c r="O1009" s="5"/>
    </row>
    <row r="1010" spans="1:15" x14ac:dyDescent="0.3">
      <c r="A1010" s="122" t="s">
        <v>139</v>
      </c>
      <c r="B1010" s="127" t="s">
        <v>30</v>
      </c>
      <c r="C1010" s="32" t="e">
        <f>#REF!</f>
        <v>#REF!</v>
      </c>
      <c r="D1010" s="31"/>
      <c r="E1010" s="32" t="e">
        <f>+#REF!</f>
        <v>#REF!</v>
      </c>
      <c r="F1010" s="32"/>
      <c r="G1010" s="104"/>
      <c r="H1010" s="55" t="e">
        <f>+#REF!</f>
        <v>#REF!</v>
      </c>
      <c r="I1010" s="32" t="e">
        <f>+#REF!</f>
        <v>#REF!</v>
      </c>
      <c r="J1010" s="30" t="e">
        <f t="shared" si="568"/>
        <v>#REF!</v>
      </c>
      <c r="K1010" s="144" t="e">
        <f>J1010=#REF!</f>
        <v>#REF!</v>
      </c>
      <c r="L1010" s="5"/>
      <c r="M1010" s="5"/>
      <c r="N1010" s="5"/>
      <c r="O1010" s="5"/>
    </row>
    <row r="1011" spans="1:15" x14ac:dyDescent="0.3">
      <c r="A1011" s="122" t="s">
        <v>139</v>
      </c>
      <c r="B1011" s="127" t="s">
        <v>35</v>
      </c>
      <c r="C1011" s="32" t="e">
        <f>#REF!</f>
        <v>#REF!</v>
      </c>
      <c r="D1011" s="31"/>
      <c r="E1011" s="32">
        <v>15000</v>
      </c>
      <c r="F1011" s="32">
        <v>496625</v>
      </c>
      <c r="G1011" s="104"/>
      <c r="H1011" s="55" t="e">
        <f>+#REF!</f>
        <v>#REF!</v>
      </c>
      <c r="I1011" s="32" t="e">
        <f>+#REF!</f>
        <v>#REF!</v>
      </c>
      <c r="J1011" s="30" t="e">
        <f t="shared" si="568"/>
        <v>#REF!</v>
      </c>
      <c r="K1011" s="144" t="e">
        <f>J1011=#REF!</f>
        <v>#REF!</v>
      </c>
      <c r="L1011" s="5"/>
      <c r="M1011" s="5"/>
      <c r="N1011" s="5"/>
      <c r="O1011" s="5"/>
    </row>
    <row r="1012" spans="1:15" x14ac:dyDescent="0.3">
      <c r="A1012" s="122" t="s">
        <v>139</v>
      </c>
      <c r="B1012" s="127" t="s">
        <v>93</v>
      </c>
      <c r="C1012" s="32" t="e">
        <f>#REF!</f>
        <v>#REF!</v>
      </c>
      <c r="D1012" s="31"/>
      <c r="E1012" s="32" t="e">
        <f>+#REF!</f>
        <v>#REF!</v>
      </c>
      <c r="F1012" s="32"/>
      <c r="G1012" s="104"/>
      <c r="H1012" s="55" t="e">
        <f>+#REF!</f>
        <v>#REF!</v>
      </c>
      <c r="I1012" s="32" t="e">
        <f>+#REF!</f>
        <v>#REF!</v>
      </c>
      <c r="J1012" s="30" t="e">
        <f t="shared" si="568"/>
        <v>#REF!</v>
      </c>
      <c r="K1012" s="144" t="e">
        <f>J1012=#REF!</f>
        <v>#REF!</v>
      </c>
      <c r="L1012" s="5"/>
      <c r="M1012" s="5"/>
      <c r="N1012" s="5"/>
      <c r="O1012" s="5"/>
    </row>
    <row r="1013" spans="1:15" x14ac:dyDescent="0.3">
      <c r="A1013" s="122" t="s">
        <v>139</v>
      </c>
      <c r="B1013" s="127" t="s">
        <v>29</v>
      </c>
      <c r="C1013" s="32" t="e">
        <f>#REF!</f>
        <v>#REF!</v>
      </c>
      <c r="D1013" s="31"/>
      <c r="E1013" s="32" t="e">
        <f>+#REF!</f>
        <v>#REF!</v>
      </c>
      <c r="F1013" s="32"/>
      <c r="G1013" s="104"/>
      <c r="H1013" s="55" t="e">
        <f>+#REF!</f>
        <v>#REF!</v>
      </c>
      <c r="I1013" s="32" t="e">
        <f>+#REF!</f>
        <v>#REF!</v>
      </c>
      <c r="J1013" s="30" t="e">
        <f t="shared" ref="J1013" si="569">+SUM(C1013:G1013)-(H1013+I1013)</f>
        <v>#REF!</v>
      </c>
      <c r="K1013" s="144" t="e">
        <f>J1013=#REF!</f>
        <v>#REF!</v>
      </c>
      <c r="L1013" s="5"/>
      <c r="M1013" s="5"/>
      <c r="N1013" s="5"/>
      <c r="O1013" s="5"/>
    </row>
    <row r="1014" spans="1:15" x14ac:dyDescent="0.3">
      <c r="A1014" s="122" t="s">
        <v>139</v>
      </c>
      <c r="B1014" s="128" t="s">
        <v>113</v>
      </c>
      <c r="C1014" s="32" t="e">
        <f>#REF!</f>
        <v>#REF!</v>
      </c>
      <c r="D1014" s="119"/>
      <c r="E1014" s="32" t="e">
        <f>+#REF!</f>
        <v>#REF!</v>
      </c>
      <c r="F1014" s="51"/>
      <c r="G1014" s="138"/>
      <c r="H1014" s="55" t="e">
        <f>+#REF!</f>
        <v>#REF!</v>
      </c>
      <c r="I1014" s="32" t="e">
        <f>+#REF!</f>
        <v>#REF!</v>
      </c>
      <c r="J1014" s="30" t="e">
        <f t="shared" si="568"/>
        <v>#REF!</v>
      </c>
      <c r="K1014" s="144" t="e">
        <f>J1014=#REF!</f>
        <v>#REF!</v>
      </c>
      <c r="L1014" s="5"/>
      <c r="M1014" s="5"/>
      <c r="N1014" s="5"/>
      <c r="O1014" s="5"/>
    </row>
    <row r="1015" spans="1:15" x14ac:dyDescent="0.3">
      <c r="A1015" s="34" t="s">
        <v>60</v>
      </c>
      <c r="B1015" s="35"/>
      <c r="C1015" s="35"/>
      <c r="D1015" s="35"/>
      <c r="E1015" s="35"/>
      <c r="F1015" s="35"/>
      <c r="G1015" s="35"/>
      <c r="H1015" s="35"/>
      <c r="I1015" s="35"/>
      <c r="J1015" s="36"/>
      <c r="K1015" s="143"/>
      <c r="L1015" s="5"/>
      <c r="M1015" s="5"/>
      <c r="N1015" s="5"/>
      <c r="O1015" s="5"/>
    </row>
    <row r="1016" spans="1:15" x14ac:dyDescent="0.3">
      <c r="A1016" s="122" t="s">
        <v>139</v>
      </c>
      <c r="B1016" s="37" t="s">
        <v>61</v>
      </c>
      <c r="C1016" s="38" t="e">
        <f>#REF!</f>
        <v>#REF!</v>
      </c>
      <c r="D1016" s="49">
        <v>4000000</v>
      </c>
      <c r="E1016" s="103"/>
      <c r="F1016" s="49"/>
      <c r="G1016" s="125">
        <v>15000</v>
      </c>
      <c r="H1016" s="51" t="e">
        <f>+#REF!</f>
        <v>#REF!</v>
      </c>
      <c r="I1016" s="126" t="e">
        <f>+#REF!</f>
        <v>#REF!</v>
      </c>
      <c r="J1016" s="30" t="e">
        <f>+SUM(C1016:G1016)-(H1016+I1016)</f>
        <v>#REF!</v>
      </c>
      <c r="K1016" s="144" t="e">
        <f>J1016=#REF!</f>
        <v>#REF!</v>
      </c>
      <c r="L1016" s="5"/>
      <c r="M1016" s="5"/>
      <c r="N1016" s="5"/>
      <c r="O1016" s="5"/>
    </row>
    <row r="1017" spans="1:15" x14ac:dyDescent="0.3">
      <c r="A1017" s="43" t="s">
        <v>62</v>
      </c>
      <c r="B1017" s="24"/>
      <c r="C1017" s="35"/>
      <c r="D1017" s="24"/>
      <c r="E1017" s="24"/>
      <c r="F1017" s="24"/>
      <c r="G1017" s="24"/>
      <c r="H1017" s="24"/>
      <c r="I1017" s="24"/>
      <c r="J1017" s="36"/>
      <c r="K1017" s="143"/>
      <c r="L1017" s="5"/>
      <c r="M1017" s="5"/>
      <c r="N1017" s="5"/>
      <c r="O1017" s="5"/>
    </row>
    <row r="1018" spans="1:15" x14ac:dyDescent="0.3">
      <c r="A1018" s="122" t="s">
        <v>139</v>
      </c>
      <c r="B1018" s="37" t="s">
        <v>63</v>
      </c>
      <c r="C1018" s="125" t="e">
        <f>#REF!</f>
        <v>#REF!</v>
      </c>
      <c r="D1018" s="132"/>
      <c r="E1018" s="49"/>
      <c r="F1018" s="49"/>
      <c r="G1018" s="49"/>
      <c r="H1018" s="51" t="e">
        <f>+#REF!</f>
        <v>#REF!</v>
      </c>
      <c r="I1018" s="53" t="e">
        <f>+#REF!</f>
        <v>#REF!</v>
      </c>
      <c r="J1018" s="30" t="e">
        <f>+SUM(C1018:G1018)-(H1018+I1018)</f>
        <v>#REF!</v>
      </c>
      <c r="K1018" s="144" t="e">
        <f>+J1018=#REF!</f>
        <v>#REF!</v>
      </c>
      <c r="L1018" s="5"/>
      <c r="M1018" s="5"/>
      <c r="N1018" s="5"/>
      <c r="O1018" s="5"/>
    </row>
    <row r="1019" spans="1:15" x14ac:dyDescent="0.3">
      <c r="A1019" s="122" t="s">
        <v>139</v>
      </c>
      <c r="B1019" s="37" t="s">
        <v>64</v>
      </c>
      <c r="C1019" s="125" t="e">
        <f>#REF!</f>
        <v>#REF!</v>
      </c>
      <c r="D1019" s="49"/>
      <c r="E1019" s="48"/>
      <c r="F1019" s="48"/>
      <c r="G1019" s="48"/>
      <c r="H1019" s="32" t="e">
        <f>+#REF!</f>
        <v>#REF!</v>
      </c>
      <c r="I1019" s="50" t="e">
        <f>+#REF!</f>
        <v>#REF!</v>
      </c>
      <c r="J1019" s="30" t="e">
        <f>SUM(C1019:G1019)-(H1019+I1019)</f>
        <v>#REF!</v>
      </c>
      <c r="K1019" s="144" t="e">
        <f>+J1019=#REF!</f>
        <v>#REF!</v>
      </c>
    </row>
    <row r="1020" spans="1:15" ht="15.6" x14ac:dyDescent="0.3">
      <c r="C1020" s="141" t="e">
        <f>SUM(C1004:C1019)</f>
        <v>#REF!</v>
      </c>
      <c r="I1020" s="140" t="e">
        <f>SUM(I1004:I1019)</f>
        <v>#REF!</v>
      </c>
      <c r="J1020" s="105" t="e">
        <f>+SUM(J1004:J1019)</f>
        <v>#REF!</v>
      </c>
      <c r="K1020" s="5" t="e">
        <f>J1020=#REF!</f>
        <v>#REF!</v>
      </c>
    </row>
    <row r="1021" spans="1:15" x14ac:dyDescent="0.3">
      <c r="A1021" s="14"/>
      <c r="B1021" s="15"/>
      <c r="C1021" s="153"/>
      <c r="D1021" s="153"/>
      <c r="E1021" s="152"/>
      <c r="F1021" s="153"/>
      <c r="G1021" s="153" t="e">
        <f>+#REF!-J1020</f>
        <v>#REF!</v>
      </c>
      <c r="H1021" s="153"/>
      <c r="I1021" s="153"/>
    </row>
    <row r="1022" spans="1:15" x14ac:dyDescent="0.3">
      <c r="A1022" s="16" t="s">
        <v>52</v>
      </c>
      <c r="B1022" s="16"/>
      <c r="C1022" s="16"/>
      <c r="D1022" s="17"/>
      <c r="E1022" s="17"/>
      <c r="F1022" s="17"/>
      <c r="G1022" s="17"/>
      <c r="H1022" s="17"/>
      <c r="I1022" s="17"/>
    </row>
    <row r="1023" spans="1:15" x14ac:dyDescent="0.3">
      <c r="A1023" s="18" t="s">
        <v>136</v>
      </c>
      <c r="B1023" s="18"/>
      <c r="C1023" s="18"/>
      <c r="D1023" s="18"/>
      <c r="E1023" s="18"/>
      <c r="F1023" s="18"/>
      <c r="G1023" s="18"/>
      <c r="H1023" s="18"/>
      <c r="I1023" s="18"/>
      <c r="J1023" s="17"/>
    </row>
    <row r="1024" spans="1:15" x14ac:dyDescent="0.3">
      <c r="A1024" s="19"/>
      <c r="B1024" s="17"/>
      <c r="C1024" s="20"/>
      <c r="D1024" s="20"/>
      <c r="E1024" s="20"/>
      <c r="F1024" s="20"/>
      <c r="G1024" s="20"/>
      <c r="H1024" s="17"/>
      <c r="I1024" s="17"/>
      <c r="J1024" s="18"/>
    </row>
    <row r="1025" spans="1:11" x14ac:dyDescent="0.3">
      <c r="A1025" s="360" t="s">
        <v>53</v>
      </c>
      <c r="B1025" s="362" t="s">
        <v>54</v>
      </c>
      <c r="C1025" s="364" t="s">
        <v>137</v>
      </c>
      <c r="D1025" s="366" t="s">
        <v>55</v>
      </c>
      <c r="E1025" s="367"/>
      <c r="F1025" s="367"/>
      <c r="G1025" s="368"/>
      <c r="H1025" s="369" t="s">
        <v>56</v>
      </c>
      <c r="I1025" s="371" t="s">
        <v>57</v>
      </c>
      <c r="J1025" s="17"/>
    </row>
    <row r="1026" spans="1:11" x14ac:dyDescent="0.3">
      <c r="A1026" s="361"/>
      <c r="B1026" s="363"/>
      <c r="C1026" s="365"/>
      <c r="D1026" s="21" t="s">
        <v>24</v>
      </c>
      <c r="E1026" s="21" t="s">
        <v>25</v>
      </c>
      <c r="F1026" s="22" t="s">
        <v>123</v>
      </c>
      <c r="G1026" s="21" t="s">
        <v>58</v>
      </c>
      <c r="H1026" s="370"/>
      <c r="I1026" s="372"/>
      <c r="J1026" s="373" t="s">
        <v>138</v>
      </c>
      <c r="K1026" s="143"/>
    </row>
    <row r="1027" spans="1:11" x14ac:dyDescent="0.3">
      <c r="A1027" s="23"/>
      <c r="B1027" s="24" t="s">
        <v>59</v>
      </c>
      <c r="C1027" s="25"/>
      <c r="D1027" s="25"/>
      <c r="E1027" s="25"/>
      <c r="F1027" s="25"/>
      <c r="G1027" s="25"/>
      <c r="H1027" s="25"/>
      <c r="I1027" s="26"/>
      <c r="J1027" s="374"/>
      <c r="K1027" s="143"/>
    </row>
    <row r="1028" spans="1:11" x14ac:dyDescent="0.3">
      <c r="A1028" s="122" t="s">
        <v>72</v>
      </c>
      <c r="B1028" s="127" t="s">
        <v>47</v>
      </c>
      <c r="C1028" s="32" t="e">
        <f>#REF!</f>
        <v>#REF!</v>
      </c>
      <c r="D1028" s="31"/>
      <c r="E1028" s="32">
        <v>970765</v>
      </c>
      <c r="F1028" s="32"/>
      <c r="G1028" s="32"/>
      <c r="H1028" s="55">
        <v>0</v>
      </c>
      <c r="I1028" s="32">
        <v>980165</v>
      </c>
      <c r="J1028" s="30" t="e">
        <f t="shared" ref="J1028:J1029" si="570">+SUM(C1028:G1028)-(H1028+I1028)</f>
        <v>#REF!</v>
      </c>
      <c r="K1028" s="144" t="e">
        <f>J1028=#REF!</f>
        <v>#REF!</v>
      </c>
    </row>
    <row r="1029" spans="1:11" x14ac:dyDescent="0.3">
      <c r="A1029" s="122" t="s">
        <v>72</v>
      </c>
      <c r="B1029" s="127" t="s">
        <v>31</v>
      </c>
      <c r="C1029" s="32" t="e">
        <f>#REF!</f>
        <v>#REF!</v>
      </c>
      <c r="D1029" s="31"/>
      <c r="E1029" s="32">
        <v>58000</v>
      </c>
      <c r="F1029" s="32"/>
      <c r="G1029" s="32"/>
      <c r="H1029" s="32">
        <v>0</v>
      </c>
      <c r="I1029" s="32">
        <v>59500</v>
      </c>
      <c r="J1029" s="101" t="e">
        <f t="shared" si="570"/>
        <v>#REF!</v>
      </c>
      <c r="K1029" s="144" t="e">
        <f>J1029=#REF!</f>
        <v>#REF!</v>
      </c>
    </row>
    <row r="1030" spans="1:11" x14ac:dyDescent="0.3">
      <c r="A1030" s="122" t="s">
        <v>72</v>
      </c>
      <c r="B1030" s="128" t="s">
        <v>30</v>
      </c>
      <c r="C1030" s="32" t="e">
        <f>#REF!</f>
        <v>#REF!</v>
      </c>
      <c r="D1030" s="119"/>
      <c r="E1030" s="51">
        <v>557150</v>
      </c>
      <c r="F1030" s="51"/>
      <c r="G1030" s="51"/>
      <c r="H1030" s="51">
        <v>0</v>
      </c>
      <c r="I1030" s="51">
        <v>556650</v>
      </c>
      <c r="J1030" s="124" t="e">
        <f>+SUM(C1030:G1030)-(H1030+I1030)</f>
        <v>#REF!</v>
      </c>
      <c r="K1030" s="144" t="e">
        <f>J1030=#REF!</f>
        <v>#REF!</v>
      </c>
    </row>
    <row r="1031" spans="1:11" x14ac:dyDescent="0.3">
      <c r="A1031" s="122" t="s">
        <v>72</v>
      </c>
      <c r="B1031" s="129" t="s">
        <v>84</v>
      </c>
      <c r="C1031" s="120" t="e">
        <f>#REF!</f>
        <v>#REF!</v>
      </c>
      <c r="D1031" s="123"/>
      <c r="E1031" s="137"/>
      <c r="F1031" s="137"/>
      <c r="G1031" s="137"/>
      <c r="H1031" s="137">
        <v>0</v>
      </c>
      <c r="I1031" s="137">
        <v>0</v>
      </c>
      <c r="J1031" s="121" t="e">
        <f>+SUM(C1031:G1031)-(H1031+I1031)</f>
        <v>#REF!</v>
      </c>
      <c r="K1031" s="144" t="e">
        <f>J1031=#REF!</f>
        <v>#REF!</v>
      </c>
    </row>
    <row r="1032" spans="1:11" x14ac:dyDescent="0.3">
      <c r="A1032" s="122" t="s">
        <v>72</v>
      </c>
      <c r="B1032" s="129" t="s">
        <v>83</v>
      </c>
      <c r="C1032" s="120" t="e">
        <f>#REF!</f>
        <v>#REF!</v>
      </c>
      <c r="D1032" s="123"/>
      <c r="E1032" s="137"/>
      <c r="F1032" s="137"/>
      <c r="G1032" s="137"/>
      <c r="H1032" s="137">
        <v>0</v>
      </c>
      <c r="I1032" s="137">
        <v>0</v>
      </c>
      <c r="J1032" s="121" t="e">
        <f t="shared" ref="J1032:J1037" si="571">+SUM(C1032:G1032)-(H1032+I1032)</f>
        <v>#REF!</v>
      </c>
      <c r="K1032" s="144" t="e">
        <f>J1032=#REF!</f>
        <v>#REF!</v>
      </c>
    </row>
    <row r="1033" spans="1:11" x14ac:dyDescent="0.3">
      <c r="A1033" s="122" t="s">
        <v>72</v>
      </c>
      <c r="B1033" s="127" t="s">
        <v>35</v>
      </c>
      <c r="C1033" s="32" t="e">
        <f>#REF!</f>
        <v>#REF!</v>
      </c>
      <c r="D1033" s="31"/>
      <c r="E1033" s="32">
        <v>941000</v>
      </c>
      <c r="F1033" s="32"/>
      <c r="G1033" s="104"/>
      <c r="H1033" s="104">
        <v>0</v>
      </c>
      <c r="I1033" s="32">
        <v>1084725</v>
      </c>
      <c r="J1033" s="30" t="e">
        <f t="shared" si="571"/>
        <v>#REF!</v>
      </c>
      <c r="K1033" s="144" t="e">
        <f>J1033=#REF!</f>
        <v>#REF!</v>
      </c>
    </row>
    <row r="1034" spans="1:11" x14ac:dyDescent="0.3">
      <c r="A1034" s="122" t="s">
        <v>72</v>
      </c>
      <c r="B1034" s="127" t="s">
        <v>93</v>
      </c>
      <c r="C1034" s="32" t="e">
        <f>#REF!</f>
        <v>#REF!</v>
      </c>
      <c r="D1034" s="31"/>
      <c r="E1034" s="32">
        <v>52000</v>
      </c>
      <c r="F1034" s="104"/>
      <c r="G1034" s="104"/>
      <c r="H1034" s="104">
        <v>0</v>
      </c>
      <c r="I1034" s="32">
        <v>67000</v>
      </c>
      <c r="J1034" s="30" t="e">
        <f t="shared" si="571"/>
        <v>#REF!</v>
      </c>
      <c r="K1034" s="144" t="e">
        <f>J1034=#REF!</f>
        <v>#REF!</v>
      </c>
    </row>
    <row r="1035" spans="1:11" x14ac:dyDescent="0.3">
      <c r="A1035" s="122" t="s">
        <v>72</v>
      </c>
      <c r="B1035" s="127" t="s">
        <v>29</v>
      </c>
      <c r="C1035" s="32" t="e">
        <f>#REF!</f>
        <v>#REF!</v>
      </c>
      <c r="D1035" s="31"/>
      <c r="E1035" s="32">
        <v>515000</v>
      </c>
      <c r="F1035" s="104"/>
      <c r="G1035" s="104"/>
      <c r="H1035" s="104">
        <v>0</v>
      </c>
      <c r="I1035" s="32">
        <v>655500</v>
      </c>
      <c r="J1035" s="30" t="e">
        <f t="shared" si="571"/>
        <v>#REF!</v>
      </c>
      <c r="K1035" s="144" t="e">
        <f>J1035=#REF!</f>
        <v>#REF!</v>
      </c>
    </row>
    <row r="1036" spans="1:11" x14ac:dyDescent="0.3">
      <c r="A1036" s="122" t="s">
        <v>72</v>
      </c>
      <c r="B1036" s="127" t="s">
        <v>32</v>
      </c>
      <c r="C1036" s="32" t="e">
        <f>#REF!</f>
        <v>#REF!</v>
      </c>
      <c r="D1036" s="31"/>
      <c r="E1036" s="32">
        <v>10000</v>
      </c>
      <c r="F1036" s="104"/>
      <c r="G1036" s="104"/>
      <c r="H1036" s="32">
        <v>500</v>
      </c>
      <c r="I1036" s="32">
        <v>15300</v>
      </c>
      <c r="J1036" s="30" t="e">
        <f t="shared" si="571"/>
        <v>#REF!</v>
      </c>
      <c r="K1036" s="144" t="e">
        <f>J1036=#REF!</f>
        <v>#REF!</v>
      </c>
    </row>
    <row r="1037" spans="1:11" x14ac:dyDescent="0.3">
      <c r="A1037" s="122" t="s">
        <v>72</v>
      </c>
      <c r="B1037" s="128" t="s">
        <v>113</v>
      </c>
      <c r="C1037" s="32" t="e">
        <f>#REF!</f>
        <v>#REF!</v>
      </c>
      <c r="D1037" s="119"/>
      <c r="E1037" s="51">
        <v>20000</v>
      </c>
      <c r="F1037" s="51"/>
      <c r="G1037" s="138"/>
      <c r="H1037" s="51">
        <v>0</v>
      </c>
      <c r="I1037" s="51">
        <v>28000</v>
      </c>
      <c r="J1037" s="30" t="e">
        <f t="shared" si="571"/>
        <v>#REF!</v>
      </c>
      <c r="K1037" s="144" t="e">
        <f>J1037=#REF!</f>
        <v>#REF!</v>
      </c>
    </row>
    <row r="1038" spans="1:11" x14ac:dyDescent="0.3">
      <c r="A1038" s="34" t="s">
        <v>60</v>
      </c>
      <c r="B1038" s="35"/>
      <c r="C1038" s="35"/>
      <c r="D1038" s="35"/>
      <c r="E1038" s="35"/>
      <c r="F1038" s="35"/>
      <c r="G1038" s="35"/>
      <c r="H1038" s="35"/>
      <c r="I1038" s="35"/>
      <c r="J1038" s="36"/>
      <c r="K1038" s="143"/>
    </row>
    <row r="1039" spans="1:11" x14ac:dyDescent="0.3">
      <c r="A1039" s="122" t="s">
        <v>72</v>
      </c>
      <c r="B1039" s="37" t="s">
        <v>61</v>
      </c>
      <c r="C1039" s="38" t="e">
        <f>#REF!</f>
        <v>#REF!</v>
      </c>
      <c r="D1039" s="49">
        <v>6000500</v>
      </c>
      <c r="E1039" s="103"/>
      <c r="F1039" s="49"/>
      <c r="G1039" s="139"/>
      <c r="H1039" s="51">
        <v>3123915</v>
      </c>
      <c r="I1039" s="126">
        <v>3367697</v>
      </c>
      <c r="J1039" s="30" t="e">
        <f>+SUM(C1039:G1039)-(H1039+I1039)</f>
        <v>#REF!</v>
      </c>
      <c r="K1039" s="144" t="e">
        <f>J1039=#REF!</f>
        <v>#REF!</v>
      </c>
    </row>
    <row r="1040" spans="1:11" x14ac:dyDescent="0.3">
      <c r="A1040" s="43" t="s">
        <v>62</v>
      </c>
      <c r="B1040" s="24"/>
      <c r="C1040" s="35"/>
      <c r="D1040" s="24"/>
      <c r="E1040" s="24"/>
      <c r="F1040" s="24"/>
      <c r="G1040" s="24"/>
      <c r="H1040" s="24"/>
      <c r="I1040" s="24"/>
      <c r="J1040" s="36"/>
      <c r="K1040" s="143"/>
    </row>
    <row r="1041" spans="1:15" x14ac:dyDescent="0.3">
      <c r="A1041" s="122" t="s">
        <v>72</v>
      </c>
      <c r="B1041" s="37" t="s">
        <v>63</v>
      </c>
      <c r="C1041" s="125" t="e">
        <f>#REF!</f>
        <v>#REF!</v>
      </c>
      <c r="D1041" s="132"/>
      <c r="E1041" s="49"/>
      <c r="F1041" s="49"/>
      <c r="G1041" s="49"/>
      <c r="H1041" s="51">
        <v>2000000</v>
      </c>
      <c r="I1041" s="53">
        <v>271244</v>
      </c>
      <c r="J1041" s="30" t="e">
        <f>+SUM(C1041:G1041)-(H1041+I1041)</f>
        <v>#REF!</v>
      </c>
      <c r="K1041" s="144" t="e">
        <f>+J1041=#REF!</f>
        <v>#REF!</v>
      </c>
    </row>
    <row r="1042" spans="1:15" x14ac:dyDescent="0.3">
      <c r="A1042" s="122" t="s">
        <v>72</v>
      </c>
      <c r="B1042" s="37" t="s">
        <v>64</v>
      </c>
      <c r="C1042" s="125" t="e">
        <f>#REF!</f>
        <v>#REF!</v>
      </c>
      <c r="D1042" s="49">
        <v>31201251</v>
      </c>
      <c r="E1042" s="48"/>
      <c r="F1042" s="48"/>
      <c r="G1042" s="48"/>
      <c r="H1042" s="32">
        <v>4000000</v>
      </c>
      <c r="I1042" s="50">
        <v>6204544</v>
      </c>
      <c r="J1042" s="30" t="e">
        <f>SUM(C1042:G1042)-(H1042+I1042)</f>
        <v>#REF!</v>
      </c>
      <c r="K1042" s="144" t="e">
        <f>+J1042=#REF!</f>
        <v>#REF!</v>
      </c>
    </row>
    <row r="1043" spans="1:15" ht="15.6" x14ac:dyDescent="0.3">
      <c r="C1043" s="141" t="e">
        <f>SUM(C1028:C1042)</f>
        <v>#REF!</v>
      </c>
      <c r="I1043" s="140">
        <f>SUM(I1028:I1042)</f>
        <v>13290325</v>
      </c>
      <c r="J1043" s="105" t="e">
        <f>+SUM(J1028:J1042)</f>
        <v>#REF!</v>
      </c>
      <c r="K1043" s="5" t="e">
        <f>J1043=#REF!</f>
        <v>#REF!</v>
      </c>
    </row>
    <row r="1044" spans="1:15" x14ac:dyDescent="0.3">
      <c r="A1044" s="14"/>
      <c r="B1044" s="15"/>
      <c r="C1044" s="153"/>
      <c r="D1044" s="153"/>
      <c r="E1044" s="152"/>
      <c r="F1044" s="153"/>
      <c r="G1044" s="153" t="e">
        <f>+#REF!-J1043</f>
        <v>#REF!</v>
      </c>
      <c r="H1044" s="153"/>
      <c r="I1044" s="153"/>
    </row>
    <row r="1045" spans="1:15" x14ac:dyDescent="0.3">
      <c r="A1045" s="14"/>
      <c r="B1045" s="15"/>
      <c r="C1045" s="12"/>
      <c r="D1045" s="12"/>
      <c r="E1045" s="13"/>
      <c r="F1045" s="12"/>
      <c r="G1045" s="12"/>
      <c r="H1045" s="12"/>
      <c r="I1045" s="12"/>
    </row>
    <row r="1046" spans="1:15" x14ac:dyDescent="0.3">
      <c r="A1046" s="16" t="s">
        <v>52</v>
      </c>
      <c r="B1046" s="16"/>
      <c r="C1046" s="16"/>
      <c r="D1046" s="17"/>
      <c r="E1046" s="17"/>
      <c r="F1046" s="17"/>
      <c r="G1046" s="17"/>
      <c r="H1046" s="17"/>
      <c r="I1046" s="17"/>
    </row>
    <row r="1047" spans="1:15" x14ac:dyDescent="0.3">
      <c r="A1047" s="18" t="s">
        <v>132</v>
      </c>
      <c r="B1047" s="18"/>
      <c r="C1047" s="18"/>
      <c r="D1047" s="18"/>
      <c r="E1047" s="18"/>
      <c r="F1047" s="18"/>
      <c r="G1047" s="18"/>
      <c r="H1047" s="18"/>
      <c r="I1047" s="18"/>
      <c r="J1047" s="17"/>
    </row>
    <row r="1048" spans="1:15" x14ac:dyDescent="0.3">
      <c r="A1048" s="19"/>
      <c r="B1048" s="17"/>
      <c r="C1048" s="20"/>
      <c r="D1048" s="20"/>
      <c r="E1048" s="20"/>
      <c r="F1048" s="20"/>
      <c r="G1048" s="20"/>
      <c r="H1048" s="17"/>
      <c r="I1048" s="17"/>
      <c r="J1048" s="18"/>
    </row>
    <row r="1049" spans="1:15" x14ac:dyDescent="0.3">
      <c r="A1049" s="360" t="s">
        <v>53</v>
      </c>
      <c r="B1049" s="362" t="s">
        <v>54</v>
      </c>
      <c r="C1049" s="364" t="s">
        <v>134</v>
      </c>
      <c r="D1049" s="366" t="s">
        <v>55</v>
      </c>
      <c r="E1049" s="367"/>
      <c r="F1049" s="367"/>
      <c r="G1049" s="368"/>
      <c r="H1049" s="369" t="s">
        <v>56</v>
      </c>
      <c r="I1049" s="371" t="s">
        <v>57</v>
      </c>
      <c r="J1049" s="17"/>
    </row>
    <row r="1050" spans="1:15" x14ac:dyDescent="0.3">
      <c r="A1050" s="361"/>
      <c r="B1050" s="363"/>
      <c r="C1050" s="365"/>
      <c r="D1050" s="21" t="s">
        <v>24</v>
      </c>
      <c r="E1050" s="21" t="s">
        <v>25</v>
      </c>
      <c r="F1050" s="22" t="s">
        <v>123</v>
      </c>
      <c r="G1050" s="21" t="s">
        <v>58</v>
      </c>
      <c r="H1050" s="370"/>
      <c r="I1050" s="372"/>
      <c r="J1050" s="373" t="s">
        <v>133</v>
      </c>
      <c r="K1050" s="143"/>
    </row>
    <row r="1051" spans="1:15" x14ac:dyDescent="0.3">
      <c r="A1051" s="23"/>
      <c r="B1051" s="24" t="s">
        <v>59</v>
      </c>
      <c r="C1051" s="25"/>
      <c r="D1051" s="25"/>
      <c r="E1051" s="25"/>
      <c r="F1051" s="25"/>
      <c r="G1051" s="25"/>
      <c r="H1051" s="25"/>
      <c r="I1051" s="26"/>
      <c r="J1051" s="374"/>
      <c r="K1051" s="143"/>
      <c r="L1051" s="5"/>
      <c r="M1051" s="5"/>
      <c r="N1051" s="5"/>
      <c r="O1051" s="5"/>
    </row>
    <row r="1052" spans="1:15" x14ac:dyDescent="0.3">
      <c r="A1052" s="122" t="s">
        <v>135</v>
      </c>
      <c r="B1052" s="127" t="s">
        <v>76</v>
      </c>
      <c r="C1052" s="32" t="e">
        <f>+#REF!</f>
        <v>#REF!</v>
      </c>
      <c r="D1052" s="31"/>
      <c r="E1052" s="32">
        <v>114000</v>
      </c>
      <c r="F1052" s="32"/>
      <c r="G1052" s="32"/>
      <c r="H1052" s="55">
        <v>11050</v>
      </c>
      <c r="I1052" s="32">
        <v>112000</v>
      </c>
      <c r="J1052" s="30" t="e">
        <f>+SUM(C1052:G1052)-(H1052+I1052)</f>
        <v>#REF!</v>
      </c>
      <c r="K1052" s="144" t="e">
        <f>J1052=#REF!</f>
        <v>#REF!</v>
      </c>
      <c r="L1052" s="5"/>
      <c r="M1052" s="5"/>
      <c r="N1052" s="5"/>
      <c r="O1052" s="5"/>
    </row>
    <row r="1053" spans="1:15" x14ac:dyDescent="0.3">
      <c r="A1053" s="122" t="s">
        <v>135</v>
      </c>
      <c r="B1053" s="127" t="s">
        <v>47</v>
      </c>
      <c r="C1053" s="32" t="e">
        <f t="shared" ref="C1053:C1063" si="572">+C1030</f>
        <v>#REF!</v>
      </c>
      <c r="D1053" s="31"/>
      <c r="E1053" s="32">
        <v>87350</v>
      </c>
      <c r="F1053" s="32">
        <f>60000+62000</f>
        <v>122000</v>
      </c>
      <c r="G1053" s="32"/>
      <c r="H1053" s="55">
        <v>161395</v>
      </c>
      <c r="I1053" s="32">
        <v>281200</v>
      </c>
      <c r="J1053" s="30" t="e">
        <f t="shared" ref="J1053:J1054" si="573">+SUM(C1053:G1053)-(H1053+I1053)</f>
        <v>#REF!</v>
      </c>
      <c r="K1053" s="144" t="e">
        <f t="shared" ref="K1053:K1063" si="574">J1053=I1030</f>
        <v>#REF!</v>
      </c>
      <c r="L1053" s="5"/>
      <c r="M1053" s="5"/>
      <c r="N1053" s="5"/>
      <c r="O1053" s="5"/>
    </row>
    <row r="1054" spans="1:15" x14ac:dyDescent="0.3">
      <c r="A1054" s="122" t="s">
        <v>135</v>
      </c>
      <c r="B1054" s="127" t="s">
        <v>31</v>
      </c>
      <c r="C1054" s="32" t="e">
        <f t="shared" si="572"/>
        <v>#REF!</v>
      </c>
      <c r="D1054" s="31"/>
      <c r="E1054" s="32">
        <v>371500</v>
      </c>
      <c r="F1054" s="32"/>
      <c r="G1054" s="32"/>
      <c r="H1054" s="32">
        <f>62000+81500+137000</f>
        <v>280500</v>
      </c>
      <c r="I1054" s="32">
        <v>177000</v>
      </c>
      <c r="J1054" s="101" t="e">
        <f t="shared" si="573"/>
        <v>#REF!</v>
      </c>
      <c r="K1054" s="144" t="e">
        <f t="shared" si="574"/>
        <v>#REF!</v>
      </c>
      <c r="L1054" s="5"/>
      <c r="M1054" s="5"/>
      <c r="N1054" s="5"/>
      <c r="O1054" s="5"/>
    </row>
    <row r="1055" spans="1:15" x14ac:dyDescent="0.3">
      <c r="A1055" s="122" t="s">
        <v>135</v>
      </c>
      <c r="B1055" s="127" t="s">
        <v>77</v>
      </c>
      <c r="C1055" s="32" t="e">
        <f t="shared" si="572"/>
        <v>#REF!</v>
      </c>
      <c r="D1055" s="104"/>
      <c r="E1055" s="32">
        <v>35560</v>
      </c>
      <c r="F1055" s="32">
        <f>10000+81500</f>
        <v>91500</v>
      </c>
      <c r="G1055" s="32"/>
      <c r="H1055" s="32">
        <v>35000</v>
      </c>
      <c r="I1055" s="32">
        <v>159750</v>
      </c>
      <c r="J1055" s="101" t="e">
        <f>+SUM(C1055:G1055)-(H1055+I1055)</f>
        <v>#REF!</v>
      </c>
      <c r="K1055" s="144" t="e">
        <f t="shared" si="574"/>
        <v>#REF!</v>
      </c>
      <c r="L1055" s="5"/>
      <c r="M1055" s="5"/>
      <c r="N1055" s="5"/>
      <c r="O1055" s="5"/>
    </row>
    <row r="1056" spans="1:15" x14ac:dyDescent="0.3">
      <c r="A1056" s="122" t="s">
        <v>135</v>
      </c>
      <c r="B1056" s="128" t="s">
        <v>30</v>
      </c>
      <c r="C1056" s="32" t="e">
        <f t="shared" si="572"/>
        <v>#REF!</v>
      </c>
      <c r="D1056" s="119"/>
      <c r="E1056" s="51">
        <v>372085</v>
      </c>
      <c r="F1056" s="51"/>
      <c r="G1056" s="51"/>
      <c r="H1056" s="51"/>
      <c r="I1056" s="51">
        <v>336400</v>
      </c>
      <c r="J1056" s="124" t="e">
        <f>+SUM(C1056:G1056)-(H1056+I1056)</f>
        <v>#REF!</v>
      </c>
      <c r="K1056" s="144" t="e">
        <f t="shared" si="574"/>
        <v>#REF!</v>
      </c>
      <c r="L1056" s="5"/>
      <c r="M1056" s="5"/>
      <c r="N1056" s="5"/>
      <c r="O1056" s="5"/>
    </row>
    <row r="1057" spans="1:15" x14ac:dyDescent="0.3">
      <c r="A1057" s="122" t="s">
        <v>135</v>
      </c>
      <c r="B1057" s="129" t="s">
        <v>84</v>
      </c>
      <c r="C1057" s="120" t="e">
        <f t="shared" si="572"/>
        <v>#REF!</v>
      </c>
      <c r="D1057" s="123"/>
      <c r="E1057" s="137"/>
      <c r="F1057" s="137"/>
      <c r="G1057" s="137"/>
      <c r="H1057" s="137"/>
      <c r="I1057" s="137"/>
      <c r="J1057" s="121" t="e">
        <f>+SUM(C1057:G1057)-(H1057+I1057)</f>
        <v>#REF!</v>
      </c>
      <c r="K1057" s="144" t="e">
        <f t="shared" si="574"/>
        <v>#REF!</v>
      </c>
      <c r="L1057" s="5"/>
      <c r="M1057" s="5"/>
      <c r="N1057" s="5"/>
      <c r="O1057" s="5"/>
    </row>
    <row r="1058" spans="1:15" x14ac:dyDescent="0.3">
      <c r="A1058" s="122" t="s">
        <v>135</v>
      </c>
      <c r="B1058" s="129" t="s">
        <v>83</v>
      </c>
      <c r="C1058" s="120" t="e">
        <f t="shared" si="572"/>
        <v>#REF!</v>
      </c>
      <c r="D1058" s="123"/>
      <c r="E1058" s="137"/>
      <c r="F1058" s="137"/>
      <c r="G1058" s="137"/>
      <c r="H1058" s="137"/>
      <c r="I1058" s="137"/>
      <c r="J1058" s="121" t="e">
        <f t="shared" ref="J1058:J1063" si="575">+SUM(C1058:G1058)-(H1058+I1058)</f>
        <v>#REF!</v>
      </c>
      <c r="K1058" s="144" t="e">
        <f t="shared" si="574"/>
        <v>#REF!</v>
      </c>
      <c r="L1058" s="5"/>
      <c r="M1058" s="5"/>
      <c r="N1058" s="5"/>
      <c r="O1058" s="5"/>
    </row>
    <row r="1059" spans="1:15" x14ac:dyDescent="0.3">
      <c r="A1059" s="122" t="s">
        <v>135</v>
      </c>
      <c r="B1059" s="127" t="s">
        <v>35</v>
      </c>
      <c r="C1059" s="32" t="e">
        <f t="shared" si="572"/>
        <v>#REF!</v>
      </c>
      <c r="D1059" s="31"/>
      <c r="E1059" s="32">
        <v>400000</v>
      </c>
      <c r="F1059" s="32">
        <v>137000</v>
      </c>
      <c r="G1059" s="104"/>
      <c r="H1059" s="104"/>
      <c r="I1059" s="32">
        <v>563500</v>
      </c>
      <c r="J1059" s="30" t="e">
        <f t="shared" si="575"/>
        <v>#REF!</v>
      </c>
      <c r="K1059" s="144" t="e">
        <f t="shared" si="574"/>
        <v>#REF!</v>
      </c>
      <c r="L1059" s="5"/>
      <c r="M1059" s="5"/>
      <c r="N1059" s="5"/>
      <c r="O1059" s="5"/>
    </row>
    <row r="1060" spans="1:15" x14ac:dyDescent="0.3">
      <c r="A1060" s="122" t="s">
        <v>135</v>
      </c>
      <c r="B1060" s="127" t="s">
        <v>93</v>
      </c>
      <c r="C1060" s="32" t="e">
        <f t="shared" si="572"/>
        <v>#REF!</v>
      </c>
      <c r="D1060" s="31"/>
      <c r="E1060" s="32">
        <v>35000</v>
      </c>
      <c r="F1060" s="104"/>
      <c r="G1060" s="104"/>
      <c r="H1060" s="104"/>
      <c r="I1060" s="32">
        <v>23500</v>
      </c>
      <c r="J1060" s="30" t="e">
        <f t="shared" si="575"/>
        <v>#REF!</v>
      </c>
      <c r="K1060" s="144" t="e">
        <f t="shared" si="574"/>
        <v>#REF!</v>
      </c>
      <c r="L1060" s="5"/>
      <c r="M1060" s="5"/>
      <c r="N1060" s="5"/>
      <c r="O1060" s="5"/>
    </row>
    <row r="1061" spans="1:15" x14ac:dyDescent="0.3">
      <c r="A1061" s="122" t="s">
        <v>135</v>
      </c>
      <c r="B1061" s="127" t="s">
        <v>29</v>
      </c>
      <c r="C1061" s="32">
        <f t="shared" si="572"/>
        <v>0</v>
      </c>
      <c r="D1061" s="31"/>
      <c r="E1061" s="32">
        <v>454000</v>
      </c>
      <c r="F1061" s="104"/>
      <c r="G1061" s="104"/>
      <c r="H1061" s="104"/>
      <c r="I1061" s="32">
        <v>329100</v>
      </c>
      <c r="J1061" s="30">
        <f t="shared" si="575"/>
        <v>124900</v>
      </c>
      <c r="K1061" s="144" t="b">
        <f t="shared" si="574"/>
        <v>0</v>
      </c>
      <c r="L1061" s="5"/>
      <c r="M1061" s="5"/>
      <c r="N1061" s="5"/>
      <c r="O1061" s="5"/>
    </row>
    <row r="1062" spans="1:15" x14ac:dyDescent="0.3">
      <c r="A1062" s="122" t="s">
        <v>135</v>
      </c>
      <c r="B1062" s="127" t="s">
        <v>32</v>
      </c>
      <c r="C1062" s="32" t="e">
        <f t="shared" si="572"/>
        <v>#REF!</v>
      </c>
      <c r="D1062" s="31"/>
      <c r="E1062" s="32"/>
      <c r="F1062" s="104"/>
      <c r="G1062" s="104"/>
      <c r="H1062" s="32">
        <v>20000</v>
      </c>
      <c r="I1062" s="32">
        <v>5000</v>
      </c>
      <c r="J1062" s="30" t="e">
        <f t="shared" si="575"/>
        <v>#REF!</v>
      </c>
      <c r="K1062" s="144" t="e">
        <f t="shared" si="574"/>
        <v>#REF!</v>
      </c>
      <c r="L1062" s="5"/>
      <c r="M1062" s="5"/>
      <c r="N1062" s="5"/>
      <c r="O1062" s="5"/>
    </row>
    <row r="1063" spans="1:15" x14ac:dyDescent="0.3">
      <c r="A1063" s="122" t="s">
        <v>135</v>
      </c>
      <c r="B1063" s="128" t="s">
        <v>113</v>
      </c>
      <c r="C1063" s="32">
        <f t="shared" si="572"/>
        <v>0</v>
      </c>
      <c r="D1063" s="119"/>
      <c r="E1063" s="51">
        <v>231000</v>
      </c>
      <c r="F1063" s="51"/>
      <c r="G1063" s="138"/>
      <c r="H1063" s="51">
        <v>90000</v>
      </c>
      <c r="I1063" s="51">
        <v>180000</v>
      </c>
      <c r="J1063" s="30">
        <f t="shared" si="575"/>
        <v>-39000</v>
      </c>
      <c r="K1063" s="144" t="b">
        <f t="shared" si="574"/>
        <v>0</v>
      </c>
      <c r="L1063" s="5"/>
      <c r="M1063" s="5"/>
      <c r="N1063" s="5"/>
      <c r="O1063" s="5"/>
    </row>
    <row r="1064" spans="1:15" x14ac:dyDescent="0.3">
      <c r="A1064" s="34" t="s">
        <v>60</v>
      </c>
      <c r="B1064" s="35"/>
      <c r="C1064" s="35"/>
      <c r="D1064" s="35"/>
      <c r="E1064" s="35"/>
      <c r="F1064" s="35"/>
      <c r="G1064" s="35"/>
      <c r="H1064" s="35"/>
      <c r="I1064" s="35"/>
      <c r="J1064" s="36"/>
      <c r="K1064" s="143"/>
      <c r="L1064" s="5"/>
      <c r="M1064" s="5"/>
      <c r="N1064" s="5"/>
      <c r="O1064" s="5"/>
    </row>
    <row r="1065" spans="1:15" x14ac:dyDescent="0.3">
      <c r="A1065" s="122" t="s">
        <v>135</v>
      </c>
      <c r="B1065" s="37" t="s">
        <v>61</v>
      </c>
      <c r="C1065" s="38" t="e">
        <f>+C1029</f>
        <v>#REF!</v>
      </c>
      <c r="D1065" s="49">
        <v>5000000</v>
      </c>
      <c r="E1065" s="103"/>
      <c r="F1065" s="49">
        <v>217445</v>
      </c>
      <c r="G1065" s="139"/>
      <c r="H1065" s="131">
        <v>2070495</v>
      </c>
      <c r="I1065" s="126">
        <v>3286349</v>
      </c>
      <c r="J1065" s="30" t="e">
        <f>+SUM(C1065:G1065)-(H1065+I1065)</f>
        <v>#REF!</v>
      </c>
      <c r="K1065" s="144" t="e">
        <f>J1065=I1029</f>
        <v>#REF!</v>
      </c>
      <c r="L1065" s="5"/>
      <c r="M1065" s="5"/>
      <c r="N1065" s="5"/>
      <c r="O1065" s="5"/>
    </row>
    <row r="1066" spans="1:15" x14ac:dyDescent="0.3">
      <c r="A1066" s="43" t="s">
        <v>62</v>
      </c>
      <c r="B1066" s="24"/>
      <c r="C1066" s="35"/>
      <c r="D1066" s="24"/>
      <c r="E1066" s="24"/>
      <c r="F1066" s="24"/>
      <c r="G1066" s="24"/>
      <c r="H1066" s="24"/>
      <c r="I1066" s="24"/>
      <c r="J1066" s="36"/>
      <c r="K1066" s="143"/>
      <c r="L1066" s="5"/>
      <c r="M1066" s="5"/>
      <c r="N1066" s="5"/>
      <c r="O1066" s="5"/>
    </row>
    <row r="1067" spans="1:15" x14ac:dyDescent="0.3">
      <c r="A1067" s="122" t="s">
        <v>135</v>
      </c>
      <c r="B1067" s="37" t="s">
        <v>63</v>
      </c>
      <c r="C1067" s="125" t="e">
        <f>+#REF!</f>
        <v>#REF!</v>
      </c>
      <c r="D1067" s="132">
        <v>7900099</v>
      </c>
      <c r="E1067" s="49"/>
      <c r="F1067" s="49"/>
      <c r="G1067" s="49"/>
      <c r="H1067" s="51">
        <v>3000000</v>
      </c>
      <c r="I1067" s="53">
        <v>379529</v>
      </c>
      <c r="J1067" s="30" t="e">
        <f>+SUM(C1067:G1067)-(H1067+I1067)</f>
        <v>#REF!</v>
      </c>
      <c r="K1067" s="144" t="e">
        <f>+J1067=#REF!</f>
        <v>#REF!</v>
      </c>
      <c r="L1067" s="5"/>
      <c r="M1067" s="5"/>
      <c r="N1067" s="5"/>
      <c r="O1067" s="5"/>
    </row>
    <row r="1068" spans="1:15" x14ac:dyDescent="0.3">
      <c r="A1068" s="122" t="s">
        <v>135</v>
      </c>
      <c r="B1068" s="37" t="s">
        <v>64</v>
      </c>
      <c r="C1068" s="125" t="e">
        <f>+C1028</f>
        <v>#REF!</v>
      </c>
      <c r="D1068" s="49"/>
      <c r="E1068" s="48"/>
      <c r="F1068" s="48"/>
      <c r="G1068" s="48"/>
      <c r="H1068" s="32">
        <v>2000000</v>
      </c>
      <c r="I1068" s="50">
        <v>5392233</v>
      </c>
      <c r="J1068" s="30" t="e">
        <f>SUM(C1068:G1068)-(H1068+I1068)</f>
        <v>#REF!</v>
      </c>
      <c r="K1068" s="144" t="e">
        <f>+J1068=I1028</f>
        <v>#REF!</v>
      </c>
      <c r="L1068" s="5"/>
      <c r="M1068" s="5"/>
      <c r="N1068" s="5"/>
      <c r="O1068" s="5"/>
    </row>
    <row r="1069" spans="1:15" ht="15.6" x14ac:dyDescent="0.3">
      <c r="C1069" s="141" t="e">
        <f>SUM(C1052:C1068)</f>
        <v>#REF!</v>
      </c>
      <c r="I1069" s="140">
        <f>SUM(I1052:I1068)</f>
        <v>11225561</v>
      </c>
      <c r="J1069" s="105" t="e">
        <f>+SUM(J1052:J1068)</f>
        <v>#REF!</v>
      </c>
      <c r="K1069" s="5" t="e">
        <f>J1069=I1041</f>
        <v>#REF!</v>
      </c>
      <c r="L1069" s="5"/>
      <c r="M1069" s="5"/>
      <c r="N1069" s="5"/>
      <c r="O1069" s="5"/>
    </row>
    <row r="1070" spans="1:15" x14ac:dyDescent="0.3">
      <c r="A1070" s="14"/>
      <c r="B1070" s="15"/>
      <c r="C1070" s="12"/>
      <c r="D1070" s="12"/>
      <c r="E1070" s="13"/>
      <c r="F1070" s="12"/>
      <c r="G1070" s="12"/>
      <c r="H1070" s="12"/>
      <c r="I1070" s="12"/>
      <c r="L1070" s="5"/>
      <c r="M1070" s="5"/>
      <c r="N1070" s="5"/>
      <c r="O1070" s="5"/>
    </row>
    <row r="1071" spans="1:15" x14ac:dyDescent="0.3">
      <c r="A1071" s="16" t="s">
        <v>52</v>
      </c>
      <c r="B1071" s="16"/>
      <c r="C1071" s="16"/>
      <c r="D1071" s="17"/>
      <c r="E1071" s="17"/>
      <c r="F1071" s="17"/>
      <c r="G1071" s="17"/>
      <c r="H1071" s="17"/>
      <c r="I1071" s="17"/>
      <c r="L1071" s="5"/>
      <c r="M1071" s="5"/>
      <c r="N1071" s="5"/>
      <c r="O1071" s="5"/>
    </row>
    <row r="1072" spans="1:15" x14ac:dyDescent="0.3">
      <c r="A1072" s="18" t="s">
        <v>128</v>
      </c>
      <c r="B1072" s="18"/>
      <c r="C1072" s="18"/>
      <c r="D1072" s="18"/>
      <c r="E1072" s="18"/>
      <c r="F1072" s="18"/>
      <c r="G1072" s="18"/>
      <c r="H1072" s="18"/>
      <c r="I1072" s="18"/>
      <c r="J1072" s="17"/>
      <c r="L1072" s="5"/>
      <c r="M1072" s="5"/>
      <c r="N1072" s="5"/>
      <c r="O1072" s="5"/>
    </row>
    <row r="1073" spans="1:15" x14ac:dyDescent="0.3">
      <c r="A1073" s="19"/>
      <c r="B1073" s="17"/>
      <c r="C1073" s="20"/>
      <c r="D1073" s="20"/>
      <c r="E1073" s="20"/>
      <c r="F1073" s="20"/>
      <c r="G1073" s="20"/>
      <c r="H1073" s="17"/>
      <c r="I1073" s="17"/>
      <c r="J1073" s="18"/>
      <c r="L1073" s="5"/>
      <c r="M1073" s="5"/>
      <c r="N1073" s="5"/>
      <c r="O1073" s="5"/>
    </row>
    <row r="1074" spans="1:15" x14ac:dyDescent="0.3">
      <c r="A1074" s="360" t="s">
        <v>53</v>
      </c>
      <c r="B1074" s="362" t="s">
        <v>54</v>
      </c>
      <c r="C1074" s="364" t="s">
        <v>129</v>
      </c>
      <c r="D1074" s="366" t="s">
        <v>55</v>
      </c>
      <c r="E1074" s="367"/>
      <c r="F1074" s="367"/>
      <c r="G1074" s="368"/>
      <c r="H1074" s="369" t="s">
        <v>56</v>
      </c>
      <c r="I1074" s="371" t="s">
        <v>57</v>
      </c>
      <c r="J1074" s="17"/>
      <c r="L1074" s="5"/>
      <c r="M1074" s="5"/>
      <c r="N1074" s="5"/>
      <c r="O1074" s="5"/>
    </row>
    <row r="1075" spans="1:15" x14ac:dyDescent="0.3">
      <c r="A1075" s="361"/>
      <c r="B1075" s="363"/>
      <c r="C1075" s="365"/>
      <c r="D1075" s="21" t="s">
        <v>24</v>
      </c>
      <c r="E1075" s="21" t="s">
        <v>25</v>
      </c>
      <c r="F1075" s="22" t="s">
        <v>123</v>
      </c>
      <c r="G1075" s="21" t="s">
        <v>58</v>
      </c>
      <c r="H1075" s="370"/>
      <c r="I1075" s="372"/>
      <c r="J1075" s="373" t="s">
        <v>130</v>
      </c>
      <c r="K1075" s="143"/>
      <c r="L1075" s="5"/>
      <c r="M1075" s="5"/>
      <c r="N1075" s="5"/>
      <c r="O1075" s="5"/>
    </row>
    <row r="1076" spans="1:15" x14ac:dyDescent="0.3">
      <c r="A1076" s="23"/>
      <c r="B1076" s="24" t="s">
        <v>59</v>
      </c>
      <c r="C1076" s="25"/>
      <c r="D1076" s="25"/>
      <c r="E1076" s="25"/>
      <c r="F1076" s="25"/>
      <c r="G1076" s="25"/>
      <c r="H1076" s="25"/>
      <c r="I1076" s="26"/>
      <c r="J1076" s="374"/>
      <c r="K1076" s="143"/>
      <c r="L1076" s="5"/>
      <c r="M1076" s="5"/>
      <c r="N1076" s="5"/>
      <c r="O1076" s="5"/>
    </row>
    <row r="1077" spans="1:15" x14ac:dyDescent="0.3">
      <c r="A1077" s="122" t="s">
        <v>131</v>
      </c>
      <c r="B1077" s="127" t="s">
        <v>76</v>
      </c>
      <c r="C1077" s="32">
        <v>40050</v>
      </c>
      <c r="D1077" s="31"/>
      <c r="E1077" s="32">
        <v>104000</v>
      </c>
      <c r="F1077" s="32"/>
      <c r="G1077" s="32"/>
      <c r="H1077" s="55">
        <v>54000</v>
      </c>
      <c r="I1077" s="32">
        <v>81000</v>
      </c>
      <c r="J1077" s="30">
        <f>+SUM(C1077:G1077)-(H1077+I1077)</f>
        <v>9050</v>
      </c>
      <c r="K1077" s="144" t="e">
        <f>J1077=#REF!</f>
        <v>#REF!</v>
      </c>
      <c r="L1077" s="5"/>
      <c r="M1077" s="5"/>
      <c r="N1077" s="5"/>
      <c r="O1077" s="5"/>
    </row>
    <row r="1078" spans="1:15" x14ac:dyDescent="0.3">
      <c r="A1078" s="122" t="s">
        <v>131</v>
      </c>
      <c r="B1078" s="127" t="s">
        <v>47</v>
      </c>
      <c r="C1078" s="32">
        <v>38845</v>
      </c>
      <c r="D1078" s="31"/>
      <c r="E1078" s="32">
        <v>1550000</v>
      </c>
      <c r="F1078" s="32"/>
      <c r="G1078" s="32"/>
      <c r="H1078" s="55">
        <v>311000</v>
      </c>
      <c r="I1078" s="32">
        <v>1017400</v>
      </c>
      <c r="J1078" s="30">
        <f t="shared" ref="J1078:J1079" si="576">+SUM(C1078:G1078)-(H1078+I1078)</f>
        <v>260445</v>
      </c>
      <c r="K1078" s="144" t="b">
        <f>J1078=I1030</f>
        <v>0</v>
      </c>
      <c r="L1078" s="5"/>
      <c r="M1078" s="5"/>
      <c r="N1078" s="5"/>
      <c r="O1078" s="5"/>
    </row>
    <row r="1079" spans="1:15" x14ac:dyDescent="0.3">
      <c r="A1079" s="122" t="s">
        <v>131</v>
      </c>
      <c r="B1079" s="127" t="s">
        <v>31</v>
      </c>
      <c r="C1079" s="32">
        <v>6895</v>
      </c>
      <c r="D1079" s="31"/>
      <c r="E1079" s="32">
        <v>581000</v>
      </c>
      <c r="F1079" s="32"/>
      <c r="G1079" s="32"/>
      <c r="H1079" s="32"/>
      <c r="I1079" s="32">
        <v>498900</v>
      </c>
      <c r="J1079" s="101">
        <f t="shared" si="576"/>
        <v>88995</v>
      </c>
      <c r="K1079" s="144" t="b">
        <f>J1079=I1031</f>
        <v>0</v>
      </c>
      <c r="L1079" s="5"/>
      <c r="M1079" s="5"/>
      <c r="N1079" s="5"/>
      <c r="O1079" s="5"/>
    </row>
    <row r="1080" spans="1:15" x14ac:dyDescent="0.3">
      <c r="A1080" s="122" t="s">
        <v>131</v>
      </c>
      <c r="B1080" s="127" t="s">
        <v>77</v>
      </c>
      <c r="C1080" s="32">
        <v>28540</v>
      </c>
      <c r="D1080" s="104"/>
      <c r="E1080" s="32">
        <v>332000</v>
      </c>
      <c r="F1080" s="32">
        <v>10000</v>
      </c>
      <c r="G1080" s="32"/>
      <c r="H1080" s="32"/>
      <c r="I1080" s="32">
        <v>302850</v>
      </c>
      <c r="J1080" s="101">
        <f>+SUM(C1080:G1080)-(H1080+I1080)</f>
        <v>67690</v>
      </c>
      <c r="K1080" s="144" t="b">
        <f>J1080=I1032</f>
        <v>0</v>
      </c>
      <c r="L1080" s="5"/>
      <c r="M1080" s="5"/>
      <c r="N1080" s="5"/>
      <c r="O1080" s="5"/>
    </row>
    <row r="1081" spans="1:15" x14ac:dyDescent="0.3">
      <c r="A1081" s="122" t="s">
        <v>131</v>
      </c>
      <c r="B1081" s="127" t="s">
        <v>69</v>
      </c>
      <c r="C1081" s="32">
        <v>184</v>
      </c>
      <c r="D1081" s="104"/>
      <c r="E1081" s="32"/>
      <c r="F1081" s="32"/>
      <c r="G1081" s="32"/>
      <c r="H1081" s="32">
        <v>184</v>
      </c>
      <c r="I1081" s="32"/>
      <c r="J1081" s="101">
        <f t="shared" ref="J1081" si="577">+SUM(C1081:G1081)-(H1081+I1081)</f>
        <v>0</v>
      </c>
      <c r="K1081" s="144" t="e">
        <f>J1081=#REF!</f>
        <v>#REF!</v>
      </c>
      <c r="L1081" s="5"/>
      <c r="M1081" s="5"/>
      <c r="N1081" s="5"/>
      <c r="O1081" s="5"/>
    </row>
    <row r="1082" spans="1:15" x14ac:dyDescent="0.3">
      <c r="A1082" s="122" t="s">
        <v>131</v>
      </c>
      <c r="B1082" s="128" t="s">
        <v>30</v>
      </c>
      <c r="C1082" s="32">
        <v>68200</v>
      </c>
      <c r="D1082" s="119"/>
      <c r="E1082" s="51">
        <v>638000</v>
      </c>
      <c r="F1082" s="51">
        <v>45000</v>
      </c>
      <c r="G1082" s="51"/>
      <c r="H1082" s="51"/>
      <c r="I1082" s="51">
        <v>787385</v>
      </c>
      <c r="J1082" s="124">
        <f>+SUM(C1082:G1082)-(H1082+I1082)</f>
        <v>-36185</v>
      </c>
      <c r="K1082" s="144" t="b">
        <f t="shared" ref="K1082:K1089" si="578">J1082=I1033</f>
        <v>0</v>
      </c>
      <c r="L1082" s="5"/>
      <c r="M1082" s="5"/>
      <c r="N1082" s="5"/>
      <c r="O1082" s="5"/>
    </row>
    <row r="1083" spans="1:15" x14ac:dyDescent="0.3">
      <c r="A1083" s="122" t="s">
        <v>131</v>
      </c>
      <c r="B1083" s="129" t="s">
        <v>84</v>
      </c>
      <c r="C1083" s="120">
        <v>233614</v>
      </c>
      <c r="D1083" s="123"/>
      <c r="E1083" s="137"/>
      <c r="F1083" s="137"/>
      <c r="G1083" s="137"/>
      <c r="H1083" s="137"/>
      <c r="I1083" s="137"/>
      <c r="J1083" s="121">
        <f>+SUM(C1083:G1083)-(H1083+I1083)</f>
        <v>233614</v>
      </c>
      <c r="K1083" s="144" t="b">
        <f t="shared" si="578"/>
        <v>0</v>
      </c>
      <c r="L1083" s="5"/>
      <c r="M1083" s="5"/>
      <c r="N1083" s="5"/>
      <c r="O1083" s="5"/>
    </row>
    <row r="1084" spans="1:15" x14ac:dyDescent="0.3">
      <c r="A1084" s="122" t="s">
        <v>131</v>
      </c>
      <c r="B1084" s="129" t="s">
        <v>83</v>
      </c>
      <c r="C1084" s="120">
        <v>249769</v>
      </c>
      <c r="D1084" s="123"/>
      <c r="E1084" s="137"/>
      <c r="F1084" s="137"/>
      <c r="G1084" s="137"/>
      <c r="H1084" s="137"/>
      <c r="I1084" s="137"/>
      <c r="J1084" s="121">
        <f t="shared" ref="J1084:J1089" si="579">+SUM(C1084:G1084)-(H1084+I1084)</f>
        <v>249769</v>
      </c>
      <c r="K1084" s="144" t="b">
        <f t="shared" si="578"/>
        <v>0</v>
      </c>
      <c r="L1084" s="5"/>
      <c r="M1084" s="5"/>
      <c r="N1084" s="5"/>
      <c r="O1084" s="5"/>
    </row>
    <row r="1085" spans="1:15" x14ac:dyDescent="0.3">
      <c r="A1085" s="122" t="s">
        <v>131</v>
      </c>
      <c r="B1085" s="127" t="s">
        <v>35</v>
      </c>
      <c r="C1085" s="32">
        <v>-4675</v>
      </c>
      <c r="D1085" s="31"/>
      <c r="E1085" s="32">
        <v>494000</v>
      </c>
      <c r="F1085" s="32">
        <v>256000</v>
      </c>
      <c r="G1085" s="104"/>
      <c r="H1085" s="104">
        <v>6500</v>
      </c>
      <c r="I1085" s="32">
        <v>607250</v>
      </c>
      <c r="J1085" s="30">
        <f t="shared" si="579"/>
        <v>131575</v>
      </c>
      <c r="K1085" s="144" t="b">
        <f t="shared" si="578"/>
        <v>0</v>
      </c>
      <c r="L1085" s="5"/>
      <c r="M1085" s="5"/>
      <c r="N1085" s="5"/>
      <c r="O1085" s="5"/>
    </row>
    <row r="1086" spans="1:15" x14ac:dyDescent="0.3">
      <c r="A1086" s="122" t="s">
        <v>131</v>
      </c>
      <c r="B1086" s="127" t="s">
        <v>93</v>
      </c>
      <c r="C1086" s="32">
        <v>5000</v>
      </c>
      <c r="D1086" s="31"/>
      <c r="E1086" s="32">
        <v>30000</v>
      </c>
      <c r="F1086" s="104"/>
      <c r="G1086" s="104"/>
      <c r="H1086" s="104"/>
      <c r="I1086" s="32">
        <v>29500</v>
      </c>
      <c r="J1086" s="30">
        <f t="shared" si="579"/>
        <v>5500</v>
      </c>
      <c r="K1086" s="144" t="b">
        <f t="shared" si="578"/>
        <v>0</v>
      </c>
      <c r="L1086" s="5"/>
      <c r="M1086" s="5"/>
      <c r="N1086" s="5"/>
      <c r="O1086" s="5"/>
    </row>
    <row r="1087" spans="1:15" x14ac:dyDescent="0.3">
      <c r="A1087" s="122" t="s">
        <v>131</v>
      </c>
      <c r="B1087" s="127" t="s">
        <v>29</v>
      </c>
      <c r="C1087" s="32">
        <v>72800</v>
      </c>
      <c r="D1087" s="31"/>
      <c r="E1087" s="32">
        <v>446000</v>
      </c>
      <c r="F1087" s="104"/>
      <c r="G1087" s="104"/>
      <c r="H1087" s="104"/>
      <c r="I1087" s="32">
        <v>512600</v>
      </c>
      <c r="J1087" s="30">
        <f t="shared" si="579"/>
        <v>6200</v>
      </c>
      <c r="K1087" s="144" t="b">
        <f t="shared" si="578"/>
        <v>0</v>
      </c>
      <c r="L1087" s="5"/>
      <c r="M1087" s="5"/>
      <c r="N1087" s="5"/>
      <c r="O1087" s="5"/>
    </row>
    <row r="1088" spans="1:15" x14ac:dyDescent="0.3">
      <c r="A1088" s="122" t="s">
        <v>131</v>
      </c>
      <c r="B1088" s="127" t="s">
        <v>32</v>
      </c>
      <c r="C1088" s="32">
        <v>47300</v>
      </c>
      <c r="D1088" s="31"/>
      <c r="E1088" s="32">
        <v>5000</v>
      </c>
      <c r="F1088" s="104">
        <v>6500</v>
      </c>
      <c r="G1088" s="104"/>
      <c r="H1088" s="32">
        <v>20000</v>
      </c>
      <c r="I1088" s="32">
        <v>8000</v>
      </c>
      <c r="J1088" s="30">
        <f t="shared" si="579"/>
        <v>30800</v>
      </c>
      <c r="K1088" s="144" t="b">
        <f t="shared" si="578"/>
        <v>0</v>
      </c>
      <c r="L1088" s="5"/>
      <c r="M1088" s="5"/>
      <c r="N1088" s="5"/>
      <c r="O1088" s="5"/>
    </row>
    <row r="1089" spans="1:15" x14ac:dyDescent="0.3">
      <c r="A1089" s="122" t="s">
        <v>131</v>
      </c>
      <c r="B1089" s="128" t="s">
        <v>113</v>
      </c>
      <c r="C1089" s="32">
        <v>79600</v>
      </c>
      <c r="D1089" s="119"/>
      <c r="E1089" s="51"/>
      <c r="F1089" s="51"/>
      <c r="G1089" s="138"/>
      <c r="H1089" s="51"/>
      <c r="I1089" s="51">
        <v>37707</v>
      </c>
      <c r="J1089" s="30">
        <f t="shared" si="579"/>
        <v>41893</v>
      </c>
      <c r="K1089" s="144" t="b">
        <f t="shared" si="578"/>
        <v>0</v>
      </c>
      <c r="L1089" s="5"/>
      <c r="M1089" s="5"/>
      <c r="N1089" s="5"/>
      <c r="O1089" s="5"/>
    </row>
    <row r="1090" spans="1:15" x14ac:dyDescent="0.3">
      <c r="A1090" s="34" t="s">
        <v>60</v>
      </c>
      <c r="B1090" s="35"/>
      <c r="C1090" s="35"/>
      <c r="D1090" s="35"/>
      <c r="E1090" s="35"/>
      <c r="F1090" s="35"/>
      <c r="G1090" s="35"/>
      <c r="H1090" s="35"/>
      <c r="I1090" s="35"/>
      <c r="J1090" s="36"/>
      <c r="K1090" s="143"/>
      <c r="L1090" s="5"/>
      <c r="M1090" s="5"/>
      <c r="N1090" s="5"/>
      <c r="O1090" s="5"/>
    </row>
    <row r="1091" spans="1:15" x14ac:dyDescent="0.3">
      <c r="A1091" s="122" t="s">
        <v>131</v>
      </c>
      <c r="B1091" s="37" t="s">
        <v>61</v>
      </c>
      <c r="C1091" s="38">
        <v>467929</v>
      </c>
      <c r="D1091" s="49">
        <v>6310000</v>
      </c>
      <c r="E1091" s="103"/>
      <c r="F1091" s="49">
        <v>74184</v>
      </c>
      <c r="G1091" s="139"/>
      <c r="H1091" s="131">
        <v>4180000</v>
      </c>
      <c r="I1091" s="126">
        <v>1710965</v>
      </c>
      <c r="J1091" s="30">
        <f>+SUM(C1091:G1091)-(H1091+I1091)</f>
        <v>961148</v>
      </c>
      <c r="K1091" s="144" t="b">
        <f>J1091=I1029</f>
        <v>0</v>
      </c>
      <c r="L1091" s="5"/>
      <c r="M1091" s="5"/>
      <c r="N1091" s="5"/>
      <c r="O1091" s="5"/>
    </row>
    <row r="1092" spans="1:15" x14ac:dyDescent="0.3">
      <c r="A1092" s="43" t="s">
        <v>62</v>
      </c>
      <c r="B1092" s="24"/>
      <c r="C1092" s="35"/>
      <c r="D1092" s="24"/>
      <c r="E1092" s="24"/>
      <c r="F1092" s="24"/>
      <c r="G1092" s="24"/>
      <c r="H1092" s="24"/>
      <c r="I1092" s="24"/>
      <c r="J1092" s="36"/>
      <c r="K1092" s="143"/>
      <c r="L1092" s="5"/>
      <c r="M1092" s="5"/>
      <c r="N1092" s="5"/>
      <c r="O1092" s="5"/>
    </row>
    <row r="1093" spans="1:15" x14ac:dyDescent="0.3">
      <c r="A1093" s="122" t="s">
        <v>131</v>
      </c>
      <c r="B1093" s="37" t="s">
        <v>63</v>
      </c>
      <c r="C1093" s="125">
        <v>7405927</v>
      </c>
      <c r="D1093" s="132"/>
      <c r="E1093" s="49"/>
      <c r="F1093" s="49"/>
      <c r="G1093" s="49"/>
      <c r="H1093" s="51">
        <v>2000000</v>
      </c>
      <c r="I1093" s="53">
        <v>1710232</v>
      </c>
      <c r="J1093" s="30">
        <f>+SUM(C1093:G1093)-(H1093+I1093)</f>
        <v>3695695</v>
      </c>
      <c r="K1093" s="144" t="e">
        <f>+J1093=#REF!</f>
        <v>#REF!</v>
      </c>
      <c r="L1093" s="5"/>
      <c r="M1093" s="5"/>
      <c r="N1093" s="5"/>
      <c r="O1093" s="5"/>
    </row>
    <row r="1094" spans="1:15" x14ac:dyDescent="0.3">
      <c r="A1094" s="122" t="s">
        <v>131</v>
      </c>
      <c r="B1094" s="37" t="s">
        <v>64</v>
      </c>
      <c r="C1094" s="125">
        <v>22972065</v>
      </c>
      <c r="D1094" s="49"/>
      <c r="E1094" s="48"/>
      <c r="F1094" s="48"/>
      <c r="G1094" s="48"/>
      <c r="H1094" s="32">
        <v>4310000</v>
      </c>
      <c r="I1094" s="50">
        <v>3055511</v>
      </c>
      <c r="J1094" s="30">
        <f>SUM(C1094:G1094)-(H1094+I1094)</f>
        <v>15606554</v>
      </c>
      <c r="K1094" s="144" t="b">
        <f>+J1094=I1028</f>
        <v>0</v>
      </c>
      <c r="L1094" s="5"/>
      <c r="M1094" s="5"/>
      <c r="N1094" s="5"/>
      <c r="O1094" s="5"/>
    </row>
    <row r="1095" spans="1:15" ht="15.6" x14ac:dyDescent="0.3">
      <c r="C1095" s="141">
        <f>SUM(C1077:C1094)</f>
        <v>31712043</v>
      </c>
      <c r="I1095" s="140">
        <f>SUM(I1077:I1094)</f>
        <v>10359300</v>
      </c>
      <c r="J1095" s="105">
        <f>+SUM(J1077:J1094)</f>
        <v>21352743</v>
      </c>
      <c r="K1095" s="5" t="b">
        <f>J1095=I1041</f>
        <v>0</v>
      </c>
      <c r="L1095" s="5"/>
      <c r="M1095" s="5"/>
      <c r="N1095" s="5"/>
      <c r="O1095" s="5"/>
    </row>
    <row r="1096" spans="1:15" x14ac:dyDescent="0.3">
      <c r="A1096" s="14"/>
      <c r="B1096" s="15"/>
      <c r="C1096" s="12"/>
      <c r="D1096" s="12"/>
      <c r="E1096" s="13"/>
      <c r="F1096" s="12"/>
      <c r="G1096" s="12"/>
      <c r="H1096" s="12"/>
      <c r="I1096" s="12"/>
      <c r="L1096" s="5"/>
      <c r="M1096" s="5"/>
      <c r="N1096" s="5"/>
      <c r="O1096" s="5"/>
    </row>
    <row r="1097" spans="1:15" x14ac:dyDescent="0.3">
      <c r="A1097" s="16" t="s">
        <v>52</v>
      </c>
      <c r="B1097" s="16"/>
      <c r="C1097" s="16"/>
      <c r="D1097" s="17"/>
      <c r="E1097" s="17"/>
      <c r="F1097" s="17"/>
      <c r="G1097" s="17"/>
      <c r="H1097" s="17"/>
      <c r="I1097" s="17"/>
      <c r="L1097" s="5"/>
      <c r="M1097" s="5"/>
      <c r="N1097" s="5"/>
      <c r="O1097" s="5"/>
    </row>
    <row r="1098" spans="1:15" x14ac:dyDescent="0.3">
      <c r="A1098" s="18" t="s">
        <v>124</v>
      </c>
      <c r="B1098" s="18"/>
      <c r="C1098" s="18"/>
      <c r="D1098" s="18"/>
      <c r="E1098" s="18"/>
      <c r="F1098" s="18"/>
      <c r="G1098" s="18"/>
      <c r="H1098" s="18"/>
      <c r="I1098" s="18"/>
      <c r="J1098" s="17"/>
      <c r="L1098" s="5"/>
      <c r="M1098" s="5"/>
      <c r="N1098" s="5"/>
      <c r="O1098" s="5"/>
    </row>
    <row r="1099" spans="1:15" x14ac:dyDescent="0.3">
      <c r="A1099" s="19"/>
      <c r="B1099" s="17"/>
      <c r="C1099" s="20"/>
      <c r="D1099" s="20"/>
      <c r="E1099" s="20"/>
      <c r="F1099" s="20"/>
      <c r="G1099" s="20"/>
      <c r="H1099" s="17"/>
      <c r="I1099" s="17"/>
      <c r="J1099" s="18"/>
      <c r="L1099" s="5"/>
      <c r="M1099" s="5"/>
      <c r="N1099" s="5"/>
      <c r="O1099" s="5"/>
    </row>
    <row r="1100" spans="1:15" x14ac:dyDescent="0.3">
      <c r="A1100" s="360" t="s">
        <v>53</v>
      </c>
      <c r="B1100" s="362" t="s">
        <v>54</v>
      </c>
      <c r="C1100" s="364" t="s">
        <v>125</v>
      </c>
      <c r="D1100" s="366" t="s">
        <v>55</v>
      </c>
      <c r="E1100" s="367"/>
      <c r="F1100" s="367"/>
      <c r="G1100" s="368"/>
      <c r="H1100" s="369" t="s">
        <v>56</v>
      </c>
      <c r="I1100" s="371" t="s">
        <v>57</v>
      </c>
      <c r="J1100" s="17"/>
      <c r="L1100" s="5"/>
      <c r="M1100" s="5"/>
      <c r="N1100" s="5"/>
      <c r="O1100" s="5"/>
    </row>
    <row r="1101" spans="1:15" x14ac:dyDescent="0.3">
      <c r="A1101" s="361"/>
      <c r="B1101" s="363"/>
      <c r="C1101" s="365"/>
      <c r="D1101" s="21" t="s">
        <v>24</v>
      </c>
      <c r="E1101" s="21" t="s">
        <v>25</v>
      </c>
      <c r="F1101" s="22" t="s">
        <v>123</v>
      </c>
      <c r="G1101" s="21" t="s">
        <v>58</v>
      </c>
      <c r="H1101" s="370"/>
      <c r="I1101" s="372"/>
      <c r="J1101" s="373" t="s">
        <v>126</v>
      </c>
      <c r="K1101" s="143"/>
      <c r="L1101" s="5"/>
      <c r="M1101" s="5"/>
      <c r="N1101" s="5"/>
      <c r="O1101" s="5"/>
    </row>
    <row r="1102" spans="1:15" x14ac:dyDescent="0.3">
      <c r="A1102" s="23"/>
      <c r="B1102" s="24" t="s">
        <v>59</v>
      </c>
      <c r="C1102" s="25"/>
      <c r="D1102" s="25"/>
      <c r="E1102" s="25"/>
      <c r="F1102" s="25"/>
      <c r="G1102" s="25"/>
      <c r="H1102" s="25"/>
      <c r="I1102" s="26"/>
      <c r="J1102" s="374"/>
      <c r="K1102" s="143"/>
      <c r="L1102" s="5"/>
      <c r="M1102" s="5"/>
      <c r="N1102" s="5"/>
      <c r="O1102" s="5"/>
    </row>
    <row r="1103" spans="1:15" x14ac:dyDescent="0.3">
      <c r="A1103" s="122" t="s">
        <v>127</v>
      </c>
      <c r="B1103" s="127" t="s">
        <v>76</v>
      </c>
      <c r="C1103" s="32">
        <v>-450</v>
      </c>
      <c r="D1103" s="31"/>
      <c r="E1103" s="32">
        <v>168000</v>
      </c>
      <c r="F1103" s="32">
        <v>55000</v>
      </c>
      <c r="G1103" s="32"/>
      <c r="H1103" s="55"/>
      <c r="I1103" s="32">
        <v>182500</v>
      </c>
      <c r="J1103" s="30">
        <f>+SUM(C1103:G1103)-(H1103+I1103)</f>
        <v>40050</v>
      </c>
      <c r="K1103" s="144"/>
      <c r="L1103" s="5"/>
      <c r="M1103" s="5"/>
      <c r="N1103" s="5"/>
      <c r="O1103" s="5"/>
    </row>
    <row r="1104" spans="1:15" x14ac:dyDescent="0.3">
      <c r="A1104" s="122" t="s">
        <v>127</v>
      </c>
      <c r="B1104" s="127" t="s">
        <v>47</v>
      </c>
      <c r="C1104" s="32">
        <v>12510</v>
      </c>
      <c r="D1104" s="31"/>
      <c r="E1104" s="32">
        <v>303000</v>
      </c>
      <c r="F1104" s="32"/>
      <c r="G1104" s="32"/>
      <c r="H1104" s="55"/>
      <c r="I1104" s="32">
        <v>276665</v>
      </c>
      <c r="J1104" s="30">
        <f t="shared" ref="J1104:J1105" si="580">+SUM(C1104:G1104)-(H1104+I1104)</f>
        <v>38845</v>
      </c>
      <c r="K1104" s="144"/>
      <c r="L1104" s="5"/>
      <c r="M1104" s="5"/>
      <c r="N1104" s="5"/>
      <c r="O1104" s="5"/>
    </row>
    <row r="1105" spans="1:15" x14ac:dyDescent="0.3">
      <c r="A1105" s="122" t="s">
        <v>127</v>
      </c>
      <c r="B1105" s="127" t="s">
        <v>31</v>
      </c>
      <c r="C1105" s="32">
        <v>2895</v>
      </c>
      <c r="D1105" s="31"/>
      <c r="E1105" s="32">
        <v>40000</v>
      </c>
      <c r="F1105" s="32"/>
      <c r="G1105" s="32"/>
      <c r="H1105" s="32"/>
      <c r="I1105" s="32">
        <v>36000</v>
      </c>
      <c r="J1105" s="101">
        <f t="shared" si="580"/>
        <v>6895</v>
      </c>
      <c r="K1105" s="144"/>
      <c r="L1105" s="5"/>
      <c r="M1105" s="5"/>
      <c r="N1105" s="5"/>
      <c r="O1105" s="5"/>
    </row>
    <row r="1106" spans="1:15" x14ac:dyDescent="0.3">
      <c r="A1106" s="122" t="s">
        <v>127</v>
      </c>
      <c r="B1106" s="127" t="s">
        <v>77</v>
      </c>
      <c r="C1106" s="32">
        <v>62040</v>
      </c>
      <c r="D1106" s="104"/>
      <c r="E1106" s="32"/>
      <c r="F1106" s="32"/>
      <c r="G1106" s="32"/>
      <c r="H1106" s="32">
        <v>25000</v>
      </c>
      <c r="I1106" s="32">
        <v>8500</v>
      </c>
      <c r="J1106" s="101">
        <f>+SUM(C1106:G1106)-(H1106+I1106)</f>
        <v>28540</v>
      </c>
      <c r="K1106" s="144"/>
      <c r="L1106" s="5"/>
      <c r="M1106" s="5"/>
      <c r="N1106" s="5"/>
      <c r="O1106" s="5"/>
    </row>
    <row r="1107" spans="1:15" x14ac:dyDescent="0.3">
      <c r="A1107" s="122" t="s">
        <v>127</v>
      </c>
      <c r="B1107" s="127" t="s">
        <v>69</v>
      </c>
      <c r="C1107" s="32">
        <v>184</v>
      </c>
      <c r="D1107" s="104"/>
      <c r="E1107" s="32">
        <v>0</v>
      </c>
      <c r="F1107" s="32"/>
      <c r="G1107" s="32"/>
      <c r="H1107" s="32"/>
      <c r="I1107" s="32">
        <v>0</v>
      </c>
      <c r="J1107" s="101">
        <f t="shared" ref="J1107" si="581">+SUM(C1107:G1107)-(H1107+I1107)</f>
        <v>184</v>
      </c>
      <c r="K1107" s="144"/>
      <c r="L1107" s="5"/>
      <c r="M1107" s="5"/>
      <c r="N1107" s="5"/>
      <c r="O1107" s="5"/>
    </row>
    <row r="1108" spans="1:15" x14ac:dyDescent="0.3">
      <c r="A1108" s="122" t="s">
        <v>127</v>
      </c>
      <c r="B1108" s="128" t="s">
        <v>30</v>
      </c>
      <c r="C1108" s="32">
        <v>-36500</v>
      </c>
      <c r="D1108" s="119"/>
      <c r="E1108" s="51">
        <v>523500</v>
      </c>
      <c r="F1108" s="51"/>
      <c r="G1108" s="51"/>
      <c r="H1108" s="51"/>
      <c r="I1108" s="51">
        <v>418800</v>
      </c>
      <c r="J1108" s="124">
        <f>+SUM(C1108:G1108)-(H1108+I1108)</f>
        <v>68200</v>
      </c>
      <c r="K1108" s="144"/>
      <c r="L1108" s="5"/>
      <c r="M1108" s="5"/>
      <c r="N1108" s="5"/>
      <c r="O1108" s="5"/>
    </row>
    <row r="1109" spans="1:15" x14ac:dyDescent="0.3">
      <c r="A1109" s="122" t="s">
        <v>127</v>
      </c>
      <c r="B1109" s="129" t="s">
        <v>84</v>
      </c>
      <c r="C1109" s="120">
        <v>233614</v>
      </c>
      <c r="D1109" s="123"/>
      <c r="E1109" s="137"/>
      <c r="F1109" s="137"/>
      <c r="G1109" s="137"/>
      <c r="H1109" s="137"/>
      <c r="I1109" s="137"/>
      <c r="J1109" s="121">
        <f>+SUM(C1109:G1109)-(H1109+I1109)</f>
        <v>233614</v>
      </c>
      <c r="K1109" s="144"/>
      <c r="L1109" s="5"/>
      <c r="M1109" s="5"/>
      <c r="N1109" s="5"/>
      <c r="O1109" s="5"/>
    </row>
    <row r="1110" spans="1:15" x14ac:dyDescent="0.3">
      <c r="A1110" s="122" t="s">
        <v>127</v>
      </c>
      <c r="B1110" s="129" t="s">
        <v>83</v>
      </c>
      <c r="C1110" s="120">
        <v>249769</v>
      </c>
      <c r="D1110" s="123"/>
      <c r="E1110" s="137"/>
      <c r="F1110" s="137"/>
      <c r="G1110" s="137"/>
      <c r="H1110" s="137"/>
      <c r="I1110" s="137"/>
      <c r="J1110" s="121">
        <f t="shared" ref="J1110:J1115" si="582">+SUM(C1110:G1110)-(H1110+I1110)</f>
        <v>249769</v>
      </c>
      <c r="K1110" s="144"/>
      <c r="L1110" s="5"/>
      <c r="M1110" s="5"/>
      <c r="N1110" s="5"/>
      <c r="O1110" s="5"/>
    </row>
    <row r="1111" spans="1:15" x14ac:dyDescent="0.3">
      <c r="A1111" s="122" t="s">
        <v>127</v>
      </c>
      <c r="B1111" s="127" t="s">
        <v>35</v>
      </c>
      <c r="C1111" s="32">
        <v>71200</v>
      </c>
      <c r="D1111" s="31"/>
      <c r="E1111" s="32">
        <v>1056000</v>
      </c>
      <c r="F1111" s="32"/>
      <c r="G1111" s="104"/>
      <c r="H1111" s="104">
        <v>55000</v>
      </c>
      <c r="I1111" s="32">
        <v>1076875</v>
      </c>
      <c r="J1111" s="30">
        <f t="shared" si="582"/>
        <v>-4675</v>
      </c>
      <c r="K1111" s="144"/>
      <c r="L1111" s="5"/>
      <c r="M1111" s="5"/>
      <c r="N1111" s="5"/>
      <c r="O1111" s="5"/>
    </row>
    <row r="1112" spans="1:15" x14ac:dyDescent="0.3">
      <c r="A1112" s="122" t="s">
        <v>127</v>
      </c>
      <c r="B1112" s="127" t="s">
        <v>93</v>
      </c>
      <c r="C1112" s="32">
        <v>6000</v>
      </c>
      <c r="D1112" s="31"/>
      <c r="E1112" s="32">
        <v>20000</v>
      </c>
      <c r="F1112" s="104"/>
      <c r="G1112" s="104"/>
      <c r="H1112" s="104"/>
      <c r="I1112" s="32">
        <v>21000</v>
      </c>
      <c r="J1112" s="30">
        <f t="shared" si="582"/>
        <v>5000</v>
      </c>
      <c r="K1112" s="144"/>
      <c r="L1112" s="5"/>
      <c r="M1112" s="5"/>
      <c r="N1112" s="5"/>
      <c r="O1112" s="5"/>
    </row>
    <row r="1113" spans="1:15" x14ac:dyDescent="0.3">
      <c r="A1113" s="122" t="s">
        <v>127</v>
      </c>
      <c r="B1113" s="127" t="s">
        <v>29</v>
      </c>
      <c r="C1113" s="32">
        <v>167700</v>
      </c>
      <c r="D1113" s="31"/>
      <c r="E1113" s="32">
        <v>473000</v>
      </c>
      <c r="F1113" s="104"/>
      <c r="G1113" s="104"/>
      <c r="H1113" s="104"/>
      <c r="I1113" s="32">
        <v>567900</v>
      </c>
      <c r="J1113" s="30">
        <f t="shared" si="582"/>
        <v>72800</v>
      </c>
      <c r="K1113" s="144"/>
      <c r="L1113" s="5"/>
      <c r="M1113" s="5"/>
      <c r="N1113" s="5"/>
      <c r="O1113" s="5"/>
    </row>
    <row r="1114" spans="1:15" x14ac:dyDescent="0.3">
      <c r="A1114" s="122" t="s">
        <v>127</v>
      </c>
      <c r="B1114" s="127" t="s">
        <v>32</v>
      </c>
      <c r="C1114" s="32">
        <v>65300</v>
      </c>
      <c r="D1114" s="31"/>
      <c r="E1114" s="32">
        <v>10000</v>
      </c>
      <c r="F1114" s="104"/>
      <c r="G1114" s="104"/>
      <c r="H1114" s="104">
        <v>20000</v>
      </c>
      <c r="I1114" s="32">
        <v>8000</v>
      </c>
      <c r="J1114" s="30">
        <f t="shared" si="582"/>
        <v>47300</v>
      </c>
      <c r="K1114" s="144"/>
      <c r="L1114" s="5"/>
      <c r="M1114" s="5"/>
      <c r="N1114" s="5"/>
      <c r="O1114" s="5"/>
    </row>
    <row r="1115" spans="1:15" x14ac:dyDescent="0.3">
      <c r="A1115" s="122" t="s">
        <v>127</v>
      </c>
      <c r="B1115" s="128" t="s">
        <v>113</v>
      </c>
      <c r="C1115" s="32">
        <v>-11700</v>
      </c>
      <c r="D1115" s="119"/>
      <c r="E1115" s="51">
        <v>385800</v>
      </c>
      <c r="F1115" s="51"/>
      <c r="G1115" s="138"/>
      <c r="H1115" s="51"/>
      <c r="I1115" s="51">
        <v>294500</v>
      </c>
      <c r="J1115" s="30">
        <f t="shared" si="582"/>
        <v>79600</v>
      </c>
      <c r="K1115" s="144"/>
      <c r="L1115" s="5"/>
      <c r="M1115" s="5"/>
      <c r="N1115" s="5"/>
      <c r="O1115" s="5"/>
    </row>
    <row r="1116" spans="1:15" x14ac:dyDescent="0.3">
      <c r="A1116" s="34" t="s">
        <v>60</v>
      </c>
      <c r="B1116" s="35"/>
      <c r="C1116" s="35"/>
      <c r="D1116" s="35"/>
      <c r="E1116" s="35"/>
      <c r="F1116" s="35"/>
      <c r="G1116" s="35"/>
      <c r="H1116" s="35"/>
      <c r="I1116" s="35"/>
      <c r="J1116" s="36"/>
      <c r="K1116" s="143"/>
      <c r="L1116" s="5"/>
      <c r="M1116" s="5"/>
      <c r="N1116" s="5"/>
      <c r="O1116" s="5"/>
    </row>
    <row r="1117" spans="1:15" x14ac:dyDescent="0.3">
      <c r="A1117" s="122" t="s">
        <v>127</v>
      </c>
      <c r="B1117" s="37" t="s">
        <v>61</v>
      </c>
      <c r="C1117" s="38">
        <v>1672959</v>
      </c>
      <c r="D1117" s="49">
        <v>3341000</v>
      </c>
      <c r="E1117" s="103"/>
      <c r="F1117" s="103">
        <v>45000</v>
      </c>
      <c r="G1117" s="139"/>
      <c r="H1117" s="131">
        <v>2979300</v>
      </c>
      <c r="I1117" s="126">
        <v>1611730</v>
      </c>
      <c r="J1117" s="30">
        <f>+SUM(C1117:G1117)-(H1117+I1117)</f>
        <v>467929</v>
      </c>
      <c r="K1117" s="144"/>
      <c r="L1117" s="5"/>
      <c r="M1117" s="5"/>
      <c r="N1117" s="5"/>
      <c r="O1117" s="5"/>
    </row>
    <row r="1118" spans="1:15" x14ac:dyDescent="0.3">
      <c r="A1118" s="43" t="s">
        <v>62</v>
      </c>
      <c r="B1118" s="24"/>
      <c r="C1118" s="35"/>
      <c r="D1118" s="24"/>
      <c r="E1118" s="24"/>
      <c r="F1118" s="24"/>
      <c r="G1118" s="24"/>
      <c r="H1118" s="24"/>
      <c r="I1118" s="24"/>
      <c r="J1118" s="36"/>
      <c r="K1118" s="143"/>
      <c r="L1118" s="5"/>
      <c r="M1118" s="5"/>
      <c r="N1118" s="5"/>
      <c r="O1118" s="5"/>
    </row>
    <row r="1119" spans="1:15" x14ac:dyDescent="0.3">
      <c r="A1119" s="122" t="s">
        <v>127</v>
      </c>
      <c r="B1119" s="37" t="s">
        <v>63</v>
      </c>
      <c r="C1119" s="125">
        <v>2957378</v>
      </c>
      <c r="D1119" s="132">
        <v>7828953</v>
      </c>
      <c r="E1119" s="49"/>
      <c r="F1119" s="49"/>
      <c r="G1119" s="49"/>
      <c r="H1119" s="51">
        <v>3000000</v>
      </c>
      <c r="I1119" s="53">
        <v>380404</v>
      </c>
      <c r="J1119" s="30">
        <f>+SUM(C1119:G1119)-(H1119+I1119)</f>
        <v>7405927</v>
      </c>
      <c r="K1119" s="144"/>
      <c r="L1119" s="5"/>
      <c r="M1119" s="5"/>
      <c r="N1119" s="5"/>
      <c r="O1119" s="5"/>
    </row>
    <row r="1120" spans="1:15" x14ac:dyDescent="0.3">
      <c r="A1120" s="122" t="s">
        <v>127</v>
      </c>
      <c r="B1120" s="37" t="s">
        <v>64</v>
      </c>
      <c r="C1120" s="125">
        <v>28018504</v>
      </c>
      <c r="D1120" s="49"/>
      <c r="E1120" s="48"/>
      <c r="F1120" s="48"/>
      <c r="G1120" s="48"/>
      <c r="H1120" s="32">
        <v>341000</v>
      </c>
      <c r="I1120" s="50">
        <v>4705439</v>
      </c>
      <c r="J1120" s="30">
        <f>SUM(C1120:G1120)-(H1120+I1120)</f>
        <v>22972065</v>
      </c>
      <c r="K1120" s="144"/>
      <c r="L1120" s="5"/>
      <c r="M1120" s="5"/>
      <c r="N1120" s="5"/>
      <c r="O1120" s="5"/>
    </row>
    <row r="1121" spans="1:15" ht="15.6" x14ac:dyDescent="0.3">
      <c r="C1121" s="141">
        <f>SUM(C1103:C1120)</f>
        <v>33471403</v>
      </c>
      <c r="I1121" s="140">
        <f>SUM(I1103:I1120)</f>
        <v>9588313</v>
      </c>
      <c r="J1121" s="105">
        <f>+SUM(J1103:J1120)</f>
        <v>31712043</v>
      </c>
      <c r="L1121" s="5"/>
      <c r="M1121" s="5"/>
      <c r="N1121" s="5"/>
      <c r="O1121" s="5"/>
    </row>
    <row r="1122" spans="1:15" x14ac:dyDescent="0.3">
      <c r="A1122" s="14"/>
      <c r="B1122" s="15"/>
      <c r="C1122" s="12" t="e">
        <f>C1121=C1041</f>
        <v>#REF!</v>
      </c>
      <c r="D1122" s="12"/>
      <c r="E1122" s="13"/>
      <c r="F1122" s="12"/>
      <c r="G1122" s="12"/>
      <c r="H1122" s="12"/>
      <c r="I1122" s="12"/>
      <c r="L1122" s="5"/>
      <c r="M1122" s="5"/>
      <c r="N1122" s="5"/>
      <c r="O1122" s="5"/>
    </row>
    <row r="1123" spans="1:15" x14ac:dyDescent="0.3">
      <c r="A1123" s="16" t="s">
        <v>52</v>
      </c>
      <c r="B1123" s="16"/>
      <c r="C1123" s="16"/>
      <c r="D1123" s="17"/>
      <c r="E1123" s="17"/>
      <c r="F1123" s="17"/>
      <c r="G1123" s="17"/>
      <c r="H1123" s="17"/>
      <c r="I1123" s="17"/>
      <c r="L1123" s="5"/>
      <c r="M1123" s="5"/>
      <c r="N1123" s="5"/>
      <c r="O1123" s="5"/>
    </row>
    <row r="1124" spans="1:15" x14ac:dyDescent="0.3">
      <c r="A1124" s="18" t="s">
        <v>119</v>
      </c>
      <c r="B1124" s="18"/>
      <c r="C1124" s="18"/>
      <c r="D1124" s="18"/>
      <c r="E1124" s="18"/>
      <c r="F1124" s="18"/>
      <c r="G1124" s="18"/>
      <c r="H1124" s="18"/>
      <c r="I1124" s="18"/>
      <c r="J1124" s="17"/>
      <c r="L1124" s="5"/>
      <c r="M1124" s="5"/>
      <c r="N1124" s="5"/>
      <c r="O1124" s="5"/>
    </row>
    <row r="1125" spans="1:15" x14ac:dyDescent="0.3">
      <c r="A1125" s="19"/>
      <c r="B1125" s="17"/>
      <c r="C1125" s="20"/>
      <c r="D1125" s="20"/>
      <c r="E1125" s="20"/>
      <c r="F1125" s="20"/>
      <c r="G1125" s="20"/>
      <c r="H1125" s="17"/>
      <c r="I1125" s="17"/>
      <c r="J1125" s="18"/>
      <c r="L1125" s="5"/>
      <c r="M1125" s="5"/>
      <c r="N1125" s="5"/>
      <c r="O1125" s="5"/>
    </row>
    <row r="1126" spans="1:15" x14ac:dyDescent="0.3">
      <c r="A1126" s="360" t="s">
        <v>53</v>
      </c>
      <c r="B1126" s="362" t="s">
        <v>54</v>
      </c>
      <c r="C1126" s="364" t="s">
        <v>121</v>
      </c>
      <c r="D1126" s="366" t="s">
        <v>55</v>
      </c>
      <c r="E1126" s="367"/>
      <c r="F1126" s="367"/>
      <c r="G1126" s="368"/>
      <c r="H1126" s="369" t="s">
        <v>56</v>
      </c>
      <c r="I1126" s="371" t="s">
        <v>57</v>
      </c>
      <c r="J1126" s="17"/>
      <c r="L1126" s="5"/>
      <c r="M1126" s="5"/>
      <c r="N1126" s="5"/>
      <c r="O1126" s="5"/>
    </row>
    <row r="1127" spans="1:15" x14ac:dyDescent="0.3">
      <c r="A1127" s="361"/>
      <c r="B1127" s="363"/>
      <c r="C1127" s="365"/>
      <c r="D1127" s="21" t="s">
        <v>24</v>
      </c>
      <c r="E1127" s="21" t="s">
        <v>25</v>
      </c>
      <c r="F1127" s="22" t="s">
        <v>123</v>
      </c>
      <c r="G1127" s="21" t="s">
        <v>58</v>
      </c>
      <c r="H1127" s="370"/>
      <c r="I1127" s="372"/>
      <c r="J1127" s="373" t="s">
        <v>122</v>
      </c>
      <c r="K1127" s="143"/>
      <c r="L1127" s="5"/>
      <c r="M1127" s="5"/>
      <c r="N1127" s="5"/>
      <c r="O1127" s="5"/>
    </row>
    <row r="1128" spans="1:15" x14ac:dyDescent="0.3">
      <c r="A1128" s="23"/>
      <c r="B1128" s="24" t="s">
        <v>59</v>
      </c>
      <c r="C1128" s="25"/>
      <c r="D1128" s="25"/>
      <c r="E1128" s="25"/>
      <c r="F1128" s="25"/>
      <c r="G1128" s="25"/>
      <c r="H1128" s="25"/>
      <c r="I1128" s="26"/>
      <c r="J1128" s="374"/>
      <c r="K1128" s="143"/>
      <c r="L1128" s="5"/>
      <c r="M1128" s="5"/>
      <c r="N1128" s="5"/>
      <c r="O1128" s="5"/>
    </row>
    <row r="1129" spans="1:15" x14ac:dyDescent="0.3">
      <c r="A1129" s="122" t="s">
        <v>120</v>
      </c>
      <c r="B1129" s="127" t="s">
        <v>76</v>
      </c>
      <c r="C1129" s="32">
        <v>7670</v>
      </c>
      <c r="D1129" s="31"/>
      <c r="E1129" s="32">
        <v>438000</v>
      </c>
      <c r="F1129" s="32"/>
      <c r="G1129" s="32"/>
      <c r="H1129" s="55">
        <v>40000</v>
      </c>
      <c r="I1129" s="32">
        <v>406120</v>
      </c>
      <c r="J1129" s="30">
        <f>+SUM(C1129:G1129)-(H1129+I1129)</f>
        <v>-450</v>
      </c>
      <c r="K1129" s="144" t="e">
        <f>J1129=#REF!</f>
        <v>#REF!</v>
      </c>
      <c r="L1129" s="5"/>
      <c r="M1129" s="5"/>
      <c r="N1129" s="5"/>
      <c r="O1129" s="5"/>
    </row>
    <row r="1130" spans="1:15" x14ac:dyDescent="0.3">
      <c r="A1130" s="122" t="s">
        <v>120</v>
      </c>
      <c r="B1130" s="127" t="s">
        <v>47</v>
      </c>
      <c r="C1130" s="32">
        <v>4710</v>
      </c>
      <c r="D1130" s="31"/>
      <c r="E1130" s="32">
        <v>303000</v>
      </c>
      <c r="F1130" s="32">
        <f>25000+91000+62000</f>
        <v>178000</v>
      </c>
      <c r="G1130" s="32"/>
      <c r="H1130" s="55">
        <v>29000</v>
      </c>
      <c r="I1130" s="32">
        <v>444200</v>
      </c>
      <c r="J1130" s="30">
        <f t="shared" ref="J1130:J1131" si="583">+SUM(C1130:G1130)-(H1130+I1130)</f>
        <v>12510</v>
      </c>
      <c r="K1130" s="144" t="b">
        <f>J1130=I1030</f>
        <v>0</v>
      </c>
      <c r="L1130" s="5"/>
      <c r="M1130" s="5"/>
      <c r="N1130" s="5"/>
      <c r="O1130" s="5"/>
    </row>
    <row r="1131" spans="1:15" x14ac:dyDescent="0.3">
      <c r="A1131" s="122" t="s">
        <v>120</v>
      </c>
      <c r="B1131" s="127" t="s">
        <v>31</v>
      </c>
      <c r="C1131" s="32">
        <v>9295</v>
      </c>
      <c r="D1131" s="31"/>
      <c r="E1131" s="32">
        <v>743000</v>
      </c>
      <c r="F1131" s="32">
        <v>2000</v>
      </c>
      <c r="G1131" s="32"/>
      <c r="H1131" s="32">
        <f>103000+91000+137000+101000+91000</f>
        <v>523000</v>
      </c>
      <c r="I1131" s="32">
        <v>228400</v>
      </c>
      <c r="J1131" s="101">
        <f t="shared" si="583"/>
        <v>2895</v>
      </c>
      <c r="K1131" s="144" t="b">
        <f>J1131=I1031</f>
        <v>0</v>
      </c>
      <c r="L1131" s="5"/>
      <c r="M1131" s="5"/>
      <c r="N1131" s="5"/>
      <c r="O1131" s="5"/>
    </row>
    <row r="1132" spans="1:15" x14ac:dyDescent="0.3">
      <c r="A1132" s="122" t="s">
        <v>120</v>
      </c>
      <c r="B1132" s="127" t="s">
        <v>77</v>
      </c>
      <c r="C1132" s="32">
        <v>-25100</v>
      </c>
      <c r="D1132" s="104"/>
      <c r="E1132" s="32">
        <v>121100</v>
      </c>
      <c r="F1132" s="32">
        <f>103000+1000+28000+137000</f>
        <v>269000</v>
      </c>
      <c r="G1132" s="32"/>
      <c r="H1132" s="32"/>
      <c r="I1132" s="32">
        <v>302960</v>
      </c>
      <c r="J1132" s="101">
        <f>+SUM(C1132:G1132)-(H1132+I1132)</f>
        <v>62040</v>
      </c>
      <c r="K1132" s="144" t="b">
        <f>J1132=I1032</f>
        <v>0</v>
      </c>
      <c r="L1132" s="5"/>
      <c r="M1132" s="5"/>
      <c r="N1132" s="5"/>
      <c r="O1132" s="5"/>
    </row>
    <row r="1133" spans="1:15" x14ac:dyDescent="0.3">
      <c r="A1133" s="122" t="s">
        <v>120</v>
      </c>
      <c r="B1133" s="127" t="s">
        <v>69</v>
      </c>
      <c r="C1133" s="32">
        <v>7384</v>
      </c>
      <c r="D1133" s="104"/>
      <c r="E1133" s="32">
        <v>319000</v>
      </c>
      <c r="F1133" s="32">
        <v>101000</v>
      </c>
      <c r="G1133" s="32"/>
      <c r="H1133" s="32">
        <v>62000</v>
      </c>
      <c r="I1133" s="32">
        <v>365200</v>
      </c>
      <c r="J1133" s="101">
        <f t="shared" ref="J1133" si="584">+SUM(C1133:G1133)-(H1133+I1133)</f>
        <v>184</v>
      </c>
      <c r="K1133" s="144" t="e">
        <f>J1133=#REF!</f>
        <v>#REF!</v>
      </c>
      <c r="L1133" s="5"/>
      <c r="M1133" s="5"/>
      <c r="N1133" s="5"/>
      <c r="O1133" s="5"/>
    </row>
    <row r="1134" spans="1:15" x14ac:dyDescent="0.3">
      <c r="A1134" s="122" t="s">
        <v>120</v>
      </c>
      <c r="B1134" s="128" t="s">
        <v>30</v>
      </c>
      <c r="C1134" s="32">
        <v>61300</v>
      </c>
      <c r="D1134" s="119"/>
      <c r="E1134" s="51">
        <v>931200</v>
      </c>
      <c r="F1134" s="51"/>
      <c r="G1134" s="51"/>
      <c r="H1134" s="51">
        <v>28000</v>
      </c>
      <c r="I1134" s="51">
        <v>1001000</v>
      </c>
      <c r="J1134" s="124">
        <f>+SUM(C1134:G1134)-(H1134+I1134)</f>
        <v>-36500</v>
      </c>
      <c r="K1134" s="144" t="b">
        <f t="shared" ref="K1134:K1141" si="585">J1134=I1033</f>
        <v>0</v>
      </c>
      <c r="L1134" s="5"/>
      <c r="M1134" s="5"/>
      <c r="N1134" s="5"/>
      <c r="O1134" s="5"/>
    </row>
    <row r="1135" spans="1:15" x14ac:dyDescent="0.3">
      <c r="A1135" s="122" t="s">
        <v>120</v>
      </c>
      <c r="B1135" s="129" t="s">
        <v>84</v>
      </c>
      <c r="C1135" s="120">
        <v>233614</v>
      </c>
      <c r="D1135" s="123"/>
      <c r="E1135" s="137"/>
      <c r="F1135" s="137"/>
      <c r="G1135" s="137"/>
      <c r="H1135" s="137"/>
      <c r="I1135" s="137"/>
      <c r="J1135" s="121">
        <f>+SUM(C1135:G1135)-(H1135+I1135)</f>
        <v>233614</v>
      </c>
      <c r="K1135" s="144" t="b">
        <f t="shared" si="585"/>
        <v>0</v>
      </c>
      <c r="L1135" s="5"/>
      <c r="M1135" s="5"/>
      <c r="N1135" s="5"/>
      <c r="O1135" s="5"/>
    </row>
    <row r="1136" spans="1:15" x14ac:dyDescent="0.3">
      <c r="A1136" s="122" t="s">
        <v>120</v>
      </c>
      <c r="B1136" s="129" t="s">
        <v>83</v>
      </c>
      <c r="C1136" s="120">
        <v>249769</v>
      </c>
      <c r="D1136" s="123"/>
      <c r="E1136" s="137"/>
      <c r="F1136" s="137"/>
      <c r="G1136" s="137"/>
      <c r="H1136" s="137"/>
      <c r="I1136" s="137"/>
      <c r="J1136" s="121">
        <f t="shared" ref="J1136:J1139" si="586">+SUM(C1136:G1136)-(H1136+I1136)</f>
        <v>249769</v>
      </c>
      <c r="K1136" s="144" t="b">
        <f t="shared" si="585"/>
        <v>0</v>
      </c>
      <c r="L1136" s="5"/>
      <c r="M1136" s="5"/>
      <c r="N1136" s="5"/>
      <c r="O1136" s="5"/>
    </row>
    <row r="1137" spans="1:15" x14ac:dyDescent="0.3">
      <c r="A1137" s="122" t="s">
        <v>120</v>
      </c>
      <c r="B1137" s="127" t="s">
        <v>35</v>
      </c>
      <c r="C1137" s="32">
        <v>4500</v>
      </c>
      <c r="D1137" s="31"/>
      <c r="E1137" s="32">
        <v>234000</v>
      </c>
      <c r="F1137" s="32">
        <v>40000</v>
      </c>
      <c r="G1137" s="104"/>
      <c r="H1137" s="104"/>
      <c r="I1137" s="32">
        <v>207300</v>
      </c>
      <c r="J1137" s="30">
        <f t="shared" si="586"/>
        <v>71200</v>
      </c>
      <c r="K1137" s="144" t="b">
        <f t="shared" si="585"/>
        <v>0</v>
      </c>
      <c r="L1137" s="5"/>
      <c r="M1137" s="5"/>
      <c r="N1137" s="5"/>
      <c r="O1137" s="5"/>
    </row>
    <row r="1138" spans="1:15" x14ac:dyDescent="0.3">
      <c r="A1138" s="122" t="s">
        <v>120</v>
      </c>
      <c r="B1138" s="127" t="s">
        <v>93</v>
      </c>
      <c r="C1138" s="32">
        <v>-6000</v>
      </c>
      <c r="D1138" s="31"/>
      <c r="E1138" s="32">
        <v>61000</v>
      </c>
      <c r="F1138" s="104"/>
      <c r="G1138" s="104"/>
      <c r="H1138" s="104"/>
      <c r="I1138" s="32">
        <v>49000</v>
      </c>
      <c r="J1138" s="30">
        <f t="shared" si="586"/>
        <v>6000</v>
      </c>
      <c r="K1138" s="144" t="b">
        <f t="shared" si="585"/>
        <v>0</v>
      </c>
      <c r="L1138" s="5"/>
      <c r="M1138" s="5"/>
      <c r="N1138" s="5"/>
      <c r="O1138" s="5"/>
    </row>
    <row r="1139" spans="1:15" x14ac:dyDescent="0.3">
      <c r="A1139" s="122" t="s">
        <v>120</v>
      </c>
      <c r="B1139" s="127" t="s">
        <v>29</v>
      </c>
      <c r="C1139" s="32">
        <v>72200</v>
      </c>
      <c r="D1139" s="31"/>
      <c r="E1139" s="32">
        <v>722000</v>
      </c>
      <c r="F1139" s="104"/>
      <c r="G1139" s="104"/>
      <c r="H1139" s="104"/>
      <c r="I1139" s="32">
        <v>626500</v>
      </c>
      <c r="J1139" s="30">
        <f t="shared" si="586"/>
        <v>167700</v>
      </c>
      <c r="K1139" s="144" t="b">
        <f t="shared" si="585"/>
        <v>0</v>
      </c>
      <c r="L1139" s="5"/>
      <c r="M1139" s="5"/>
      <c r="N1139" s="5"/>
      <c r="O1139" s="5"/>
    </row>
    <row r="1140" spans="1:15" x14ac:dyDescent="0.3">
      <c r="A1140" s="122" t="s">
        <v>120</v>
      </c>
      <c r="B1140" s="127" t="s">
        <v>32</v>
      </c>
      <c r="C1140" s="32">
        <v>9300</v>
      </c>
      <c r="D1140" s="31"/>
      <c r="E1140" s="32">
        <v>60000</v>
      </c>
      <c r="F1140" s="104"/>
      <c r="G1140" s="104"/>
      <c r="H1140" s="104"/>
      <c r="I1140" s="32">
        <v>4000</v>
      </c>
      <c r="J1140" s="30">
        <f t="shared" ref="J1140:J1141" si="587">+SUM(C1140:G1140)-(H1140+I1140)</f>
        <v>65300</v>
      </c>
      <c r="K1140" s="144" t="b">
        <f t="shared" si="585"/>
        <v>0</v>
      </c>
      <c r="L1140" s="5"/>
      <c r="M1140" s="5"/>
      <c r="N1140" s="5"/>
      <c r="O1140" s="5"/>
    </row>
    <row r="1141" spans="1:15" x14ac:dyDescent="0.3">
      <c r="A1141" s="122" t="s">
        <v>120</v>
      </c>
      <c r="B1141" s="128" t="s">
        <v>113</v>
      </c>
      <c r="C1141" s="32">
        <v>-14000</v>
      </c>
      <c r="D1141" s="119"/>
      <c r="E1141" s="51">
        <v>378000</v>
      </c>
      <c r="F1141" s="51">
        <f>29000+91000</f>
        <v>120000</v>
      </c>
      <c r="G1141" s="138"/>
      <c r="H1141" s="51">
        <f>2000+1000+25000</f>
        <v>28000</v>
      </c>
      <c r="I1141" s="51">
        <v>467700</v>
      </c>
      <c r="J1141" s="30">
        <f t="shared" si="587"/>
        <v>-11700</v>
      </c>
      <c r="K1141" s="144" t="b">
        <f t="shared" si="585"/>
        <v>0</v>
      </c>
      <c r="L1141" s="5"/>
      <c r="M1141" s="5"/>
      <c r="N1141" s="5"/>
      <c r="O1141" s="5"/>
    </row>
    <row r="1142" spans="1:15" x14ac:dyDescent="0.3">
      <c r="A1142" s="34" t="s">
        <v>60</v>
      </c>
      <c r="B1142" s="35"/>
      <c r="C1142" s="35"/>
      <c r="D1142" s="35"/>
      <c r="E1142" s="35"/>
      <c r="F1142" s="35"/>
      <c r="G1142" s="35"/>
      <c r="H1142" s="35"/>
      <c r="I1142" s="35"/>
      <c r="J1142" s="36"/>
      <c r="K1142" s="143"/>
      <c r="L1142" s="5"/>
      <c r="M1142" s="5"/>
      <c r="N1142" s="5"/>
      <c r="O1142" s="5"/>
    </row>
    <row r="1143" spans="1:15" x14ac:dyDescent="0.3">
      <c r="A1143" s="122" t="s">
        <v>120</v>
      </c>
      <c r="B1143" s="37" t="s">
        <v>61</v>
      </c>
      <c r="C1143" s="38">
        <v>1148337</v>
      </c>
      <c r="D1143" s="49">
        <v>7000000</v>
      </c>
      <c r="E1143" s="103"/>
      <c r="F1143" s="103"/>
      <c r="G1143" s="139"/>
      <c r="H1143" s="131">
        <v>4310300</v>
      </c>
      <c r="I1143" s="126">
        <v>2165078</v>
      </c>
      <c r="J1143" s="30">
        <f>+SUM(C1143:G1143)-(H1143+I1143)</f>
        <v>1672959</v>
      </c>
      <c r="K1143" s="144" t="b">
        <f>J1143=I1029</f>
        <v>0</v>
      </c>
      <c r="L1143" s="5"/>
      <c r="M1143" s="5"/>
      <c r="N1143" s="5"/>
      <c r="O1143" s="5"/>
    </row>
    <row r="1144" spans="1:15" x14ac:dyDescent="0.3">
      <c r="A1144" s="43" t="s">
        <v>62</v>
      </c>
      <c r="B1144" s="24"/>
      <c r="C1144" s="35"/>
      <c r="D1144" s="24"/>
      <c r="E1144" s="24"/>
      <c r="F1144" s="24"/>
      <c r="G1144" s="24"/>
      <c r="H1144" s="24"/>
      <c r="I1144" s="24"/>
      <c r="J1144" s="36"/>
      <c r="K1144" s="143"/>
      <c r="L1144" s="5"/>
      <c r="M1144" s="5"/>
      <c r="N1144" s="5"/>
      <c r="O1144" s="5"/>
    </row>
    <row r="1145" spans="1:15" x14ac:dyDescent="0.3">
      <c r="A1145" s="122" t="s">
        <v>120</v>
      </c>
      <c r="B1145" s="37" t="s">
        <v>63</v>
      </c>
      <c r="C1145" s="125">
        <v>10113263</v>
      </c>
      <c r="D1145" s="132">
        <v>0</v>
      </c>
      <c r="E1145" s="49"/>
      <c r="F1145" s="49"/>
      <c r="G1145" s="49"/>
      <c r="H1145" s="51">
        <v>7000000</v>
      </c>
      <c r="I1145" s="53">
        <v>155885</v>
      </c>
      <c r="J1145" s="30">
        <f>+SUM(C1145:G1145)-(H1145+I1145)</f>
        <v>2957378</v>
      </c>
      <c r="K1145" s="144" t="e">
        <f>+J1145=#REF!</f>
        <v>#REF!</v>
      </c>
      <c r="L1145" s="5"/>
      <c r="M1145" s="5"/>
      <c r="N1145" s="5"/>
      <c r="O1145" s="5"/>
    </row>
    <row r="1146" spans="1:15" x14ac:dyDescent="0.3">
      <c r="A1146" s="122" t="s">
        <v>120</v>
      </c>
      <c r="B1146" s="37" t="s">
        <v>64</v>
      </c>
      <c r="C1146" s="125">
        <v>6219904</v>
      </c>
      <c r="D1146" s="49">
        <v>28506579</v>
      </c>
      <c r="E1146" s="48"/>
      <c r="F1146" s="48"/>
      <c r="G1146" s="48"/>
      <c r="H1146" s="32"/>
      <c r="I1146" s="50">
        <v>6707979</v>
      </c>
      <c r="J1146" s="30">
        <f>SUM(C1146:G1146)-(H1146+I1146)</f>
        <v>28018504</v>
      </c>
      <c r="K1146" s="144" t="b">
        <f>+J1146=I1028</f>
        <v>0</v>
      </c>
      <c r="L1146" s="5"/>
      <c r="M1146" s="5"/>
      <c r="N1146" s="5"/>
      <c r="O1146" s="5"/>
    </row>
    <row r="1147" spans="1:15" ht="15.6" x14ac:dyDescent="0.3">
      <c r="C1147" s="141">
        <f>SUM(C1129:C1146)</f>
        <v>18096146</v>
      </c>
      <c r="I1147" s="140">
        <f>SUM(I1129:I1146)</f>
        <v>13131322</v>
      </c>
      <c r="J1147" s="105">
        <f>+SUM(J1129:J1146)</f>
        <v>33471403</v>
      </c>
      <c r="K1147" s="5" t="b">
        <f>J1147=I1041</f>
        <v>0</v>
      </c>
      <c r="L1147" s="5"/>
      <c r="M1147" s="5"/>
      <c r="N1147" s="5"/>
      <c r="O1147" s="5"/>
    </row>
    <row r="1148" spans="1:15" x14ac:dyDescent="0.3">
      <c r="A1148" s="14"/>
      <c r="B1148" s="15"/>
      <c r="C1148" s="12" t="e">
        <f>C1147=C1041</f>
        <v>#REF!</v>
      </c>
      <c r="D1148" s="12"/>
      <c r="E1148" s="13"/>
      <c r="F1148" s="12"/>
      <c r="G1148" s="12"/>
      <c r="H1148" s="12"/>
      <c r="I1148" s="12"/>
      <c r="L1148" s="5"/>
      <c r="M1148" s="5"/>
      <c r="N1148" s="5"/>
      <c r="O1148" s="5"/>
    </row>
    <row r="1149" spans="1:15" x14ac:dyDescent="0.3">
      <c r="A1149" s="14"/>
      <c r="B1149" s="15"/>
      <c r="C1149" s="12"/>
      <c r="D1149" s="12"/>
      <c r="E1149" s="13"/>
      <c r="F1149" s="12"/>
      <c r="G1149" s="12"/>
      <c r="H1149" s="12"/>
      <c r="I1149" s="12"/>
      <c r="L1149" s="5"/>
      <c r="M1149" s="5"/>
      <c r="N1149" s="5"/>
      <c r="O1149" s="5"/>
    </row>
    <row r="1150" spans="1:15" x14ac:dyDescent="0.3">
      <c r="A1150" s="16" t="s">
        <v>52</v>
      </c>
      <c r="B1150" s="16"/>
      <c r="C1150" s="16"/>
      <c r="D1150" s="17"/>
      <c r="E1150" s="17"/>
      <c r="F1150" s="17"/>
      <c r="G1150" s="17"/>
      <c r="H1150" s="17"/>
      <c r="I1150" s="17"/>
      <c r="L1150" s="5"/>
      <c r="M1150" s="5"/>
      <c r="N1150" s="5"/>
      <c r="O1150" s="5"/>
    </row>
    <row r="1151" spans="1:15" x14ac:dyDescent="0.3">
      <c r="A1151" s="18" t="s">
        <v>114</v>
      </c>
      <c r="B1151" s="18"/>
      <c r="C1151" s="18"/>
      <c r="D1151" s="18"/>
      <c r="E1151" s="18"/>
      <c r="F1151" s="18"/>
      <c r="G1151" s="18"/>
      <c r="H1151" s="18"/>
      <c r="I1151" s="18"/>
      <c r="J1151" s="17"/>
      <c r="L1151" s="5"/>
      <c r="M1151" s="5"/>
      <c r="N1151" s="5"/>
      <c r="O1151" s="5"/>
    </row>
    <row r="1152" spans="1:15" x14ac:dyDescent="0.3">
      <c r="A1152" s="19"/>
      <c r="B1152" s="17"/>
      <c r="C1152" s="20"/>
      <c r="D1152" s="20"/>
      <c r="E1152" s="20"/>
      <c r="F1152" s="20"/>
      <c r="G1152" s="20"/>
      <c r="H1152" s="17"/>
      <c r="I1152" s="17"/>
      <c r="J1152" s="18"/>
      <c r="L1152" s="5"/>
      <c r="M1152" s="5"/>
      <c r="N1152" s="5"/>
      <c r="O1152" s="5"/>
    </row>
    <row r="1153" spans="1:15" x14ac:dyDescent="0.3">
      <c r="A1153" s="360" t="s">
        <v>53</v>
      </c>
      <c r="B1153" s="362" t="s">
        <v>54</v>
      </c>
      <c r="C1153" s="364" t="s">
        <v>116</v>
      </c>
      <c r="D1153" s="366" t="s">
        <v>55</v>
      </c>
      <c r="E1153" s="367"/>
      <c r="F1153" s="367"/>
      <c r="G1153" s="368"/>
      <c r="H1153" s="369" t="s">
        <v>56</v>
      </c>
      <c r="I1153" s="371" t="s">
        <v>57</v>
      </c>
      <c r="J1153" s="17"/>
      <c r="L1153" s="5"/>
      <c r="M1153" s="5"/>
      <c r="N1153" s="5"/>
      <c r="O1153" s="5"/>
    </row>
    <row r="1154" spans="1:15" x14ac:dyDescent="0.3">
      <c r="A1154" s="361"/>
      <c r="B1154" s="363"/>
      <c r="C1154" s="365"/>
      <c r="D1154" s="21" t="s">
        <v>24</v>
      </c>
      <c r="E1154" s="21" t="s">
        <v>25</v>
      </c>
      <c r="F1154" s="22" t="s">
        <v>118</v>
      </c>
      <c r="G1154" s="21" t="s">
        <v>58</v>
      </c>
      <c r="H1154" s="370"/>
      <c r="I1154" s="372"/>
      <c r="J1154" s="373" t="s">
        <v>117</v>
      </c>
      <c r="L1154" s="5"/>
      <c r="M1154" s="5"/>
      <c r="N1154" s="5"/>
      <c r="O1154" s="5"/>
    </row>
    <row r="1155" spans="1:15" x14ac:dyDescent="0.3">
      <c r="A1155" s="23"/>
      <c r="B1155" s="24" t="s">
        <v>59</v>
      </c>
      <c r="C1155" s="25"/>
      <c r="D1155" s="25"/>
      <c r="E1155" s="25"/>
      <c r="F1155" s="25"/>
      <c r="G1155" s="25"/>
      <c r="H1155" s="25"/>
      <c r="I1155" s="26"/>
      <c r="J1155" s="374"/>
      <c r="L1155" s="5"/>
      <c r="M1155" s="5"/>
      <c r="N1155" s="5"/>
      <c r="O1155" s="5"/>
    </row>
    <row r="1156" spans="1:15" x14ac:dyDescent="0.3">
      <c r="A1156" s="122" t="s">
        <v>115</v>
      </c>
      <c r="B1156" s="127" t="s">
        <v>76</v>
      </c>
      <c r="C1156" s="32">
        <v>3670</v>
      </c>
      <c r="D1156" s="31"/>
      <c r="E1156" s="32">
        <v>118000</v>
      </c>
      <c r="F1156" s="32">
        <v>4000</v>
      </c>
      <c r="G1156" s="32"/>
      <c r="H1156" s="55"/>
      <c r="I1156" s="32">
        <v>118000</v>
      </c>
      <c r="J1156" s="30">
        <f>+SUM(C1156:G1156)-(H1156+I1156)</f>
        <v>7670</v>
      </c>
      <c r="K1156" s="142"/>
      <c r="L1156" s="5"/>
      <c r="M1156" s="5"/>
      <c r="N1156" s="5"/>
      <c r="O1156" s="5"/>
    </row>
    <row r="1157" spans="1:15" x14ac:dyDescent="0.3">
      <c r="A1157" s="122" t="s">
        <v>115</v>
      </c>
      <c r="B1157" s="127" t="s">
        <v>47</v>
      </c>
      <c r="C1157" s="32">
        <v>-540</v>
      </c>
      <c r="D1157" s="31"/>
      <c r="E1157" s="32">
        <v>209750</v>
      </c>
      <c r="F1157" s="32">
        <v>5000</v>
      </c>
      <c r="G1157" s="32"/>
      <c r="H1157" s="55"/>
      <c r="I1157" s="32">
        <v>209500</v>
      </c>
      <c r="J1157" s="30">
        <f t="shared" ref="J1157:J1158" si="588">+SUM(C1157:G1157)-(H1157+I1157)</f>
        <v>4710</v>
      </c>
      <c r="K1157" s="142"/>
      <c r="L1157" s="5"/>
      <c r="M1157" s="5"/>
      <c r="N1157" s="5"/>
      <c r="O1157" s="5"/>
    </row>
    <row r="1158" spans="1:15" x14ac:dyDescent="0.3">
      <c r="A1158" s="122" t="s">
        <v>115</v>
      </c>
      <c r="B1158" s="127" t="s">
        <v>31</v>
      </c>
      <c r="C1158" s="32">
        <v>2395</v>
      </c>
      <c r="D1158" s="31"/>
      <c r="E1158" s="32">
        <v>70000</v>
      </c>
      <c r="F1158" s="32">
        <v>4000</v>
      </c>
      <c r="G1158" s="32"/>
      <c r="H1158" s="32"/>
      <c r="I1158" s="32">
        <v>67100</v>
      </c>
      <c r="J1158" s="101">
        <f t="shared" si="588"/>
        <v>9295</v>
      </c>
      <c r="K1158" s="142"/>
      <c r="L1158" s="5"/>
      <c r="M1158" s="5"/>
      <c r="N1158" s="5"/>
      <c r="O1158" s="5"/>
    </row>
    <row r="1159" spans="1:15" x14ac:dyDescent="0.3">
      <c r="A1159" s="122" t="s">
        <v>115</v>
      </c>
      <c r="B1159" s="127" t="s">
        <v>77</v>
      </c>
      <c r="C1159" s="32">
        <v>96100</v>
      </c>
      <c r="D1159" s="104"/>
      <c r="E1159" s="32">
        <v>488100</v>
      </c>
      <c r="F1159" s="32">
        <v>4000</v>
      </c>
      <c r="G1159" s="32"/>
      <c r="H1159" s="32">
        <v>61600</v>
      </c>
      <c r="I1159" s="32">
        <v>551700</v>
      </c>
      <c r="J1159" s="101">
        <f>+SUM(C1159:G1159)-(H1159+I1159)</f>
        <v>-25100</v>
      </c>
      <c r="K1159" s="142"/>
      <c r="L1159" s="5"/>
      <c r="M1159" s="5"/>
      <c r="N1159" s="5"/>
      <c r="O1159" s="5"/>
    </row>
    <row r="1160" spans="1:15" x14ac:dyDescent="0.3">
      <c r="A1160" s="122" t="s">
        <v>115</v>
      </c>
      <c r="B1160" s="127" t="s">
        <v>69</v>
      </c>
      <c r="C1160" s="32">
        <v>13884</v>
      </c>
      <c r="D1160" s="104"/>
      <c r="E1160" s="32">
        <v>194000</v>
      </c>
      <c r="F1160" s="32"/>
      <c r="G1160" s="32"/>
      <c r="H1160" s="32">
        <v>17000</v>
      </c>
      <c r="I1160" s="32">
        <v>183500</v>
      </c>
      <c r="J1160" s="101">
        <f t="shared" ref="J1160" si="589">+SUM(C1160:G1160)-(H1160+I1160)</f>
        <v>7384</v>
      </c>
      <c r="K1160" s="142"/>
      <c r="L1160" s="5"/>
      <c r="M1160" s="5"/>
      <c r="N1160" s="5"/>
      <c r="O1160" s="5"/>
    </row>
    <row r="1161" spans="1:15" x14ac:dyDescent="0.3">
      <c r="A1161" s="122" t="s">
        <v>115</v>
      </c>
      <c r="B1161" s="128" t="s">
        <v>30</v>
      </c>
      <c r="C1161" s="32">
        <v>72400</v>
      </c>
      <c r="D1161" s="119"/>
      <c r="E1161" s="51">
        <v>599900</v>
      </c>
      <c r="F1161" s="51"/>
      <c r="G1161" s="51"/>
      <c r="H1161" s="51"/>
      <c r="I1161" s="51">
        <v>611000</v>
      </c>
      <c r="J1161" s="124">
        <f>+SUM(C1161:G1161)-(H1161+I1161)</f>
        <v>61300</v>
      </c>
      <c r="K1161" s="142"/>
      <c r="L1161" s="5"/>
      <c r="M1161" s="5"/>
      <c r="N1161" s="5"/>
      <c r="O1161" s="5"/>
    </row>
    <row r="1162" spans="1:15" x14ac:dyDescent="0.3">
      <c r="A1162" s="122" t="s">
        <v>115</v>
      </c>
      <c r="B1162" s="129" t="s">
        <v>84</v>
      </c>
      <c r="C1162" s="120">
        <v>233614</v>
      </c>
      <c r="D1162" s="123"/>
      <c r="E1162" s="137"/>
      <c r="F1162" s="137"/>
      <c r="G1162" s="137"/>
      <c r="H1162" s="137"/>
      <c r="I1162" s="137"/>
      <c r="J1162" s="121">
        <f>+SUM(C1162:G1162)-(H1162+I1162)</f>
        <v>233614</v>
      </c>
      <c r="K1162" s="142"/>
      <c r="L1162" s="5"/>
      <c r="M1162" s="5"/>
      <c r="N1162" s="5"/>
      <c r="O1162" s="5"/>
    </row>
    <row r="1163" spans="1:15" x14ac:dyDescent="0.3">
      <c r="A1163" s="122" t="s">
        <v>115</v>
      </c>
      <c r="B1163" s="129" t="s">
        <v>83</v>
      </c>
      <c r="C1163" s="120">
        <v>249769</v>
      </c>
      <c r="D1163" s="123"/>
      <c r="E1163" s="137"/>
      <c r="F1163" s="137"/>
      <c r="G1163" s="137"/>
      <c r="H1163" s="137"/>
      <c r="I1163" s="137"/>
      <c r="J1163" s="121">
        <f t="shared" ref="J1163:J1170" si="590">+SUM(C1163:G1163)-(H1163+I1163)</f>
        <v>249769</v>
      </c>
      <c r="K1163" s="142"/>
      <c r="L1163" s="5"/>
      <c r="M1163" s="5"/>
      <c r="N1163" s="5"/>
      <c r="O1163" s="5"/>
    </row>
    <row r="1164" spans="1:15" x14ac:dyDescent="0.3">
      <c r="A1164" s="122" t="s">
        <v>115</v>
      </c>
      <c r="B1164" s="127" t="s">
        <v>35</v>
      </c>
      <c r="C1164" s="32">
        <v>18490</v>
      </c>
      <c r="D1164" s="31"/>
      <c r="E1164" s="32">
        <v>796460</v>
      </c>
      <c r="F1164" s="32">
        <v>61600</v>
      </c>
      <c r="G1164" s="104"/>
      <c r="H1164" s="104"/>
      <c r="I1164" s="32">
        <v>872050</v>
      </c>
      <c r="J1164" s="30">
        <f t="shared" si="590"/>
        <v>4500</v>
      </c>
      <c r="K1164" s="142"/>
      <c r="L1164" s="5"/>
      <c r="M1164" s="5"/>
      <c r="N1164" s="5"/>
      <c r="O1164" s="5"/>
    </row>
    <row r="1165" spans="1:15" x14ac:dyDescent="0.3">
      <c r="A1165" s="122" t="s">
        <v>115</v>
      </c>
      <c r="B1165" s="127" t="s">
        <v>93</v>
      </c>
      <c r="C1165" s="32">
        <v>4500</v>
      </c>
      <c r="D1165" s="31"/>
      <c r="E1165" s="32">
        <v>40000</v>
      </c>
      <c r="F1165" s="104"/>
      <c r="G1165" s="104"/>
      <c r="H1165" s="104"/>
      <c r="I1165" s="32">
        <v>50500</v>
      </c>
      <c r="J1165" s="30">
        <f t="shared" si="590"/>
        <v>-6000</v>
      </c>
      <c r="K1165" s="142"/>
      <c r="L1165" s="5"/>
      <c r="M1165" s="5"/>
      <c r="N1165" s="5"/>
      <c r="O1165" s="5"/>
    </row>
    <row r="1166" spans="1:15" x14ac:dyDescent="0.3">
      <c r="A1166" s="122" t="s">
        <v>115</v>
      </c>
      <c r="B1166" s="127" t="s">
        <v>29</v>
      </c>
      <c r="C1166" s="32">
        <v>44200</v>
      </c>
      <c r="D1166" s="31"/>
      <c r="E1166" s="32">
        <v>60000</v>
      </c>
      <c r="F1166" s="104"/>
      <c r="G1166" s="104"/>
      <c r="H1166" s="104"/>
      <c r="I1166" s="32">
        <v>32000</v>
      </c>
      <c r="J1166" s="30">
        <f t="shared" si="590"/>
        <v>72200</v>
      </c>
      <c r="K1166" s="142"/>
      <c r="L1166" s="5"/>
      <c r="M1166" s="5"/>
      <c r="N1166" s="5"/>
      <c r="O1166" s="5"/>
    </row>
    <row r="1167" spans="1:15" x14ac:dyDescent="0.3">
      <c r="A1167" s="122" t="s">
        <v>115</v>
      </c>
      <c r="B1167" s="127" t="s">
        <v>94</v>
      </c>
      <c r="C1167" s="32">
        <v>-851709</v>
      </c>
      <c r="D1167" s="31"/>
      <c r="E1167" s="32">
        <v>851709</v>
      </c>
      <c r="F1167" s="104"/>
      <c r="G1167" s="104"/>
      <c r="H1167" s="104"/>
      <c r="I1167" s="32"/>
      <c r="J1167" s="30">
        <f>+SUM(C1167:G1167)-(H1167+I1167)</f>
        <v>0</v>
      </c>
      <c r="K1167" s="142"/>
      <c r="L1167" s="5"/>
      <c r="M1167" s="5"/>
      <c r="N1167" s="5"/>
      <c r="O1167" s="5"/>
    </row>
    <row r="1168" spans="1:15" x14ac:dyDescent="0.3">
      <c r="A1168" s="122" t="s">
        <v>115</v>
      </c>
      <c r="B1168" s="127" t="s">
        <v>101</v>
      </c>
      <c r="C1168" s="32">
        <v>90300</v>
      </c>
      <c r="D1168" s="31"/>
      <c r="E1168" s="32">
        <v>69200</v>
      </c>
      <c r="F1168" s="104"/>
      <c r="G1168" s="104"/>
      <c r="H1168" s="104"/>
      <c r="I1168" s="32">
        <v>159500</v>
      </c>
      <c r="J1168" s="30">
        <f t="shared" si="590"/>
        <v>0</v>
      </c>
      <c r="K1168" s="142"/>
      <c r="L1168" s="5"/>
      <c r="M1168" s="5"/>
      <c r="N1168" s="5"/>
      <c r="O1168" s="5"/>
    </row>
    <row r="1169" spans="1:15" x14ac:dyDescent="0.3">
      <c r="A1169" s="122" t="s">
        <v>115</v>
      </c>
      <c r="B1169" s="127" t="s">
        <v>32</v>
      </c>
      <c r="C1169" s="32">
        <v>300</v>
      </c>
      <c r="D1169" s="31"/>
      <c r="E1169" s="32">
        <v>20000</v>
      </c>
      <c r="F1169" s="104"/>
      <c r="G1169" s="104"/>
      <c r="H1169" s="104"/>
      <c r="I1169" s="32">
        <v>11000</v>
      </c>
      <c r="J1169" s="30">
        <f t="shared" si="590"/>
        <v>9300</v>
      </c>
      <c r="K1169" s="142"/>
      <c r="L1169" s="5"/>
      <c r="M1169" s="5"/>
      <c r="N1169" s="5"/>
      <c r="O1169" s="5"/>
    </row>
    <row r="1170" spans="1:15" x14ac:dyDescent="0.3">
      <c r="A1170" s="122" t="s">
        <v>115</v>
      </c>
      <c r="B1170" s="128" t="s">
        <v>113</v>
      </c>
      <c r="C1170" s="32">
        <v>0</v>
      </c>
      <c r="D1170" s="119"/>
      <c r="E1170" s="136"/>
      <c r="F1170" s="136"/>
      <c r="G1170" s="138"/>
      <c r="H1170" s="136"/>
      <c r="I1170" s="51">
        <v>14000</v>
      </c>
      <c r="J1170" s="30">
        <f t="shared" si="590"/>
        <v>-14000</v>
      </c>
      <c r="K1170" s="142"/>
      <c r="L1170" s="5"/>
      <c r="M1170" s="5"/>
      <c r="N1170" s="5"/>
      <c r="O1170" s="5"/>
    </row>
    <row r="1171" spans="1:15" x14ac:dyDescent="0.3">
      <c r="A1171" s="34" t="s">
        <v>60</v>
      </c>
      <c r="B1171" s="35"/>
      <c r="C1171" s="35"/>
      <c r="D1171" s="35"/>
      <c r="E1171" s="35"/>
      <c r="F1171" s="35"/>
      <c r="G1171" s="35"/>
      <c r="H1171" s="35"/>
      <c r="I1171" s="35"/>
      <c r="J1171" s="36"/>
      <c r="L1171" s="5"/>
      <c r="M1171" s="5"/>
      <c r="N1171" s="5"/>
      <c r="O1171" s="5"/>
    </row>
    <row r="1172" spans="1:15" x14ac:dyDescent="0.3">
      <c r="A1172" s="122" t="s">
        <v>115</v>
      </c>
      <c r="B1172" s="37" t="s">
        <v>61</v>
      </c>
      <c r="C1172" s="38" t="e">
        <f>C1029</f>
        <v>#REF!</v>
      </c>
      <c r="D1172" s="49">
        <v>5872000</v>
      </c>
      <c r="E1172" s="103"/>
      <c r="F1172" s="103"/>
      <c r="G1172" s="139"/>
      <c r="H1172" s="131">
        <v>3517119</v>
      </c>
      <c r="I1172" s="126">
        <v>1523260</v>
      </c>
      <c r="J1172" s="30" t="e">
        <f>+SUM(C1172:G1172)-(H1172+I1172)</f>
        <v>#REF!</v>
      </c>
      <c r="K1172" s="142"/>
      <c r="L1172" s="5"/>
      <c r="M1172" s="5"/>
      <c r="N1172" s="5"/>
      <c r="O1172" s="5"/>
    </row>
    <row r="1173" spans="1:15" x14ac:dyDescent="0.3">
      <c r="A1173" s="43" t="s">
        <v>62</v>
      </c>
      <c r="B1173" s="24"/>
      <c r="C1173" s="35"/>
      <c r="D1173" s="24"/>
      <c r="E1173" s="24"/>
      <c r="F1173" s="24"/>
      <c r="G1173" s="24"/>
      <c r="H1173" s="24"/>
      <c r="I1173" s="24"/>
      <c r="J1173" s="36"/>
      <c r="L1173" s="5"/>
      <c r="M1173" s="5"/>
      <c r="N1173" s="5"/>
      <c r="O1173" s="5"/>
    </row>
    <row r="1174" spans="1:15" x14ac:dyDescent="0.3">
      <c r="A1174" s="122" t="s">
        <v>115</v>
      </c>
      <c r="B1174" s="37" t="s">
        <v>63</v>
      </c>
      <c r="C1174" s="125" t="e">
        <f>#REF!</f>
        <v>#REF!</v>
      </c>
      <c r="D1174" s="132">
        <v>10380044</v>
      </c>
      <c r="E1174" s="49"/>
      <c r="F1174" s="49"/>
      <c r="G1174" s="49"/>
      <c r="H1174" s="51">
        <v>5500000</v>
      </c>
      <c r="I1174" s="53">
        <v>277455</v>
      </c>
      <c r="J1174" s="30" t="e">
        <f>+SUM(C1174:G1174)-(H1174+I1174)</f>
        <v>#REF!</v>
      </c>
      <c r="K1174" s="142"/>
      <c r="L1174" s="5"/>
      <c r="M1174" s="5"/>
      <c r="N1174" s="5"/>
      <c r="O1174" s="5"/>
    </row>
    <row r="1175" spans="1:15" x14ac:dyDescent="0.3">
      <c r="A1175" s="122" t="s">
        <v>115</v>
      </c>
      <c r="B1175" s="37" t="s">
        <v>64</v>
      </c>
      <c r="C1175" s="125" t="e">
        <f>C1028</f>
        <v>#REF!</v>
      </c>
      <c r="D1175" s="49"/>
      <c r="E1175" s="48"/>
      <c r="F1175" s="48"/>
      <c r="G1175" s="48"/>
      <c r="H1175" s="32">
        <v>372000</v>
      </c>
      <c r="I1175" s="50">
        <v>4601760</v>
      </c>
      <c r="J1175" s="30" t="e">
        <f>SUM(C1175:G1175)-(H1175+I1175)</f>
        <v>#REF!</v>
      </c>
      <c r="K1175" s="142"/>
      <c r="L1175" s="5"/>
      <c r="M1175" s="5"/>
      <c r="N1175" s="5"/>
      <c r="O1175" s="5"/>
    </row>
    <row r="1176" spans="1:15" ht="15.6" x14ac:dyDescent="0.3">
      <c r="C1176" s="141" t="e">
        <f>SUM(C1156:C1175)</f>
        <v>#REF!</v>
      </c>
      <c r="I1176" s="140">
        <f>SUM(I1156:I1175)</f>
        <v>9282325</v>
      </c>
      <c r="J1176" s="105" t="e">
        <f>+SUM(J1156:J1175)</f>
        <v>#REF!</v>
      </c>
      <c r="L1176" s="5"/>
      <c r="M1176" s="5"/>
      <c r="N1176" s="5"/>
      <c r="O1176" s="5"/>
    </row>
    <row r="1177" spans="1:15" x14ac:dyDescent="0.3">
      <c r="A1177" s="14"/>
      <c r="B1177" s="15"/>
      <c r="C1177" s="12"/>
      <c r="D1177" s="12"/>
      <c r="E1177" s="13"/>
      <c r="F1177" s="12"/>
      <c r="G1177" s="12"/>
      <c r="H1177" s="12"/>
      <c r="I1177" s="12"/>
      <c r="L1177" s="5"/>
      <c r="M1177" s="5"/>
      <c r="N1177" s="5"/>
      <c r="O1177" s="5"/>
    </row>
    <row r="1178" spans="1:15" x14ac:dyDescent="0.3">
      <c r="A1178" s="16" t="s">
        <v>52</v>
      </c>
      <c r="B1178" s="16"/>
      <c r="C1178" s="16"/>
      <c r="D1178" s="17"/>
      <c r="E1178" s="17"/>
      <c r="F1178" s="17"/>
      <c r="G1178" s="17"/>
      <c r="H1178" s="17"/>
      <c r="I1178" s="17"/>
      <c r="L1178" s="5"/>
      <c r="M1178" s="5"/>
      <c r="N1178" s="5"/>
      <c r="O1178" s="5"/>
    </row>
    <row r="1179" spans="1:15" x14ac:dyDescent="0.3">
      <c r="A1179" s="18" t="s">
        <v>109</v>
      </c>
      <c r="B1179" s="18"/>
      <c r="C1179" s="18"/>
      <c r="D1179" s="18"/>
      <c r="E1179" s="18"/>
      <c r="F1179" s="18"/>
      <c r="G1179" s="18"/>
      <c r="H1179" s="18"/>
      <c r="I1179" s="18"/>
      <c r="J1179" s="17"/>
      <c r="L1179" s="5"/>
      <c r="M1179" s="5"/>
      <c r="N1179" s="5"/>
      <c r="O1179" s="5"/>
    </row>
    <row r="1180" spans="1:15" x14ac:dyDescent="0.3">
      <c r="A1180" s="19"/>
      <c r="B1180" s="17"/>
      <c r="C1180" s="20"/>
      <c r="D1180" s="20"/>
      <c r="E1180" s="20"/>
      <c r="F1180" s="20"/>
      <c r="G1180" s="20"/>
      <c r="H1180" s="17"/>
      <c r="I1180" s="17"/>
      <c r="J1180" s="18"/>
      <c r="L1180" s="5"/>
      <c r="M1180" s="5"/>
      <c r="N1180" s="5"/>
      <c r="O1180" s="5"/>
    </row>
    <row r="1181" spans="1:15" x14ac:dyDescent="0.3">
      <c r="A1181" s="360" t="s">
        <v>53</v>
      </c>
      <c r="B1181" s="362" t="s">
        <v>54</v>
      </c>
      <c r="C1181" s="364" t="s">
        <v>110</v>
      </c>
      <c r="D1181" s="366" t="s">
        <v>55</v>
      </c>
      <c r="E1181" s="367"/>
      <c r="F1181" s="367"/>
      <c r="G1181" s="368"/>
      <c r="H1181" s="369" t="s">
        <v>56</v>
      </c>
      <c r="I1181" s="371" t="s">
        <v>57</v>
      </c>
      <c r="J1181" s="17"/>
      <c r="L1181" s="5"/>
      <c r="M1181" s="5"/>
      <c r="N1181" s="5"/>
      <c r="O1181" s="5"/>
    </row>
    <row r="1182" spans="1:15" x14ac:dyDescent="0.3">
      <c r="A1182" s="361"/>
      <c r="B1182" s="363"/>
      <c r="C1182" s="365"/>
      <c r="D1182" s="21" t="s">
        <v>24</v>
      </c>
      <c r="E1182" s="21" t="s">
        <v>25</v>
      </c>
      <c r="F1182" s="22" t="s">
        <v>112</v>
      </c>
      <c r="G1182" s="21" t="s">
        <v>58</v>
      </c>
      <c r="H1182" s="370"/>
      <c r="I1182" s="372"/>
      <c r="J1182" s="373" t="s">
        <v>111</v>
      </c>
      <c r="L1182" s="5"/>
      <c r="M1182" s="5"/>
      <c r="N1182" s="5"/>
      <c r="O1182" s="5"/>
    </row>
    <row r="1183" spans="1:15" x14ac:dyDescent="0.3">
      <c r="A1183" s="23"/>
      <c r="B1183" s="24" t="s">
        <v>59</v>
      </c>
      <c r="C1183" s="25"/>
      <c r="D1183" s="25"/>
      <c r="E1183" s="25"/>
      <c r="F1183" s="25"/>
      <c r="G1183" s="25"/>
      <c r="H1183" s="25"/>
      <c r="I1183" s="26"/>
      <c r="J1183" s="374"/>
      <c r="L1183" s="5"/>
      <c r="M1183" s="5"/>
      <c r="N1183" s="5"/>
      <c r="O1183" s="5"/>
    </row>
    <row r="1184" spans="1:15" x14ac:dyDescent="0.3">
      <c r="A1184" s="122" t="s">
        <v>108</v>
      </c>
      <c r="B1184" s="127" t="s">
        <v>76</v>
      </c>
      <c r="C1184" s="32">
        <v>-11330</v>
      </c>
      <c r="D1184" s="31"/>
      <c r="E1184" s="32">
        <v>201400</v>
      </c>
      <c r="F1184" s="32">
        <v>184300</v>
      </c>
      <c r="G1184" s="32"/>
      <c r="H1184" s="55"/>
      <c r="I1184" s="32">
        <v>370700</v>
      </c>
      <c r="J1184" s="30">
        <f>+SUM(C1184:G1184)-(H1184+I1184)</f>
        <v>3670</v>
      </c>
      <c r="K1184" s="68"/>
      <c r="L1184" s="5"/>
      <c r="M1184" s="5"/>
      <c r="N1184" s="5"/>
      <c r="O1184" s="5"/>
    </row>
    <row r="1185" spans="1:15" x14ac:dyDescent="0.3">
      <c r="A1185" s="122" t="s">
        <v>108</v>
      </c>
      <c r="B1185" s="127" t="s">
        <v>47</v>
      </c>
      <c r="C1185" s="32">
        <v>8260</v>
      </c>
      <c r="D1185" s="31"/>
      <c r="E1185" s="32">
        <v>357900</v>
      </c>
      <c r="F1185" s="32"/>
      <c r="G1185" s="32"/>
      <c r="H1185" s="55">
        <v>50000</v>
      </c>
      <c r="I1185" s="32">
        <v>316700</v>
      </c>
      <c r="J1185" s="30">
        <f t="shared" ref="J1185:J1186" si="591">+SUM(C1185:G1185)-(H1185+I1185)</f>
        <v>-540</v>
      </c>
      <c r="K1185" s="68"/>
      <c r="L1185" s="5"/>
      <c r="M1185" s="5"/>
      <c r="N1185" s="5"/>
      <c r="O1185" s="5"/>
    </row>
    <row r="1186" spans="1:15" x14ac:dyDescent="0.3">
      <c r="A1186" s="122" t="s">
        <v>108</v>
      </c>
      <c r="B1186" s="127" t="s">
        <v>31</v>
      </c>
      <c r="C1186" s="32">
        <v>3795</v>
      </c>
      <c r="D1186" s="31"/>
      <c r="E1186" s="32">
        <v>20000</v>
      </c>
      <c r="F1186" s="32"/>
      <c r="G1186" s="32"/>
      <c r="H1186" s="32"/>
      <c r="I1186" s="32">
        <v>21400</v>
      </c>
      <c r="J1186" s="101">
        <f t="shared" si="591"/>
        <v>2395</v>
      </c>
      <c r="K1186" s="68"/>
      <c r="L1186" s="5"/>
      <c r="M1186" s="5"/>
      <c r="N1186" s="5"/>
      <c r="O1186" s="5"/>
    </row>
    <row r="1187" spans="1:15" x14ac:dyDescent="0.3">
      <c r="A1187" s="122" t="s">
        <v>108</v>
      </c>
      <c r="B1187" s="127" t="s">
        <v>77</v>
      </c>
      <c r="C1187" s="32">
        <v>-83100</v>
      </c>
      <c r="D1187" s="104"/>
      <c r="E1187" s="32">
        <v>699200</v>
      </c>
      <c r="F1187" s="32"/>
      <c r="G1187" s="32"/>
      <c r="H1187" s="32"/>
      <c r="I1187" s="32">
        <v>520000</v>
      </c>
      <c r="J1187" s="101">
        <f>+SUM(C1187:G1187)-(H1187+I1187)</f>
        <v>96100</v>
      </c>
      <c r="K1187" s="68"/>
      <c r="L1187" s="5"/>
      <c r="M1187" s="5"/>
      <c r="N1187" s="5"/>
      <c r="O1187" s="5"/>
    </row>
    <row r="1188" spans="1:15" x14ac:dyDescent="0.3">
      <c r="A1188" s="122" t="s">
        <v>108</v>
      </c>
      <c r="B1188" s="127" t="s">
        <v>69</v>
      </c>
      <c r="C1188" s="32">
        <v>1784</v>
      </c>
      <c r="D1188" s="104"/>
      <c r="E1188" s="32">
        <v>568600</v>
      </c>
      <c r="F1188" s="32">
        <v>50000</v>
      </c>
      <c r="G1188" s="32"/>
      <c r="H1188" s="32">
        <v>184300</v>
      </c>
      <c r="I1188" s="32">
        <v>422200</v>
      </c>
      <c r="J1188" s="101">
        <f t="shared" ref="J1188" si="592">+SUM(C1188:G1188)-(H1188+I1188)</f>
        <v>13884</v>
      </c>
      <c r="K1188" s="68"/>
      <c r="L1188" s="5"/>
      <c r="M1188" s="5"/>
      <c r="N1188" s="5"/>
      <c r="O1188" s="5"/>
    </row>
    <row r="1189" spans="1:15" x14ac:dyDescent="0.3">
      <c r="A1189" s="122" t="s">
        <v>108</v>
      </c>
      <c r="B1189" s="128" t="s">
        <v>30</v>
      </c>
      <c r="C1189" s="32">
        <v>88800</v>
      </c>
      <c r="D1189" s="119"/>
      <c r="E1189" s="51">
        <v>694600</v>
      </c>
      <c r="F1189" s="51"/>
      <c r="G1189" s="51"/>
      <c r="H1189" s="51"/>
      <c r="I1189" s="51">
        <v>711000</v>
      </c>
      <c r="J1189" s="124">
        <f>+SUM(C1189:G1189)-(H1189+I1189)</f>
        <v>72400</v>
      </c>
      <c r="K1189" s="68"/>
      <c r="L1189" s="5"/>
      <c r="M1189" s="5"/>
      <c r="N1189" s="5"/>
      <c r="O1189" s="5"/>
    </row>
    <row r="1190" spans="1:15" x14ac:dyDescent="0.3">
      <c r="A1190" s="122" t="s">
        <v>108</v>
      </c>
      <c r="B1190" s="129" t="s">
        <v>84</v>
      </c>
      <c r="C1190" s="120">
        <v>233614</v>
      </c>
      <c r="D1190" s="123"/>
      <c r="E1190" s="137"/>
      <c r="F1190" s="137"/>
      <c r="G1190" s="137"/>
      <c r="H1190" s="137"/>
      <c r="I1190" s="137"/>
      <c r="J1190" s="121">
        <f>+SUM(C1190:G1190)-(H1190+I1190)</f>
        <v>233614</v>
      </c>
      <c r="K1190" s="68"/>
      <c r="L1190" s="5"/>
      <c r="M1190" s="5"/>
      <c r="N1190" s="5"/>
      <c r="O1190" s="5"/>
    </row>
    <row r="1191" spans="1:15" x14ac:dyDescent="0.3">
      <c r="A1191" s="122" t="s">
        <v>108</v>
      </c>
      <c r="B1191" s="129" t="s">
        <v>83</v>
      </c>
      <c r="C1191" s="120">
        <v>249769</v>
      </c>
      <c r="D1191" s="123"/>
      <c r="E1191" s="137"/>
      <c r="F1191" s="137"/>
      <c r="G1191" s="137"/>
      <c r="H1191" s="137"/>
      <c r="I1191" s="137"/>
      <c r="J1191" s="121">
        <f t="shared" ref="J1191:J1195" si="593">+SUM(C1191:G1191)-(H1191+I1191)</f>
        <v>249769</v>
      </c>
      <c r="K1191" s="68"/>
      <c r="L1191" s="5"/>
      <c r="M1191" s="5"/>
      <c r="N1191" s="5"/>
      <c r="O1191" s="5"/>
    </row>
    <row r="1192" spans="1:15" x14ac:dyDescent="0.3">
      <c r="A1192" s="122" t="s">
        <v>108</v>
      </c>
      <c r="B1192" s="127" t="s">
        <v>35</v>
      </c>
      <c r="C1192" s="32">
        <v>7890</v>
      </c>
      <c r="D1192" s="31"/>
      <c r="E1192" s="32">
        <v>135600</v>
      </c>
      <c r="F1192" s="104"/>
      <c r="G1192" s="104"/>
      <c r="H1192" s="104"/>
      <c r="I1192" s="32">
        <v>125000</v>
      </c>
      <c r="J1192" s="30">
        <f t="shared" si="593"/>
        <v>18490</v>
      </c>
      <c r="K1192" s="68"/>
      <c r="L1192" s="5"/>
      <c r="M1192" s="5"/>
      <c r="N1192" s="5"/>
      <c r="O1192" s="5"/>
    </row>
    <row r="1193" spans="1:15" x14ac:dyDescent="0.3">
      <c r="A1193" s="122" t="s">
        <v>108</v>
      </c>
      <c r="B1193" s="127" t="s">
        <v>93</v>
      </c>
      <c r="C1193" s="32">
        <v>5000</v>
      </c>
      <c r="D1193" s="31"/>
      <c r="E1193" s="32">
        <v>30000</v>
      </c>
      <c r="F1193" s="104"/>
      <c r="G1193" s="104"/>
      <c r="H1193" s="104"/>
      <c r="I1193" s="32">
        <v>30500</v>
      </c>
      <c r="J1193" s="30">
        <f t="shared" si="593"/>
        <v>4500</v>
      </c>
      <c r="K1193" s="68"/>
      <c r="L1193" s="5"/>
      <c r="M1193" s="5"/>
      <c r="N1193" s="5"/>
      <c r="O1193" s="5"/>
    </row>
    <row r="1194" spans="1:15" x14ac:dyDescent="0.3">
      <c r="A1194" s="122" t="s">
        <v>108</v>
      </c>
      <c r="B1194" s="127" t="s">
        <v>29</v>
      </c>
      <c r="C1194" s="32">
        <v>57700</v>
      </c>
      <c r="D1194" s="31"/>
      <c r="E1194" s="32">
        <v>639000</v>
      </c>
      <c r="F1194" s="104"/>
      <c r="G1194" s="104"/>
      <c r="H1194" s="104"/>
      <c r="I1194" s="32">
        <v>652500</v>
      </c>
      <c r="J1194" s="30">
        <f t="shared" si="593"/>
        <v>44200</v>
      </c>
      <c r="K1194" s="68"/>
      <c r="L1194" s="5"/>
      <c r="M1194" s="5"/>
      <c r="N1194" s="5"/>
      <c r="O1194" s="5"/>
    </row>
    <row r="1195" spans="1:15" x14ac:dyDescent="0.3">
      <c r="A1195" s="122" t="s">
        <v>108</v>
      </c>
      <c r="B1195" s="127" t="s">
        <v>94</v>
      </c>
      <c r="C1195" s="32">
        <v>-32081</v>
      </c>
      <c r="D1195" s="31"/>
      <c r="E1195" s="104"/>
      <c r="F1195" s="104"/>
      <c r="G1195" s="104"/>
      <c r="H1195" s="104"/>
      <c r="I1195" s="32">
        <v>819628</v>
      </c>
      <c r="J1195" s="30">
        <f t="shared" si="593"/>
        <v>-851709</v>
      </c>
      <c r="K1195" s="68"/>
      <c r="L1195" s="5"/>
      <c r="M1195" s="5"/>
      <c r="N1195" s="5"/>
      <c r="O1195" s="5"/>
    </row>
    <row r="1196" spans="1:15" x14ac:dyDescent="0.3">
      <c r="A1196" s="122" t="s">
        <v>108</v>
      </c>
      <c r="B1196" s="127" t="s">
        <v>101</v>
      </c>
      <c r="C1196" s="32">
        <v>62000</v>
      </c>
      <c r="D1196" s="31"/>
      <c r="E1196" s="32">
        <v>622600</v>
      </c>
      <c r="F1196" s="104"/>
      <c r="G1196" s="104"/>
      <c r="H1196" s="104"/>
      <c r="I1196" s="32">
        <v>594300</v>
      </c>
      <c r="J1196" s="30">
        <f>+SUM(C1196:G1196)-(H1196+I1196)</f>
        <v>90300</v>
      </c>
      <c r="K1196" s="68"/>
      <c r="L1196" s="5"/>
      <c r="M1196" s="5"/>
      <c r="N1196" s="5"/>
      <c r="O1196" s="5"/>
    </row>
    <row r="1197" spans="1:15" x14ac:dyDescent="0.3">
      <c r="A1197" s="122" t="s">
        <v>108</v>
      </c>
      <c r="B1197" s="128" t="s">
        <v>32</v>
      </c>
      <c r="C1197" s="32">
        <v>4300</v>
      </c>
      <c r="D1197" s="119"/>
      <c r="E1197" s="136"/>
      <c r="F1197" s="136"/>
      <c r="G1197" s="138"/>
      <c r="H1197" s="136"/>
      <c r="I1197" s="51">
        <v>4000</v>
      </c>
      <c r="J1197" s="30">
        <f t="shared" ref="J1197" si="594">+SUM(C1197:G1197)-(H1197+I1197)</f>
        <v>300</v>
      </c>
      <c r="K1197" s="68"/>
      <c r="L1197" s="5"/>
      <c r="M1197" s="5"/>
      <c r="N1197" s="5"/>
      <c r="O1197" s="5"/>
    </row>
    <row r="1198" spans="1:15" x14ac:dyDescent="0.3">
      <c r="A1198" s="34" t="s">
        <v>60</v>
      </c>
      <c r="B1198" s="35"/>
      <c r="C1198" s="35"/>
      <c r="D1198" s="35"/>
      <c r="E1198" s="35"/>
      <c r="F1198" s="35"/>
      <c r="G1198" s="35"/>
      <c r="H1198" s="35"/>
      <c r="I1198" s="35"/>
      <c r="J1198" s="36"/>
      <c r="K1198" s="68"/>
      <c r="L1198" s="5"/>
      <c r="M1198" s="5"/>
      <c r="N1198" s="5"/>
      <c r="O1198" s="5"/>
    </row>
    <row r="1199" spans="1:15" x14ac:dyDescent="0.3">
      <c r="A1199" s="122" t="s">
        <v>108</v>
      </c>
      <c r="B1199" s="37" t="s">
        <v>61</v>
      </c>
      <c r="C1199" s="38">
        <v>62150</v>
      </c>
      <c r="D1199" s="49">
        <v>5500000</v>
      </c>
      <c r="E1199" s="103"/>
      <c r="F1199" s="103"/>
      <c r="G1199" s="139"/>
      <c r="H1199" s="131">
        <v>3968900</v>
      </c>
      <c r="I1199" s="126">
        <v>1276534</v>
      </c>
      <c r="J1199" s="30">
        <f>+SUM(C1199:G1199)-(H1199+I1199)</f>
        <v>316716</v>
      </c>
      <c r="K1199" s="68"/>
      <c r="L1199" s="5"/>
      <c r="M1199" s="5"/>
      <c r="N1199" s="5"/>
      <c r="O1199" s="5"/>
    </row>
    <row r="1200" spans="1:15" x14ac:dyDescent="0.3">
      <c r="A1200" s="43" t="s">
        <v>62</v>
      </c>
      <c r="B1200" s="24"/>
      <c r="C1200" s="35"/>
      <c r="D1200" s="24"/>
      <c r="E1200" s="24"/>
      <c r="F1200" s="24"/>
      <c r="G1200" s="24"/>
      <c r="H1200" s="24"/>
      <c r="I1200" s="24"/>
      <c r="J1200" s="36"/>
      <c r="L1200" s="5"/>
      <c r="M1200" s="5"/>
      <c r="N1200" s="5"/>
      <c r="O1200" s="5"/>
    </row>
    <row r="1201" spans="1:15" x14ac:dyDescent="0.3">
      <c r="A1201" s="122" t="s">
        <v>108</v>
      </c>
      <c r="B1201" s="37" t="s">
        <v>63</v>
      </c>
      <c r="C1201" s="125">
        <v>11284555</v>
      </c>
      <c r="D1201" s="132"/>
      <c r="E1201" s="49"/>
      <c r="F1201" s="49"/>
      <c r="G1201" s="49"/>
      <c r="H1201" s="51">
        <v>5500000</v>
      </c>
      <c r="I1201" s="53">
        <v>273881</v>
      </c>
      <c r="J1201" s="30">
        <f>+SUM(C1201:G1201)-(H1201+I1201)</f>
        <v>5510674</v>
      </c>
      <c r="K1201" s="68"/>
      <c r="L1201" s="5"/>
      <c r="M1201" s="5"/>
      <c r="N1201" s="5"/>
      <c r="O1201" s="5"/>
    </row>
    <row r="1202" spans="1:15" x14ac:dyDescent="0.3">
      <c r="A1202" s="122" t="s">
        <v>108</v>
      </c>
      <c r="B1202" s="37" t="s">
        <v>64</v>
      </c>
      <c r="C1202" s="125">
        <v>2158645</v>
      </c>
      <c r="D1202" s="49">
        <v>15435980</v>
      </c>
      <c r="E1202" s="48"/>
      <c r="F1202" s="48"/>
      <c r="G1202" s="48"/>
      <c r="H1202" s="32"/>
      <c r="I1202" s="50">
        <v>6400961</v>
      </c>
      <c r="J1202" s="30">
        <f>SUM(C1202:G1202)-(H1202+I1202)</f>
        <v>11193664</v>
      </c>
      <c r="K1202" s="68"/>
      <c r="L1202" s="5"/>
      <c r="M1202" s="5"/>
      <c r="N1202" s="5"/>
      <c r="O1202" s="5"/>
    </row>
    <row r="1203" spans="1:15" ht="15.6" x14ac:dyDescent="0.3">
      <c r="C1203" s="141">
        <f>SUM(C1184:C1202)</f>
        <v>14101751</v>
      </c>
      <c r="I1203" s="140">
        <f>SUM(I1184:I1202)</f>
        <v>12539304</v>
      </c>
      <c r="J1203" s="105">
        <f>+SUM(J1184:J1202)</f>
        <v>16998427</v>
      </c>
      <c r="L1203" s="5"/>
      <c r="M1203" s="5"/>
      <c r="N1203" s="5"/>
      <c r="O1203" s="5"/>
    </row>
    <row r="1204" spans="1:15" x14ac:dyDescent="0.3">
      <c r="A1204" s="10"/>
      <c r="B1204" s="11"/>
      <c r="C1204" s="12"/>
      <c r="D1204" s="12"/>
      <c r="E1204" s="12"/>
      <c r="F1204" s="12"/>
      <c r="G1204" s="12"/>
      <c r="H1204" s="12"/>
      <c r="I1204" s="12"/>
      <c r="J1204" s="133"/>
      <c r="L1204" s="5"/>
      <c r="M1204" s="5"/>
      <c r="N1204" s="5"/>
      <c r="O1204" s="5"/>
    </row>
    <row r="1205" spans="1:15" x14ac:dyDescent="0.3">
      <c r="A1205" s="14"/>
      <c r="B1205" s="15"/>
      <c r="C1205" s="12"/>
      <c r="D1205" s="12"/>
      <c r="E1205" s="13"/>
      <c r="F1205" s="12"/>
      <c r="G1205" s="12"/>
      <c r="H1205" s="12"/>
      <c r="I1205" s="12"/>
      <c r="L1205" s="5"/>
      <c r="M1205" s="5"/>
      <c r="N1205" s="5"/>
      <c r="O1205" s="5"/>
    </row>
    <row r="1206" spans="1:15" x14ac:dyDescent="0.3">
      <c r="A1206" s="16" t="s">
        <v>52</v>
      </c>
      <c r="B1206" s="16"/>
      <c r="C1206" s="16"/>
      <c r="D1206" s="17"/>
      <c r="E1206" s="17"/>
      <c r="F1206" s="17"/>
      <c r="G1206" s="17"/>
      <c r="H1206" s="17"/>
      <c r="I1206" s="17"/>
      <c r="L1206" s="5"/>
      <c r="M1206" s="5"/>
      <c r="N1206" s="5"/>
      <c r="O1206" s="5"/>
    </row>
    <row r="1207" spans="1:15" x14ac:dyDescent="0.3">
      <c r="A1207" s="18" t="s">
        <v>106</v>
      </c>
      <c r="B1207" s="18"/>
      <c r="C1207" s="18"/>
      <c r="D1207" s="18"/>
      <c r="E1207" s="18"/>
      <c r="F1207" s="18"/>
      <c r="G1207" s="18"/>
      <c r="H1207" s="18"/>
      <c r="I1207" s="18"/>
      <c r="J1207" s="17"/>
      <c r="L1207" s="5"/>
      <c r="M1207" s="5"/>
      <c r="N1207" s="5"/>
      <c r="O1207" s="5"/>
    </row>
    <row r="1208" spans="1:15" x14ac:dyDescent="0.3">
      <c r="A1208" s="19"/>
      <c r="B1208" s="17"/>
      <c r="C1208" s="20"/>
      <c r="D1208" s="20"/>
      <c r="E1208" s="20"/>
      <c r="F1208" s="20"/>
      <c r="G1208" s="20"/>
      <c r="H1208" s="17"/>
      <c r="I1208" s="17"/>
      <c r="J1208" s="18"/>
      <c r="L1208" s="5"/>
      <c r="M1208" s="5"/>
      <c r="N1208" s="5"/>
      <c r="O1208" s="5"/>
    </row>
    <row r="1209" spans="1:15" x14ac:dyDescent="0.3">
      <c r="A1209" s="360" t="s">
        <v>53</v>
      </c>
      <c r="B1209" s="362" t="s">
        <v>54</v>
      </c>
      <c r="C1209" s="364" t="s">
        <v>104</v>
      </c>
      <c r="D1209" s="366" t="s">
        <v>55</v>
      </c>
      <c r="E1209" s="367"/>
      <c r="F1209" s="367"/>
      <c r="G1209" s="368"/>
      <c r="H1209" s="369" t="s">
        <v>56</v>
      </c>
      <c r="I1209" s="371" t="s">
        <v>57</v>
      </c>
      <c r="J1209" s="17"/>
      <c r="L1209" s="5"/>
      <c r="M1209" s="5"/>
      <c r="N1209" s="5"/>
      <c r="O1209" s="5"/>
    </row>
    <row r="1210" spans="1:15" x14ac:dyDescent="0.3">
      <c r="A1210" s="361"/>
      <c r="B1210" s="363"/>
      <c r="C1210" s="365"/>
      <c r="D1210" s="21" t="s">
        <v>24</v>
      </c>
      <c r="E1210" s="21" t="s">
        <v>25</v>
      </c>
      <c r="F1210" s="22" t="s">
        <v>107</v>
      </c>
      <c r="G1210" s="21" t="s">
        <v>58</v>
      </c>
      <c r="H1210" s="370"/>
      <c r="I1210" s="372"/>
      <c r="J1210" s="373" t="s">
        <v>105</v>
      </c>
      <c r="L1210" s="5"/>
      <c r="M1210" s="5"/>
      <c r="N1210" s="5"/>
      <c r="O1210" s="5"/>
    </row>
    <row r="1211" spans="1:15" x14ac:dyDescent="0.3">
      <c r="A1211" s="23"/>
      <c r="B1211" s="24" t="s">
        <v>59</v>
      </c>
      <c r="C1211" s="25"/>
      <c r="D1211" s="25"/>
      <c r="E1211" s="25"/>
      <c r="F1211" s="25"/>
      <c r="G1211" s="25"/>
      <c r="H1211" s="25"/>
      <c r="I1211" s="26"/>
      <c r="J1211" s="374"/>
      <c r="L1211" s="5"/>
      <c r="M1211" s="5"/>
      <c r="N1211" s="5"/>
      <c r="O1211" s="5"/>
    </row>
    <row r="1212" spans="1:15" x14ac:dyDescent="0.3">
      <c r="A1212" s="122" t="s">
        <v>103</v>
      </c>
      <c r="B1212" s="127" t="s">
        <v>76</v>
      </c>
      <c r="C1212" s="32">
        <v>22200</v>
      </c>
      <c r="D1212" s="31"/>
      <c r="E1212" s="32">
        <v>439970</v>
      </c>
      <c r="F1212" s="104"/>
      <c r="G1212" s="104"/>
      <c r="H1212" s="135"/>
      <c r="I1212" s="32">
        <v>473500</v>
      </c>
      <c r="J1212" s="30">
        <f>+SUM(C1212:G1212)-(H1212+I1212)</f>
        <v>-11330</v>
      </c>
      <c r="K1212" s="68"/>
      <c r="L1212" s="5"/>
      <c r="M1212" s="5"/>
      <c r="N1212" s="5"/>
      <c r="O1212" s="5"/>
    </row>
    <row r="1213" spans="1:15" x14ac:dyDescent="0.3">
      <c r="A1213" s="122" t="s">
        <v>103</v>
      </c>
      <c r="B1213" s="127" t="s">
        <v>47</v>
      </c>
      <c r="C1213" s="32">
        <v>3060</v>
      </c>
      <c r="D1213" s="31"/>
      <c r="E1213" s="32">
        <v>157200</v>
      </c>
      <c r="F1213" s="32"/>
      <c r="G1213" s="32"/>
      <c r="H1213" s="55"/>
      <c r="I1213" s="32">
        <v>152000</v>
      </c>
      <c r="J1213" s="30">
        <f t="shared" ref="J1213:J1214" si="595">+SUM(C1213:G1213)-(H1213+I1213)</f>
        <v>8260</v>
      </c>
      <c r="K1213" s="68"/>
      <c r="L1213" s="5"/>
      <c r="M1213" s="5"/>
      <c r="N1213" s="5"/>
      <c r="O1213" s="5"/>
    </row>
    <row r="1214" spans="1:15" x14ac:dyDescent="0.3">
      <c r="A1214" s="122" t="s">
        <v>103</v>
      </c>
      <c r="B1214" s="127" t="s">
        <v>31</v>
      </c>
      <c r="C1214" s="32">
        <v>3795</v>
      </c>
      <c r="D1214" s="31"/>
      <c r="E1214" s="32">
        <v>45000</v>
      </c>
      <c r="F1214" s="32"/>
      <c r="G1214" s="32"/>
      <c r="H1214" s="32"/>
      <c r="I1214" s="32">
        <v>45000</v>
      </c>
      <c r="J1214" s="101">
        <f t="shared" si="595"/>
        <v>3795</v>
      </c>
      <c r="K1214" s="68"/>
      <c r="L1214" s="5"/>
      <c r="M1214" s="5"/>
      <c r="N1214" s="5"/>
      <c r="O1214" s="5"/>
    </row>
    <row r="1215" spans="1:15" x14ac:dyDescent="0.3">
      <c r="A1215" s="122" t="s">
        <v>103</v>
      </c>
      <c r="B1215" s="127" t="s">
        <v>77</v>
      </c>
      <c r="C1215" s="32">
        <v>2300</v>
      </c>
      <c r="D1215" s="104"/>
      <c r="E1215" s="32">
        <v>266600</v>
      </c>
      <c r="F1215" s="32">
        <v>159900</v>
      </c>
      <c r="G1215" s="32"/>
      <c r="H1215" s="32">
        <v>25000</v>
      </c>
      <c r="I1215" s="32">
        <v>486900</v>
      </c>
      <c r="J1215" s="101">
        <f>+SUM(C1215:G1215)-(H1215+I1215)</f>
        <v>-83100</v>
      </c>
      <c r="K1215" s="68"/>
      <c r="L1215" s="5"/>
      <c r="M1215" s="5"/>
      <c r="N1215" s="5"/>
      <c r="O1215" s="5"/>
    </row>
    <row r="1216" spans="1:15" x14ac:dyDescent="0.3">
      <c r="A1216" s="122" t="s">
        <v>103</v>
      </c>
      <c r="B1216" s="127" t="s">
        <v>69</v>
      </c>
      <c r="C1216" s="32">
        <v>-14216</v>
      </c>
      <c r="D1216" s="104"/>
      <c r="E1216" s="32">
        <v>622600</v>
      </c>
      <c r="F1216" s="32">
        <v>25000</v>
      </c>
      <c r="G1216" s="32"/>
      <c r="H1216" s="32">
        <v>260700</v>
      </c>
      <c r="I1216" s="32">
        <v>370900</v>
      </c>
      <c r="J1216" s="101">
        <f>+SUM(C1216:G1216)-(H1216+I1216)</f>
        <v>1784</v>
      </c>
      <c r="K1216" s="68"/>
      <c r="L1216" s="5"/>
      <c r="M1216" s="5"/>
      <c r="N1216" s="5"/>
      <c r="O1216" s="5"/>
    </row>
    <row r="1217" spans="1:15" x14ac:dyDescent="0.3">
      <c r="A1217" s="122" t="s">
        <v>103</v>
      </c>
      <c r="B1217" s="128" t="s">
        <v>30</v>
      </c>
      <c r="C1217" s="51">
        <v>143300</v>
      </c>
      <c r="D1217" s="119"/>
      <c r="E1217" s="51">
        <v>466500</v>
      </c>
      <c r="F1217" s="136"/>
      <c r="G1217" s="136"/>
      <c r="H1217" s="136"/>
      <c r="I1217" s="51">
        <v>521000</v>
      </c>
      <c r="J1217" s="124">
        <f>+SUM(C1217:G1217)-(H1217+I1217)</f>
        <v>88800</v>
      </c>
      <c r="K1217" s="68"/>
      <c r="L1217" s="5"/>
      <c r="M1217" s="5"/>
      <c r="N1217" s="5"/>
      <c r="O1217" s="5"/>
    </row>
    <row r="1218" spans="1:15" x14ac:dyDescent="0.3">
      <c r="A1218" s="122" t="s">
        <v>103</v>
      </c>
      <c r="B1218" s="129" t="s">
        <v>84</v>
      </c>
      <c r="C1218" s="120">
        <v>233614</v>
      </c>
      <c r="D1218" s="123"/>
      <c r="E1218" s="137"/>
      <c r="F1218" s="137"/>
      <c r="G1218" s="137"/>
      <c r="H1218" s="137"/>
      <c r="I1218" s="137"/>
      <c r="J1218" s="121">
        <f>+SUM(C1218:G1218)-(H1218+I1218)</f>
        <v>233614</v>
      </c>
      <c r="K1218" s="68"/>
      <c r="L1218" s="5"/>
      <c r="M1218" s="5"/>
      <c r="N1218" s="5"/>
      <c r="O1218" s="5"/>
    </row>
    <row r="1219" spans="1:15" x14ac:dyDescent="0.3">
      <c r="A1219" s="122" t="s">
        <v>103</v>
      </c>
      <c r="B1219" s="129" t="s">
        <v>83</v>
      </c>
      <c r="C1219" s="120">
        <v>249768</v>
      </c>
      <c r="D1219" s="123"/>
      <c r="E1219" s="137"/>
      <c r="F1219" s="137"/>
      <c r="G1219" s="137"/>
      <c r="H1219" s="137"/>
      <c r="I1219" s="137"/>
      <c r="J1219" s="121">
        <f t="shared" ref="J1219:J1225" si="596">+SUM(C1219:G1219)-(H1219+I1219)</f>
        <v>249768</v>
      </c>
      <c r="K1219" s="68"/>
      <c r="L1219" s="5"/>
      <c r="M1219" s="5"/>
      <c r="N1219" s="5"/>
      <c r="O1219" s="5"/>
    </row>
    <row r="1220" spans="1:15" x14ac:dyDescent="0.3">
      <c r="A1220" s="122" t="s">
        <v>103</v>
      </c>
      <c r="B1220" s="127" t="s">
        <v>35</v>
      </c>
      <c r="C1220" s="32">
        <v>55090</v>
      </c>
      <c r="D1220" s="31"/>
      <c r="E1220" s="32">
        <v>143000</v>
      </c>
      <c r="F1220" s="32">
        <v>70800</v>
      </c>
      <c r="G1220" s="104"/>
      <c r="H1220" s="104"/>
      <c r="I1220" s="32">
        <v>261000</v>
      </c>
      <c r="J1220" s="30">
        <f t="shared" si="596"/>
        <v>7890</v>
      </c>
      <c r="K1220" s="68"/>
      <c r="L1220" s="5"/>
      <c r="M1220" s="5"/>
      <c r="N1220" s="5"/>
      <c r="O1220" s="5"/>
    </row>
    <row r="1221" spans="1:15" x14ac:dyDescent="0.3">
      <c r="A1221" s="122" t="s">
        <v>103</v>
      </c>
      <c r="B1221" s="127" t="s">
        <v>93</v>
      </c>
      <c r="C1221" s="32">
        <v>0</v>
      </c>
      <c r="D1221" s="31"/>
      <c r="E1221" s="32">
        <v>30000</v>
      </c>
      <c r="F1221" s="104"/>
      <c r="G1221" s="104"/>
      <c r="H1221" s="104"/>
      <c r="I1221" s="32">
        <v>25000</v>
      </c>
      <c r="J1221" s="30">
        <f t="shared" si="596"/>
        <v>5000</v>
      </c>
      <c r="K1221" s="68"/>
      <c r="L1221" s="5"/>
      <c r="M1221" s="5"/>
      <c r="N1221" s="5"/>
      <c r="O1221" s="5"/>
    </row>
    <row r="1222" spans="1:15" x14ac:dyDescent="0.3">
      <c r="A1222" s="122" t="s">
        <v>103</v>
      </c>
      <c r="B1222" s="127" t="s">
        <v>29</v>
      </c>
      <c r="C1222" s="32">
        <v>110700</v>
      </c>
      <c r="D1222" s="31"/>
      <c r="E1222" s="32">
        <v>375000</v>
      </c>
      <c r="F1222" s="32">
        <v>30000</v>
      </c>
      <c r="G1222" s="104"/>
      <c r="H1222" s="104"/>
      <c r="I1222" s="32">
        <v>458000</v>
      </c>
      <c r="J1222" s="30">
        <f t="shared" si="596"/>
        <v>57700</v>
      </c>
      <c r="K1222" s="68"/>
      <c r="L1222" s="5"/>
      <c r="M1222" s="5"/>
      <c r="N1222" s="5"/>
      <c r="O1222" s="5"/>
    </row>
    <row r="1223" spans="1:15" x14ac:dyDescent="0.3">
      <c r="A1223" s="122" t="s">
        <v>103</v>
      </c>
      <c r="B1223" s="127" t="s">
        <v>94</v>
      </c>
      <c r="C1223" s="32">
        <v>-32081</v>
      </c>
      <c r="D1223" s="31"/>
      <c r="E1223" s="104">
        <v>0</v>
      </c>
      <c r="F1223" s="104"/>
      <c r="G1223" s="104"/>
      <c r="H1223" s="104"/>
      <c r="I1223" s="104">
        <v>0</v>
      </c>
      <c r="J1223" s="30">
        <f t="shared" si="596"/>
        <v>-32081</v>
      </c>
      <c r="K1223" s="68"/>
      <c r="L1223" s="5"/>
      <c r="M1223" s="5"/>
      <c r="N1223" s="5"/>
      <c r="O1223" s="5"/>
    </row>
    <row r="1224" spans="1:15" x14ac:dyDescent="0.3">
      <c r="A1224" s="122" t="s">
        <v>103</v>
      </c>
      <c r="B1224" s="127" t="s">
        <v>101</v>
      </c>
      <c r="C1224" s="32">
        <v>0</v>
      </c>
      <c r="D1224" s="31"/>
      <c r="E1224" s="32">
        <v>82000</v>
      </c>
      <c r="F1224" s="104"/>
      <c r="G1224" s="104"/>
      <c r="H1224" s="104"/>
      <c r="I1224" s="32">
        <v>20000</v>
      </c>
      <c r="J1224" s="30">
        <f>+SUM(C1224:G1224)-(H1224+I1224)</f>
        <v>62000</v>
      </c>
      <c r="K1224" s="68"/>
      <c r="L1224" s="5"/>
      <c r="M1224" s="5"/>
      <c r="N1224" s="5"/>
      <c r="O1224" s="5"/>
    </row>
    <row r="1225" spans="1:15" x14ac:dyDescent="0.3">
      <c r="A1225" s="122" t="s">
        <v>103</v>
      </c>
      <c r="B1225" s="128" t="s">
        <v>32</v>
      </c>
      <c r="C1225" s="51">
        <v>7300</v>
      </c>
      <c r="D1225" s="119"/>
      <c r="E1225" s="136"/>
      <c r="F1225" s="136"/>
      <c r="G1225" s="138"/>
      <c r="H1225" s="136"/>
      <c r="I1225" s="51">
        <v>3000</v>
      </c>
      <c r="J1225" s="30">
        <f t="shared" si="596"/>
        <v>4300</v>
      </c>
      <c r="K1225" s="68"/>
      <c r="L1225" s="5"/>
      <c r="M1225" s="5"/>
      <c r="N1225" s="5"/>
      <c r="O1225" s="5"/>
    </row>
    <row r="1226" spans="1:15" x14ac:dyDescent="0.3">
      <c r="A1226" s="34" t="s">
        <v>60</v>
      </c>
      <c r="B1226" s="35"/>
      <c r="C1226" s="35"/>
      <c r="D1226" s="35"/>
      <c r="E1226" s="35"/>
      <c r="F1226" s="35"/>
      <c r="G1226" s="35"/>
      <c r="H1226" s="35"/>
      <c r="I1226" s="35"/>
      <c r="J1226" s="36"/>
      <c r="K1226" s="68"/>
      <c r="L1226" s="5"/>
      <c r="M1226" s="5"/>
      <c r="N1226" s="5"/>
      <c r="O1226" s="5"/>
    </row>
    <row r="1227" spans="1:15" x14ac:dyDescent="0.3">
      <c r="A1227" s="122" t="s">
        <v>103</v>
      </c>
      <c r="B1227" s="37" t="s">
        <v>61</v>
      </c>
      <c r="C1227" s="38">
        <v>817769</v>
      </c>
      <c r="D1227" s="49">
        <v>3000000</v>
      </c>
      <c r="E1227" s="103"/>
      <c r="F1227" s="103"/>
      <c r="G1227" s="139"/>
      <c r="H1227" s="131">
        <v>2627870</v>
      </c>
      <c r="I1227" s="126">
        <v>1127749</v>
      </c>
      <c r="J1227" s="30">
        <f>+SUM(C1227:G1227)-(H1227+I1227)</f>
        <v>62150</v>
      </c>
      <c r="K1227" s="68"/>
      <c r="L1227" s="5"/>
      <c r="M1227" s="5"/>
      <c r="N1227" s="5"/>
      <c r="O1227" s="5"/>
    </row>
    <row r="1228" spans="1:15" x14ac:dyDescent="0.3">
      <c r="A1228" s="43" t="s">
        <v>62</v>
      </c>
      <c r="B1228" s="24"/>
      <c r="C1228" s="35"/>
      <c r="D1228" s="24"/>
      <c r="E1228" s="24"/>
      <c r="F1228" s="24"/>
      <c r="G1228" s="24"/>
      <c r="H1228" s="24"/>
      <c r="I1228" s="24"/>
      <c r="J1228" s="36"/>
      <c r="L1228" s="5"/>
      <c r="M1228" s="5"/>
      <c r="N1228" s="5"/>
      <c r="O1228" s="5"/>
    </row>
    <row r="1229" spans="1:15" x14ac:dyDescent="0.3">
      <c r="A1229" s="122" t="s">
        <v>103</v>
      </c>
      <c r="B1229" s="37" t="s">
        <v>63</v>
      </c>
      <c r="C1229" s="125">
        <v>14712920</v>
      </c>
      <c r="D1229" s="132"/>
      <c r="E1229" s="49"/>
      <c r="F1229" s="49"/>
      <c r="G1229" s="49"/>
      <c r="H1229" s="51">
        <v>3000000</v>
      </c>
      <c r="I1229" s="53">
        <v>428365</v>
      </c>
      <c r="J1229" s="30">
        <f>+SUM(C1229:G1229)-(H1229+I1229)</f>
        <v>11284555</v>
      </c>
      <c r="K1229" s="68"/>
      <c r="L1229" s="5"/>
      <c r="M1229" s="5"/>
      <c r="N1229" s="5"/>
      <c r="O1229" s="5"/>
    </row>
    <row r="1230" spans="1:15" x14ac:dyDescent="0.3">
      <c r="A1230" s="122" t="s">
        <v>103</v>
      </c>
      <c r="B1230" s="37" t="s">
        <v>64</v>
      </c>
      <c r="C1230" s="125">
        <v>8361083</v>
      </c>
      <c r="D1230" s="49"/>
      <c r="E1230" s="48"/>
      <c r="F1230" s="48"/>
      <c r="G1230" s="48"/>
      <c r="H1230" s="32"/>
      <c r="I1230" s="50">
        <v>6202438</v>
      </c>
      <c r="J1230" s="30">
        <f>SUM(C1230:G1230)-(H1230+I1230)</f>
        <v>2158645</v>
      </c>
      <c r="K1230" s="68"/>
      <c r="L1230" s="5"/>
      <c r="M1230" s="5"/>
      <c r="N1230" s="5"/>
      <c r="O1230" s="5"/>
    </row>
    <row r="1231" spans="1:15" ht="15.6" x14ac:dyDescent="0.3">
      <c r="C1231" s="9"/>
      <c r="I1231" s="140">
        <f>SUM(I1212:I1230)</f>
        <v>10574852</v>
      </c>
      <c r="J1231" s="105">
        <f>+SUM(J1212:J1230)</f>
        <v>14101750</v>
      </c>
      <c r="K1231" s="9">
        <f>J1231-C1203</f>
        <v>-1</v>
      </c>
      <c r="L1231" s="5"/>
      <c r="M1231" s="5"/>
      <c r="N1231" s="5"/>
      <c r="O1231" s="5"/>
    </row>
    <row r="1232" spans="1:15" x14ac:dyDescent="0.3">
      <c r="A1232" s="10"/>
      <c r="B1232" s="11"/>
      <c r="C1232" s="12"/>
      <c r="D1232" s="12"/>
      <c r="E1232" s="12"/>
      <c r="F1232" s="12"/>
      <c r="G1232" s="12"/>
      <c r="H1232" s="12"/>
      <c r="I1232" s="12"/>
      <c r="J1232" s="133"/>
      <c r="L1232" s="5"/>
      <c r="M1232" s="5"/>
      <c r="N1232" s="5"/>
      <c r="O1232" s="5"/>
    </row>
    <row r="1233" spans="1:15" x14ac:dyDescent="0.3">
      <c r="A1233" s="16" t="s">
        <v>52</v>
      </c>
      <c r="B1233" s="16"/>
      <c r="C1233" s="16"/>
      <c r="D1233" s="17"/>
      <c r="E1233" s="17"/>
      <c r="F1233" s="17"/>
      <c r="G1233" s="17"/>
      <c r="H1233" s="17"/>
      <c r="I1233" s="17"/>
      <c r="L1233" s="5"/>
      <c r="M1233" s="5"/>
      <c r="N1233" s="5"/>
      <c r="O1233" s="5"/>
    </row>
    <row r="1234" spans="1:15" x14ac:dyDescent="0.3">
      <c r="A1234" s="18" t="s">
        <v>95</v>
      </c>
      <c r="B1234" s="18"/>
      <c r="C1234" s="18"/>
      <c r="D1234" s="18"/>
      <c r="E1234" s="18"/>
      <c r="F1234" s="18"/>
      <c r="G1234" s="18"/>
      <c r="H1234" s="18"/>
      <c r="I1234" s="18"/>
      <c r="J1234" s="17"/>
      <c r="L1234" s="5"/>
      <c r="M1234" s="5"/>
      <c r="N1234" s="5"/>
      <c r="O1234" s="5"/>
    </row>
    <row r="1235" spans="1:15" x14ac:dyDescent="0.3">
      <c r="A1235" s="19"/>
      <c r="B1235" s="17"/>
      <c r="C1235" s="20"/>
      <c r="D1235" s="20"/>
      <c r="E1235" s="20"/>
      <c r="F1235" s="20"/>
      <c r="G1235" s="20"/>
      <c r="H1235" s="17"/>
      <c r="I1235" s="17"/>
      <c r="J1235" s="18"/>
      <c r="L1235" s="5"/>
      <c r="M1235" s="5"/>
      <c r="N1235" s="5"/>
      <c r="O1235" s="5"/>
    </row>
    <row r="1236" spans="1:15" ht="15" customHeight="1" x14ac:dyDescent="0.3">
      <c r="A1236" s="360" t="s">
        <v>53</v>
      </c>
      <c r="B1236" s="362" t="s">
        <v>54</v>
      </c>
      <c r="C1236" s="364" t="s">
        <v>96</v>
      </c>
      <c r="D1236" s="366" t="s">
        <v>55</v>
      </c>
      <c r="E1236" s="367"/>
      <c r="F1236" s="367"/>
      <c r="G1236" s="368"/>
      <c r="H1236" s="369" t="s">
        <v>56</v>
      </c>
      <c r="I1236" s="371" t="s">
        <v>57</v>
      </c>
      <c r="J1236" s="17"/>
      <c r="L1236" s="5"/>
      <c r="M1236" s="5"/>
      <c r="N1236" s="5"/>
      <c r="O1236" s="5"/>
    </row>
    <row r="1237" spans="1:15" ht="15" customHeight="1" x14ac:dyDescent="0.3">
      <c r="A1237" s="361"/>
      <c r="B1237" s="363"/>
      <c r="C1237" s="365"/>
      <c r="D1237" s="21" t="s">
        <v>24</v>
      </c>
      <c r="E1237" s="21" t="s">
        <v>25</v>
      </c>
      <c r="F1237" s="22" t="s">
        <v>99</v>
      </c>
      <c r="G1237" s="21" t="s">
        <v>58</v>
      </c>
      <c r="H1237" s="370"/>
      <c r="I1237" s="372"/>
      <c r="J1237" s="373" t="s">
        <v>97</v>
      </c>
      <c r="L1237" s="5"/>
      <c r="M1237" s="5"/>
      <c r="N1237" s="5"/>
      <c r="O1237" s="5"/>
    </row>
    <row r="1238" spans="1:15" x14ac:dyDescent="0.3">
      <c r="A1238" s="23"/>
      <c r="B1238" s="24" t="s">
        <v>59</v>
      </c>
      <c r="C1238" s="25"/>
      <c r="D1238" s="25"/>
      <c r="E1238" s="25"/>
      <c r="F1238" s="25"/>
      <c r="G1238" s="25"/>
      <c r="H1238" s="25"/>
      <c r="I1238" s="26"/>
      <c r="J1238" s="374"/>
      <c r="L1238" s="5"/>
      <c r="M1238" s="5"/>
      <c r="N1238" s="5"/>
      <c r="O1238" s="5"/>
    </row>
    <row r="1239" spans="1:15" x14ac:dyDescent="0.3">
      <c r="A1239" s="122" t="s">
        <v>98</v>
      </c>
      <c r="B1239" s="127" t="s">
        <v>76</v>
      </c>
      <c r="C1239" s="32">
        <v>-10750</v>
      </c>
      <c r="D1239" s="31"/>
      <c r="E1239" s="31">
        <v>170625</v>
      </c>
      <c r="F1239" s="31">
        <v>301700</v>
      </c>
      <c r="G1239" s="31"/>
      <c r="H1239" s="55">
        <v>27000</v>
      </c>
      <c r="I1239" s="32">
        <v>412375</v>
      </c>
      <c r="J1239" s="30">
        <f>+SUM(C1239:G1239)-(H1239+I1239)</f>
        <v>22200</v>
      </c>
      <c r="K1239" s="68"/>
      <c r="L1239" s="5"/>
      <c r="M1239" s="5"/>
      <c r="N1239" s="5"/>
      <c r="O1239" s="5"/>
    </row>
    <row r="1240" spans="1:15" x14ac:dyDescent="0.3">
      <c r="A1240" s="122" t="s">
        <v>98</v>
      </c>
      <c r="B1240" s="127" t="s">
        <v>47</v>
      </c>
      <c r="C1240" s="32">
        <v>9060</v>
      </c>
      <c r="D1240" s="31"/>
      <c r="E1240" s="31">
        <v>0</v>
      </c>
      <c r="F1240" s="31"/>
      <c r="G1240" s="31"/>
      <c r="H1240" s="55"/>
      <c r="I1240" s="32">
        <v>6000</v>
      </c>
      <c r="J1240" s="30">
        <f t="shared" ref="J1240:J1241" si="597">+SUM(C1240:G1240)-(H1240+I1240)</f>
        <v>3060</v>
      </c>
      <c r="K1240" s="68"/>
      <c r="L1240" s="5"/>
      <c r="M1240" s="5"/>
      <c r="N1240" s="5"/>
      <c r="O1240" s="5"/>
    </row>
    <row r="1241" spans="1:15" x14ac:dyDescent="0.3">
      <c r="A1241" s="122" t="s">
        <v>98</v>
      </c>
      <c r="B1241" s="127" t="s">
        <v>31</v>
      </c>
      <c r="C1241" s="32">
        <v>1195</v>
      </c>
      <c r="D1241" s="31"/>
      <c r="E1241" s="31">
        <v>75000</v>
      </c>
      <c r="F1241" s="32"/>
      <c r="G1241" s="32"/>
      <c r="H1241" s="32"/>
      <c r="I1241" s="32">
        <v>72400</v>
      </c>
      <c r="J1241" s="101">
        <f t="shared" si="597"/>
        <v>3795</v>
      </c>
      <c r="K1241" s="68"/>
      <c r="L1241" s="5"/>
      <c r="M1241" s="5"/>
      <c r="N1241" s="5"/>
      <c r="O1241" s="5"/>
    </row>
    <row r="1242" spans="1:15" x14ac:dyDescent="0.3">
      <c r="A1242" s="122" t="s">
        <v>98</v>
      </c>
      <c r="B1242" s="127" t="s">
        <v>77</v>
      </c>
      <c r="C1242" s="32">
        <v>-8600</v>
      </c>
      <c r="D1242" s="104"/>
      <c r="E1242" s="31">
        <v>596900</v>
      </c>
      <c r="F1242" s="32"/>
      <c r="G1242" s="32"/>
      <c r="H1242" s="32"/>
      <c r="I1242" s="32">
        <v>586000</v>
      </c>
      <c r="J1242" s="101">
        <f>+SUM(C1242:G1242)-(H1242+I1242)</f>
        <v>2300</v>
      </c>
      <c r="K1242" s="68"/>
      <c r="L1242" s="5"/>
      <c r="M1242" s="5"/>
      <c r="N1242" s="5"/>
      <c r="O1242" s="5"/>
    </row>
    <row r="1243" spans="1:15" x14ac:dyDescent="0.3">
      <c r="A1243" s="122" t="s">
        <v>98</v>
      </c>
      <c r="B1243" s="127" t="s">
        <v>69</v>
      </c>
      <c r="C1243" s="32">
        <v>8884</v>
      </c>
      <c r="D1243" s="104"/>
      <c r="E1243" s="31">
        <v>618600</v>
      </c>
      <c r="F1243" s="32">
        <v>27000</v>
      </c>
      <c r="G1243" s="32"/>
      <c r="H1243" s="32">
        <v>301700</v>
      </c>
      <c r="I1243" s="32">
        <v>367000</v>
      </c>
      <c r="J1243" s="101">
        <f t="shared" ref="J1243" si="598">+SUM(C1243:G1243)-(H1243+I1243)</f>
        <v>-14216</v>
      </c>
      <c r="K1243" s="68"/>
      <c r="L1243" s="5"/>
      <c r="M1243" s="5"/>
      <c r="N1243" s="5"/>
      <c r="O1243" s="5"/>
    </row>
    <row r="1244" spans="1:15" x14ac:dyDescent="0.3">
      <c r="A1244" s="119" t="s">
        <v>98</v>
      </c>
      <c r="B1244" s="128" t="s">
        <v>30</v>
      </c>
      <c r="C1244" s="51">
        <v>191600</v>
      </c>
      <c r="D1244" s="119"/>
      <c r="E1244" s="119">
        <v>777000</v>
      </c>
      <c r="F1244" s="51"/>
      <c r="G1244" s="51"/>
      <c r="H1244" s="51"/>
      <c r="I1244" s="51">
        <v>825300</v>
      </c>
      <c r="J1244" s="124">
        <f>+SUM(C1244:G1244)-(H1244+I1244)</f>
        <v>143300</v>
      </c>
      <c r="K1244" s="68"/>
      <c r="L1244" s="5"/>
      <c r="M1244" s="5"/>
      <c r="N1244" s="5"/>
      <c r="O1244" s="5"/>
    </row>
    <row r="1245" spans="1:15" x14ac:dyDescent="0.3">
      <c r="A1245" s="123" t="s">
        <v>98</v>
      </c>
      <c r="B1245" s="129" t="s">
        <v>84</v>
      </c>
      <c r="C1245" s="120">
        <v>233614</v>
      </c>
      <c r="D1245" s="123"/>
      <c r="E1245" s="123"/>
      <c r="F1245" s="123"/>
      <c r="G1245" s="123"/>
      <c r="H1245" s="120"/>
      <c r="I1245" s="120"/>
      <c r="J1245" s="121">
        <f>+SUM(C1245:G1245)-(H1245+I1245)</f>
        <v>233614</v>
      </c>
      <c r="K1245" s="68"/>
      <c r="L1245" s="5"/>
      <c r="M1245" s="5"/>
      <c r="N1245" s="5"/>
      <c r="O1245" s="5"/>
    </row>
    <row r="1246" spans="1:15" x14ac:dyDescent="0.3">
      <c r="A1246" s="123" t="s">
        <v>98</v>
      </c>
      <c r="B1246" s="129" t="s">
        <v>83</v>
      </c>
      <c r="C1246" s="120">
        <v>249769</v>
      </c>
      <c r="D1246" s="123"/>
      <c r="E1246" s="123"/>
      <c r="F1246" s="123"/>
      <c r="G1246" s="123"/>
      <c r="H1246" s="120"/>
      <c r="I1246" s="120"/>
      <c r="J1246" s="121">
        <f t="shared" ref="J1246:J1251" si="599">+SUM(C1246:G1246)-(H1246+I1246)</f>
        <v>249769</v>
      </c>
      <c r="K1246" s="68"/>
      <c r="L1246" s="5"/>
      <c r="M1246" s="5"/>
      <c r="N1246" s="5"/>
      <c r="O1246" s="5"/>
    </row>
    <row r="1247" spans="1:15" x14ac:dyDescent="0.3">
      <c r="A1247" s="122" t="s">
        <v>98</v>
      </c>
      <c r="B1247" s="127" t="s">
        <v>35</v>
      </c>
      <c r="C1247" s="32">
        <v>-3510</v>
      </c>
      <c r="D1247" s="31"/>
      <c r="E1247" s="31">
        <v>240100</v>
      </c>
      <c r="F1247" s="31"/>
      <c r="G1247" s="31"/>
      <c r="H1247" s="32"/>
      <c r="I1247" s="32">
        <v>181500</v>
      </c>
      <c r="J1247" s="30">
        <f t="shared" si="599"/>
        <v>55090</v>
      </c>
      <c r="K1247" s="68"/>
      <c r="L1247" s="5"/>
      <c r="M1247" s="5"/>
      <c r="N1247" s="5"/>
      <c r="O1247" s="5"/>
    </row>
    <row r="1248" spans="1:15" x14ac:dyDescent="0.3">
      <c r="A1248" s="122" t="s">
        <v>98</v>
      </c>
      <c r="B1248" s="127" t="s">
        <v>93</v>
      </c>
      <c r="C1248" s="32">
        <v>0</v>
      </c>
      <c r="D1248" s="31"/>
      <c r="E1248" s="31">
        <v>5000</v>
      </c>
      <c r="F1248" s="31"/>
      <c r="G1248" s="31"/>
      <c r="H1248" s="32"/>
      <c r="I1248" s="32">
        <v>5000</v>
      </c>
      <c r="J1248" s="30">
        <f t="shared" si="599"/>
        <v>0</v>
      </c>
      <c r="K1248" s="68"/>
      <c r="L1248" s="5"/>
      <c r="M1248" s="5"/>
      <c r="N1248" s="5"/>
      <c r="O1248" s="5"/>
    </row>
    <row r="1249" spans="1:15" x14ac:dyDescent="0.3">
      <c r="A1249" s="122" t="s">
        <v>98</v>
      </c>
      <c r="B1249" s="127" t="s">
        <v>29</v>
      </c>
      <c r="C1249" s="32">
        <v>111200</v>
      </c>
      <c r="D1249" s="31"/>
      <c r="E1249" s="31">
        <v>704000</v>
      </c>
      <c r="F1249" s="31"/>
      <c r="G1249" s="31"/>
      <c r="H1249" s="32"/>
      <c r="I1249" s="32">
        <v>704500</v>
      </c>
      <c r="J1249" s="30">
        <f t="shared" si="599"/>
        <v>110700</v>
      </c>
      <c r="K1249" s="68"/>
      <c r="L1249" s="5"/>
      <c r="M1249" s="5"/>
      <c r="N1249" s="5"/>
      <c r="O1249" s="5"/>
    </row>
    <row r="1250" spans="1:15" x14ac:dyDescent="0.3">
      <c r="A1250" s="122" t="s">
        <v>98</v>
      </c>
      <c r="B1250" s="127" t="s">
        <v>94</v>
      </c>
      <c r="C1250" s="32">
        <v>-32081</v>
      </c>
      <c r="D1250" s="31"/>
      <c r="E1250" s="31">
        <v>0</v>
      </c>
      <c r="F1250" s="31"/>
      <c r="G1250" s="31"/>
      <c r="H1250" s="32"/>
      <c r="I1250" s="32">
        <v>0</v>
      </c>
      <c r="J1250" s="30">
        <f t="shared" si="599"/>
        <v>-32081</v>
      </c>
      <c r="K1250" s="68"/>
      <c r="L1250" s="5"/>
      <c r="M1250" s="5"/>
      <c r="N1250" s="5"/>
      <c r="O1250" s="5"/>
    </row>
    <row r="1251" spans="1:15" x14ac:dyDescent="0.3">
      <c r="A1251" s="122" t="s">
        <v>98</v>
      </c>
      <c r="B1251" s="128" t="s">
        <v>32</v>
      </c>
      <c r="C1251" s="51">
        <v>5300</v>
      </c>
      <c r="D1251" s="119"/>
      <c r="E1251" s="119">
        <v>10000</v>
      </c>
      <c r="F1251" s="119"/>
      <c r="G1251" s="130"/>
      <c r="H1251" s="51"/>
      <c r="I1251" s="51">
        <v>8000</v>
      </c>
      <c r="J1251" s="30">
        <f t="shared" si="599"/>
        <v>7300</v>
      </c>
      <c r="K1251" s="68"/>
      <c r="L1251" s="5"/>
      <c r="M1251" s="5"/>
      <c r="N1251" s="5"/>
      <c r="O1251" s="5"/>
    </row>
    <row r="1252" spans="1:15" x14ac:dyDescent="0.3">
      <c r="A1252" s="34" t="s">
        <v>60</v>
      </c>
      <c r="B1252" s="35"/>
      <c r="C1252" s="35"/>
      <c r="D1252" s="35"/>
      <c r="E1252" s="35"/>
      <c r="F1252" s="35"/>
      <c r="G1252" s="35"/>
      <c r="H1252" s="35"/>
      <c r="I1252" s="35"/>
      <c r="J1252" s="36"/>
      <c r="K1252" s="68"/>
      <c r="L1252" s="5"/>
      <c r="M1252" s="5"/>
      <c r="N1252" s="5"/>
      <c r="O1252" s="5"/>
    </row>
    <row r="1253" spans="1:15" x14ac:dyDescent="0.3">
      <c r="A1253" s="27" t="s">
        <v>98</v>
      </c>
      <c r="B1253" s="37" t="s">
        <v>61</v>
      </c>
      <c r="C1253" s="38">
        <v>733034</v>
      </c>
      <c r="D1253" s="39">
        <v>4293000</v>
      </c>
      <c r="E1253" s="39"/>
      <c r="F1253" s="39"/>
      <c r="G1253" s="125"/>
      <c r="H1253" s="131">
        <v>3197225</v>
      </c>
      <c r="I1253" s="126">
        <v>1011040</v>
      </c>
      <c r="J1253" s="30">
        <f>+SUM(C1253:G1253)-(H1253+I1253)</f>
        <v>817769</v>
      </c>
      <c r="K1253" s="68"/>
      <c r="L1253" s="5"/>
      <c r="M1253" s="5"/>
      <c r="N1253" s="5"/>
      <c r="O1253" s="5"/>
    </row>
    <row r="1254" spans="1:15" x14ac:dyDescent="0.3">
      <c r="A1254" s="43" t="s">
        <v>62</v>
      </c>
      <c r="B1254" s="24"/>
      <c r="C1254" s="35"/>
      <c r="D1254" s="24"/>
      <c r="E1254" s="24"/>
      <c r="F1254" s="24"/>
      <c r="G1254" s="24"/>
      <c r="H1254" s="24"/>
      <c r="I1254" s="24"/>
      <c r="J1254" s="36"/>
      <c r="L1254" s="5"/>
      <c r="M1254" s="5"/>
      <c r="N1254" s="5"/>
      <c r="O1254" s="5"/>
    </row>
    <row r="1255" spans="1:15" x14ac:dyDescent="0.3">
      <c r="A1255" s="27" t="s">
        <v>98</v>
      </c>
      <c r="B1255" s="37" t="s">
        <v>63</v>
      </c>
      <c r="C1255" s="125">
        <v>19184971</v>
      </c>
      <c r="D1255" s="132"/>
      <c r="E1255" s="49"/>
      <c r="F1255" s="49"/>
      <c r="G1255" s="49"/>
      <c r="H1255" s="51">
        <v>4000000</v>
      </c>
      <c r="I1255" s="53">
        <v>472051</v>
      </c>
      <c r="J1255" s="30">
        <f>+SUM(C1255:G1255)-(H1255+I1255)</f>
        <v>14712920</v>
      </c>
      <c r="K1255" s="68"/>
      <c r="L1255" s="5"/>
      <c r="M1255" s="5"/>
      <c r="N1255" s="5"/>
      <c r="O1255" s="5"/>
    </row>
    <row r="1256" spans="1:15" x14ac:dyDescent="0.3">
      <c r="A1256" s="27" t="s">
        <v>98</v>
      </c>
      <c r="B1256" s="37" t="s">
        <v>64</v>
      </c>
      <c r="C1256" s="125">
        <v>14419055</v>
      </c>
      <c r="D1256" s="49"/>
      <c r="E1256" s="48"/>
      <c r="F1256" s="48"/>
      <c r="G1256" s="48"/>
      <c r="H1256" s="32">
        <v>293000</v>
      </c>
      <c r="I1256" s="50">
        <v>5764972</v>
      </c>
      <c r="J1256" s="30">
        <f>SUM(C1256:G1256)-(H1256+I1256)</f>
        <v>8361083</v>
      </c>
      <c r="K1256" s="68"/>
      <c r="L1256" s="5"/>
      <c r="M1256" s="5"/>
      <c r="N1256" s="5"/>
      <c r="O1256" s="5"/>
    </row>
    <row r="1257" spans="1:15" ht="15.6" x14ac:dyDescent="0.3">
      <c r="C1257" s="9"/>
      <c r="I1257" s="9"/>
      <c r="J1257" s="105">
        <f>+SUM(J1239:J1256)</f>
        <v>24676603</v>
      </c>
      <c r="L1257" s="5"/>
      <c r="M1257" s="5"/>
      <c r="N1257" s="5"/>
      <c r="O1257" s="5"/>
    </row>
    <row r="1258" spans="1:15" x14ac:dyDescent="0.3">
      <c r="A1258" s="10"/>
      <c r="B1258" s="11"/>
      <c r="C1258" s="12"/>
      <c r="D1258" s="12"/>
      <c r="E1258" s="12"/>
      <c r="F1258" s="12"/>
      <c r="G1258" s="12"/>
      <c r="H1258" s="12"/>
      <c r="I1258" s="12"/>
      <c r="J1258" s="133"/>
      <c r="L1258" s="5"/>
      <c r="M1258" s="5"/>
      <c r="N1258" s="5"/>
      <c r="O1258" s="5"/>
    </row>
    <row r="1259" spans="1:15" x14ac:dyDescent="0.3">
      <c r="A1259" s="16" t="s">
        <v>52</v>
      </c>
      <c r="B1259" s="16"/>
      <c r="C1259" s="16"/>
      <c r="D1259" s="17"/>
      <c r="E1259" s="17"/>
      <c r="F1259" s="17"/>
      <c r="G1259" s="17"/>
      <c r="H1259" s="17"/>
      <c r="I1259" s="17"/>
      <c r="L1259" s="5"/>
      <c r="M1259" s="5"/>
      <c r="N1259" s="5"/>
      <c r="O1259" s="5"/>
    </row>
    <row r="1260" spans="1:15" x14ac:dyDescent="0.3">
      <c r="A1260" s="18" t="s">
        <v>87</v>
      </c>
      <c r="B1260" s="18"/>
      <c r="C1260" s="18"/>
      <c r="D1260" s="18"/>
      <c r="E1260" s="18"/>
      <c r="F1260" s="18"/>
      <c r="G1260" s="18"/>
      <c r="H1260" s="18"/>
      <c r="I1260" s="18"/>
      <c r="J1260" s="17"/>
      <c r="L1260" s="5"/>
      <c r="M1260" s="5"/>
      <c r="N1260" s="5"/>
      <c r="O1260" s="5"/>
    </row>
    <row r="1261" spans="1:15" ht="15" customHeight="1" x14ac:dyDescent="0.3">
      <c r="A1261" s="19"/>
      <c r="B1261" s="17"/>
      <c r="C1261" s="20"/>
      <c r="D1261" s="20"/>
      <c r="E1261" s="20"/>
      <c r="F1261" s="20"/>
      <c r="G1261" s="20"/>
      <c r="H1261" s="17"/>
      <c r="I1261" s="17"/>
      <c r="J1261" s="18"/>
      <c r="L1261" s="5"/>
      <c r="M1261" s="5"/>
      <c r="N1261" s="5"/>
      <c r="O1261" s="5"/>
    </row>
    <row r="1262" spans="1:15" ht="15" customHeight="1" x14ac:dyDescent="0.3">
      <c r="A1262" s="360" t="s">
        <v>53</v>
      </c>
      <c r="B1262" s="362" t="s">
        <v>54</v>
      </c>
      <c r="C1262" s="364" t="s">
        <v>88</v>
      </c>
      <c r="D1262" s="366" t="s">
        <v>55</v>
      </c>
      <c r="E1262" s="367"/>
      <c r="F1262" s="367"/>
      <c r="G1262" s="368"/>
      <c r="H1262" s="369" t="s">
        <v>56</v>
      </c>
      <c r="I1262" s="371" t="s">
        <v>57</v>
      </c>
      <c r="J1262" s="17"/>
      <c r="L1262" s="5"/>
      <c r="M1262" s="5"/>
      <c r="N1262" s="5"/>
      <c r="O1262" s="5"/>
    </row>
    <row r="1263" spans="1:15" ht="15" customHeight="1" x14ac:dyDescent="0.3">
      <c r="A1263" s="361"/>
      <c r="B1263" s="363"/>
      <c r="C1263" s="365"/>
      <c r="D1263" s="21" t="s">
        <v>24</v>
      </c>
      <c r="E1263" s="21" t="s">
        <v>25</v>
      </c>
      <c r="F1263" s="22" t="s">
        <v>91</v>
      </c>
      <c r="G1263" s="21" t="s">
        <v>58</v>
      </c>
      <c r="H1263" s="370"/>
      <c r="I1263" s="372"/>
      <c r="J1263" s="373" t="s">
        <v>89</v>
      </c>
      <c r="L1263" s="5"/>
      <c r="M1263" s="5"/>
      <c r="N1263" s="5"/>
      <c r="O1263" s="5"/>
    </row>
    <row r="1264" spans="1:15" x14ac:dyDescent="0.3">
      <c r="A1264" s="23"/>
      <c r="B1264" s="24" t="s">
        <v>59</v>
      </c>
      <c r="C1264" s="25"/>
      <c r="D1264" s="25"/>
      <c r="E1264" s="25"/>
      <c r="F1264" s="25"/>
      <c r="G1264" s="25"/>
      <c r="H1264" s="25"/>
      <c r="I1264" s="26"/>
      <c r="J1264" s="374"/>
      <c r="L1264" s="5"/>
      <c r="M1264" s="5"/>
      <c r="N1264" s="5"/>
      <c r="O1264" s="5"/>
    </row>
    <row r="1265" spans="1:15" x14ac:dyDescent="0.3">
      <c r="A1265" s="27" t="s">
        <v>90</v>
      </c>
      <c r="B1265" s="8" t="s">
        <v>76</v>
      </c>
      <c r="C1265" s="28" t="e">
        <f>+#REF!</f>
        <v>#REF!</v>
      </c>
      <c r="D1265" s="29"/>
      <c r="E1265" s="29">
        <v>271100</v>
      </c>
      <c r="F1265" s="29">
        <f>112800+126500</f>
        <v>239300</v>
      </c>
      <c r="G1265" s="29"/>
      <c r="H1265" s="55"/>
      <c r="I1265" s="33">
        <v>521950</v>
      </c>
      <c r="J1265" s="30" t="e">
        <f>+SUM(C1265:G1265)-(H1265+I1265)</f>
        <v>#REF!</v>
      </c>
      <c r="L1265" s="5"/>
      <c r="M1265" s="5"/>
      <c r="N1265" s="5"/>
      <c r="O1265" s="5"/>
    </row>
    <row r="1266" spans="1:15" x14ac:dyDescent="0.3">
      <c r="A1266" s="27" t="s">
        <v>90</v>
      </c>
      <c r="B1266" s="8" t="s">
        <v>47</v>
      </c>
      <c r="C1266" s="28" t="e">
        <f>+C1030</f>
        <v>#REF!</v>
      </c>
      <c r="D1266" s="29"/>
      <c r="E1266" s="29">
        <v>625000</v>
      </c>
      <c r="F1266" s="29"/>
      <c r="G1266" s="29"/>
      <c r="H1266" s="55">
        <v>247500</v>
      </c>
      <c r="I1266" s="33">
        <v>371500</v>
      </c>
      <c r="J1266" s="30" t="e">
        <f t="shared" ref="J1266:J1267" si="600">+SUM(C1266:G1266)-(H1266+I1266)</f>
        <v>#REF!</v>
      </c>
      <c r="L1266" s="5"/>
      <c r="M1266" s="5"/>
      <c r="N1266" s="5"/>
      <c r="O1266" s="5"/>
    </row>
    <row r="1267" spans="1:15" x14ac:dyDescent="0.3">
      <c r="A1267" s="27" t="s">
        <v>90</v>
      </c>
      <c r="B1267" s="8" t="s">
        <v>31</v>
      </c>
      <c r="C1267" s="28" t="e">
        <f>+C1031</f>
        <v>#REF!</v>
      </c>
      <c r="D1267" s="29"/>
      <c r="E1267" s="29">
        <v>60000</v>
      </c>
      <c r="F1267" s="100"/>
      <c r="G1267" s="100"/>
      <c r="H1267" s="32"/>
      <c r="I1267" s="54">
        <v>67200</v>
      </c>
      <c r="J1267" s="101" t="e">
        <f t="shared" si="600"/>
        <v>#REF!</v>
      </c>
      <c r="L1267" s="5"/>
      <c r="M1267" s="5"/>
      <c r="N1267" s="5"/>
      <c r="O1267" s="5"/>
    </row>
    <row r="1268" spans="1:15" ht="15.75" customHeight="1" x14ac:dyDescent="0.3">
      <c r="A1268" s="27" t="s">
        <v>90</v>
      </c>
      <c r="B1268" s="8" t="s">
        <v>77</v>
      </c>
      <c r="C1268" s="28" t="e">
        <f>+C1032</f>
        <v>#REF!</v>
      </c>
      <c r="D1268" s="56"/>
      <c r="E1268" s="29">
        <v>140000</v>
      </c>
      <c r="F1268" s="100">
        <v>270500</v>
      </c>
      <c r="G1268" s="100"/>
      <c r="H1268" s="32"/>
      <c r="I1268" s="32">
        <v>417300</v>
      </c>
      <c r="J1268" s="101" t="e">
        <f>+SUM(C1268:G1268)-(H1268+I1268)</f>
        <v>#REF!</v>
      </c>
      <c r="L1268" s="5"/>
      <c r="M1268" s="5"/>
      <c r="N1268" s="5"/>
      <c r="O1268" s="5"/>
    </row>
    <row r="1269" spans="1:15" x14ac:dyDescent="0.3">
      <c r="A1269" s="27" t="s">
        <v>90</v>
      </c>
      <c r="B1269" s="8" t="s">
        <v>69</v>
      </c>
      <c r="C1269" s="28">
        <v>15984</v>
      </c>
      <c r="D1269" s="56"/>
      <c r="E1269" s="29">
        <v>256400</v>
      </c>
      <c r="F1269" s="100"/>
      <c r="G1269" s="100"/>
      <c r="H1269" s="32"/>
      <c r="I1269" s="33">
        <v>263500</v>
      </c>
      <c r="J1269" s="101">
        <f t="shared" ref="J1269" si="601">+SUM(C1269:G1269)-(H1269+I1269)</f>
        <v>8884</v>
      </c>
      <c r="L1269" s="5"/>
      <c r="M1269" s="5"/>
      <c r="N1269" s="5"/>
      <c r="O1269" s="5"/>
    </row>
    <row r="1270" spans="1:15" x14ac:dyDescent="0.3">
      <c r="A1270" s="27" t="s">
        <v>90</v>
      </c>
      <c r="B1270" s="8" t="s">
        <v>30</v>
      </c>
      <c r="C1270" s="28" t="e">
        <f t="shared" ref="C1270:C1274" si="602">+C1033</f>
        <v>#REF!</v>
      </c>
      <c r="D1270" s="29"/>
      <c r="E1270" s="29">
        <v>858500</v>
      </c>
      <c r="F1270" s="100"/>
      <c r="G1270" s="100"/>
      <c r="H1270" s="32"/>
      <c r="I1270" s="33">
        <v>645000</v>
      </c>
      <c r="J1270" s="101" t="e">
        <f>+SUM(C1270:G1270)-(H1270+I1270)</f>
        <v>#REF!</v>
      </c>
      <c r="L1270" s="5"/>
      <c r="M1270" s="5"/>
      <c r="N1270" s="5"/>
      <c r="O1270" s="5"/>
    </row>
    <row r="1271" spans="1:15" x14ac:dyDescent="0.3">
      <c r="A1271" s="27" t="s">
        <v>90</v>
      </c>
      <c r="B1271" s="8" t="s">
        <v>35</v>
      </c>
      <c r="C1271" s="28" t="e">
        <f t="shared" si="602"/>
        <v>#REF!</v>
      </c>
      <c r="D1271" s="29"/>
      <c r="E1271" s="29">
        <v>800700</v>
      </c>
      <c r="F1271" s="29"/>
      <c r="G1271" s="29"/>
      <c r="H1271" s="32">
        <v>262300</v>
      </c>
      <c r="I1271" s="33">
        <v>543600</v>
      </c>
      <c r="J1271" s="30" t="e">
        <f>+SUM(C1271:G1271)-(H1271+I1271)</f>
        <v>#REF!</v>
      </c>
      <c r="L1271" s="5"/>
      <c r="M1271" s="5"/>
      <c r="N1271" s="5"/>
      <c r="O1271" s="5"/>
    </row>
    <row r="1272" spans="1:15" x14ac:dyDescent="0.3">
      <c r="A1272" s="27" t="s">
        <v>90</v>
      </c>
      <c r="B1272" s="8" t="s">
        <v>29</v>
      </c>
      <c r="C1272" s="28" t="e">
        <f t="shared" si="602"/>
        <v>#REF!</v>
      </c>
      <c r="D1272" s="29"/>
      <c r="E1272" s="29">
        <v>971600</v>
      </c>
      <c r="F1272" s="29"/>
      <c r="G1272" s="29"/>
      <c r="H1272" s="32">
        <v>200000</v>
      </c>
      <c r="I1272" s="33">
        <v>639450</v>
      </c>
      <c r="J1272" s="30" t="e">
        <f t="shared" ref="J1272:J1273" si="603">+SUM(C1272:G1272)-(H1272+I1272)</f>
        <v>#REF!</v>
      </c>
      <c r="L1272" s="5"/>
      <c r="M1272" s="5"/>
      <c r="N1272" s="5"/>
      <c r="O1272" s="5"/>
    </row>
    <row r="1273" spans="1:15" x14ac:dyDescent="0.3">
      <c r="A1273" s="27" t="s">
        <v>90</v>
      </c>
      <c r="B1273" s="8" t="s">
        <v>5</v>
      </c>
      <c r="C1273" s="28" t="e">
        <f t="shared" si="602"/>
        <v>#REF!</v>
      </c>
      <c r="D1273" s="29"/>
      <c r="E1273" s="29"/>
      <c r="F1273" s="29"/>
      <c r="G1273" s="29"/>
      <c r="H1273" s="32"/>
      <c r="I1273" s="54">
        <v>23000</v>
      </c>
      <c r="J1273" s="30" t="e">
        <f t="shared" si="603"/>
        <v>#REF!</v>
      </c>
      <c r="L1273" s="5"/>
      <c r="M1273" s="5"/>
      <c r="N1273" s="5"/>
      <c r="O1273" s="5"/>
    </row>
    <row r="1274" spans="1:15" x14ac:dyDescent="0.3">
      <c r="A1274" s="27" t="s">
        <v>90</v>
      </c>
      <c r="B1274" s="8" t="s">
        <v>32</v>
      </c>
      <c r="C1274" s="28" t="e">
        <f t="shared" si="602"/>
        <v>#REF!</v>
      </c>
      <c r="D1274" s="29"/>
      <c r="E1274" s="29"/>
      <c r="F1274" s="29"/>
      <c r="G1274" s="29"/>
      <c r="H1274" s="32"/>
      <c r="I1274" s="33">
        <v>0</v>
      </c>
      <c r="J1274" s="30" t="e">
        <f>+SUM(C1274:G1274)-(H1274+I1274)</f>
        <v>#REF!</v>
      </c>
      <c r="L1274" s="5"/>
      <c r="M1274" s="5"/>
      <c r="N1274" s="5"/>
      <c r="O1274" s="5"/>
    </row>
    <row r="1275" spans="1:15" x14ac:dyDescent="0.3">
      <c r="A1275" s="107" t="s">
        <v>90</v>
      </c>
      <c r="B1275" s="108" t="s">
        <v>92</v>
      </c>
      <c r="C1275" s="109">
        <v>3721074</v>
      </c>
      <c r="D1275" s="110"/>
      <c r="E1275" s="111"/>
      <c r="F1275" s="110"/>
      <c r="G1275" s="112"/>
      <c r="H1275" s="109">
        <v>3721074</v>
      </c>
      <c r="I1275" s="113"/>
      <c r="J1275" s="114">
        <f>+SUM(C1275:G1275)-(H1275+I1275)</f>
        <v>0</v>
      </c>
      <c r="L1275" s="5"/>
      <c r="M1275" s="5"/>
      <c r="N1275" s="5"/>
      <c r="O1275" s="5"/>
    </row>
    <row r="1276" spans="1:15" x14ac:dyDescent="0.3">
      <c r="A1276" s="34" t="s">
        <v>60</v>
      </c>
      <c r="B1276" s="35"/>
      <c r="C1276" s="35"/>
      <c r="D1276" s="35"/>
      <c r="E1276" s="35"/>
      <c r="F1276" s="35"/>
      <c r="G1276" s="35"/>
      <c r="H1276" s="35"/>
      <c r="I1276" s="35"/>
      <c r="J1276" s="36"/>
      <c r="L1276" s="5"/>
      <c r="M1276" s="5"/>
      <c r="N1276" s="5"/>
      <c r="O1276" s="5"/>
    </row>
    <row r="1277" spans="1:15" x14ac:dyDescent="0.3">
      <c r="A1277" s="27" t="s">
        <v>90</v>
      </c>
      <c r="B1277" s="37" t="s">
        <v>61</v>
      </c>
      <c r="C1277" s="38" t="e">
        <f>+C1029</f>
        <v>#REF!</v>
      </c>
      <c r="D1277" s="39">
        <v>5000000</v>
      </c>
      <c r="E1277" s="39"/>
      <c r="F1277" s="39"/>
      <c r="G1277" s="40">
        <v>200000</v>
      </c>
      <c r="H1277" s="47">
        <v>3983300</v>
      </c>
      <c r="I1277" s="41">
        <v>776245</v>
      </c>
      <c r="J1277" s="42" t="e">
        <f>+SUM(C1277:G1277)-(H1277+I1277)</f>
        <v>#REF!</v>
      </c>
      <c r="L1277" s="5"/>
      <c r="M1277" s="5"/>
      <c r="N1277" s="5"/>
      <c r="O1277" s="5"/>
    </row>
    <row r="1278" spans="1:15" x14ac:dyDescent="0.3">
      <c r="A1278" s="43" t="s">
        <v>62</v>
      </c>
      <c r="B1278" s="24"/>
      <c r="C1278" s="35"/>
      <c r="D1278" s="24"/>
      <c r="E1278" s="24"/>
      <c r="F1278" s="24"/>
      <c r="G1278" s="24"/>
      <c r="H1278" s="24"/>
      <c r="I1278" s="24"/>
      <c r="J1278" s="36"/>
      <c r="L1278" s="5"/>
      <c r="M1278" s="5"/>
      <c r="N1278" s="5"/>
      <c r="O1278" s="5"/>
    </row>
    <row r="1279" spans="1:15" x14ac:dyDescent="0.3">
      <c r="A1279" s="27" t="s">
        <v>90</v>
      </c>
      <c r="B1279" s="37" t="s">
        <v>63</v>
      </c>
      <c r="C1279" s="44" t="e">
        <f>+#REF!</f>
        <v>#REF!</v>
      </c>
      <c r="D1279" s="52">
        <v>19826114</v>
      </c>
      <c r="E1279" s="49"/>
      <c r="F1279" s="49"/>
      <c r="G1279" s="49"/>
      <c r="H1279" s="51">
        <v>5000000</v>
      </c>
      <c r="I1279" s="53">
        <v>455737</v>
      </c>
      <c r="J1279" s="30" t="e">
        <f>+SUM(C1279:G1279)-(H1279+I1279)</f>
        <v>#REF!</v>
      </c>
      <c r="L1279" s="5"/>
      <c r="M1279" s="5"/>
      <c r="N1279" s="5"/>
      <c r="O1279" s="5"/>
    </row>
    <row r="1280" spans="1:15" x14ac:dyDescent="0.3">
      <c r="A1280" s="27" t="s">
        <v>90</v>
      </c>
      <c r="B1280" s="37" t="s">
        <v>64</v>
      </c>
      <c r="C1280" s="44" t="e">
        <f>+C1028</f>
        <v>#REF!</v>
      </c>
      <c r="D1280" s="49">
        <v>13119140</v>
      </c>
      <c r="E1280" s="48"/>
      <c r="F1280" s="48"/>
      <c r="G1280" s="48"/>
      <c r="H1280" s="32"/>
      <c r="I1280" s="50">
        <v>3445919</v>
      </c>
      <c r="J1280" s="30" t="e">
        <f>SUM(C1280:G1280)-(H1280+I1280)</f>
        <v>#REF!</v>
      </c>
      <c r="L1280" s="5"/>
      <c r="M1280" s="5"/>
      <c r="N1280" s="5"/>
      <c r="O1280" s="5"/>
    </row>
    <row r="1281" spans="1:15" x14ac:dyDescent="0.3">
      <c r="A1281" s="148" t="s">
        <v>90</v>
      </c>
      <c r="B1281" s="145" t="s">
        <v>83</v>
      </c>
      <c r="C1281" s="149">
        <v>249769</v>
      </c>
      <c r="D1281" s="49"/>
      <c r="E1281" s="49"/>
      <c r="F1281" s="49"/>
      <c r="G1281" s="49"/>
      <c r="H1281" s="32"/>
      <c r="I1281" s="50"/>
      <c r="J1281" s="150">
        <f>SUM(C1281:G1281)-(H1281+I1281)</f>
        <v>249769</v>
      </c>
      <c r="L1281" s="5"/>
      <c r="M1281" s="5"/>
      <c r="N1281" s="5"/>
      <c r="O1281" s="5"/>
    </row>
    <row r="1282" spans="1:15" x14ac:dyDescent="0.3">
      <c r="A1282" s="148" t="s">
        <v>90</v>
      </c>
      <c r="B1282" s="146" t="s">
        <v>84</v>
      </c>
      <c r="C1282" s="149">
        <v>233614</v>
      </c>
      <c r="D1282" s="49"/>
      <c r="E1282" s="49"/>
      <c r="F1282" s="49"/>
      <c r="G1282" s="49"/>
      <c r="H1282" s="32"/>
      <c r="I1282" s="50"/>
      <c r="J1282" s="150">
        <f>SUM(C1282:G1282)-(H1282+I1282)</f>
        <v>233614</v>
      </c>
      <c r="L1282" s="5"/>
      <c r="M1282" s="5"/>
      <c r="N1282" s="5"/>
      <c r="O1282" s="5"/>
    </row>
    <row r="1283" spans="1:15" x14ac:dyDescent="0.3">
      <c r="A1283" s="148" t="s">
        <v>90</v>
      </c>
      <c r="B1283" s="147" t="s">
        <v>85</v>
      </c>
      <c r="C1283" s="149">
        <v>330169</v>
      </c>
      <c r="D1283" s="151"/>
      <c r="E1283" s="151"/>
      <c r="F1283" s="151"/>
      <c r="G1283" s="151"/>
      <c r="H1283" s="151"/>
      <c r="I1283" s="151"/>
      <c r="J1283" s="150">
        <f>SUM(C1283:G1283)-(H1283+I1283)</f>
        <v>330169</v>
      </c>
      <c r="L1283" s="5"/>
      <c r="M1283" s="5"/>
      <c r="N1283" s="5"/>
      <c r="O1283" s="5"/>
    </row>
    <row r="1284" spans="1:15" ht="15.6" x14ac:dyDescent="0.3">
      <c r="C1284" s="9"/>
      <c r="I1284" s="9"/>
      <c r="J1284" s="105" t="e">
        <f>+SUM(J1265:J1283)</f>
        <v>#REF!</v>
      </c>
      <c r="K1284" s="106" t="e">
        <f>+J1284-I1041</f>
        <v>#REF!</v>
      </c>
      <c r="L1284" s="5"/>
      <c r="M1284" s="5"/>
      <c r="N1284" s="5"/>
      <c r="O1284" s="5"/>
    </row>
    <row r="1286" spans="1:15" x14ac:dyDescent="0.3">
      <c r="A1286" s="16" t="s">
        <v>52</v>
      </c>
      <c r="B1286" s="16"/>
      <c r="C1286" s="16"/>
      <c r="D1286" s="17"/>
      <c r="E1286" s="17"/>
      <c r="F1286" s="17"/>
      <c r="G1286" s="17"/>
      <c r="H1286" s="17"/>
      <c r="I1286" s="17"/>
      <c r="L1286" s="5"/>
      <c r="M1286" s="5"/>
      <c r="N1286" s="5"/>
      <c r="O1286" s="5"/>
    </row>
    <row r="1287" spans="1:15" x14ac:dyDescent="0.3">
      <c r="A1287" s="18" t="s">
        <v>78</v>
      </c>
      <c r="B1287" s="18"/>
      <c r="C1287" s="18"/>
      <c r="D1287" s="18"/>
      <c r="E1287" s="18"/>
      <c r="F1287" s="18"/>
      <c r="G1287" s="18"/>
      <c r="H1287" s="18"/>
      <c r="I1287" s="18"/>
      <c r="J1287" s="17"/>
      <c r="L1287" s="5"/>
      <c r="M1287" s="5"/>
      <c r="N1287" s="5"/>
      <c r="O1287" s="5"/>
    </row>
    <row r="1288" spans="1:15" x14ac:dyDescent="0.3">
      <c r="A1288" s="19"/>
      <c r="B1288" s="17"/>
      <c r="C1288" s="20"/>
      <c r="D1288" s="20"/>
      <c r="E1288" s="20"/>
      <c r="F1288" s="20"/>
      <c r="G1288" s="20"/>
      <c r="H1288" s="17"/>
      <c r="I1288" s="17"/>
      <c r="J1288" s="18"/>
      <c r="L1288" s="5"/>
      <c r="M1288" s="5"/>
      <c r="N1288" s="5"/>
      <c r="O1288" s="5"/>
    </row>
    <row r="1289" spans="1:15" x14ac:dyDescent="0.3">
      <c r="A1289" s="360" t="s">
        <v>53</v>
      </c>
      <c r="B1289" s="362" t="s">
        <v>54</v>
      </c>
      <c r="C1289" s="364" t="s">
        <v>80</v>
      </c>
      <c r="D1289" s="366" t="s">
        <v>55</v>
      </c>
      <c r="E1289" s="367"/>
      <c r="F1289" s="367"/>
      <c r="G1289" s="368"/>
      <c r="H1289" s="369" t="s">
        <v>56</v>
      </c>
      <c r="I1289" s="371" t="s">
        <v>57</v>
      </c>
      <c r="J1289" s="17"/>
      <c r="L1289" s="5"/>
      <c r="M1289" s="5"/>
      <c r="N1289" s="5"/>
      <c r="O1289" s="5"/>
    </row>
    <row r="1290" spans="1:15" ht="36.75" customHeight="1" x14ac:dyDescent="0.3">
      <c r="A1290" s="361"/>
      <c r="B1290" s="363"/>
      <c r="C1290" s="365"/>
      <c r="D1290" s="21" t="s">
        <v>24</v>
      </c>
      <c r="E1290" s="21" t="s">
        <v>25</v>
      </c>
      <c r="F1290" s="22" t="s">
        <v>69</v>
      </c>
      <c r="G1290" s="21" t="s">
        <v>58</v>
      </c>
      <c r="H1290" s="370"/>
      <c r="I1290" s="372"/>
      <c r="J1290" s="373" t="s">
        <v>86</v>
      </c>
      <c r="L1290" s="5"/>
      <c r="M1290" s="5"/>
      <c r="N1290" s="5"/>
      <c r="O1290" s="5"/>
    </row>
    <row r="1291" spans="1:15" x14ac:dyDescent="0.3">
      <c r="A1291" s="23"/>
      <c r="B1291" s="24" t="s">
        <v>59</v>
      </c>
      <c r="C1291" s="25"/>
      <c r="D1291" s="25"/>
      <c r="E1291" s="25"/>
      <c r="F1291" s="25"/>
      <c r="G1291" s="25"/>
      <c r="H1291" s="25"/>
      <c r="I1291" s="26"/>
      <c r="J1291" s="374"/>
      <c r="L1291" s="5"/>
      <c r="M1291" s="5"/>
      <c r="N1291" s="5"/>
      <c r="O1291" s="5"/>
    </row>
    <row r="1292" spans="1:15" x14ac:dyDescent="0.3">
      <c r="A1292" s="27" t="s">
        <v>79</v>
      </c>
      <c r="B1292" s="8" t="s">
        <v>76</v>
      </c>
      <c r="C1292" s="28">
        <v>0</v>
      </c>
      <c r="D1292" s="29"/>
      <c r="E1292" s="29">
        <v>40000</v>
      </c>
      <c r="F1292" s="29"/>
      <c r="G1292" s="29"/>
      <c r="H1292" s="55"/>
      <c r="I1292" s="33">
        <v>39200</v>
      </c>
      <c r="J1292" s="30">
        <f>+SUM(C1292:G1292)-(H1292+I1292)</f>
        <v>800</v>
      </c>
      <c r="L1292" s="5"/>
      <c r="M1292" s="5"/>
      <c r="N1292" s="5"/>
      <c r="O1292" s="5"/>
    </row>
    <row r="1293" spans="1:15" x14ac:dyDescent="0.3">
      <c r="A1293" s="27" t="s">
        <v>79</v>
      </c>
      <c r="B1293" s="8" t="str">
        <f>+A1030</f>
        <v>JUILLET</v>
      </c>
      <c r="C1293" s="28">
        <v>19060</v>
      </c>
      <c r="D1293" s="29"/>
      <c r="E1293" s="29">
        <v>20000</v>
      </c>
      <c r="F1293" s="29"/>
      <c r="G1293" s="29"/>
      <c r="H1293" s="55"/>
      <c r="I1293" s="33">
        <v>36000</v>
      </c>
      <c r="J1293" s="30">
        <f t="shared" ref="J1293:J1300" si="604">+SUM(C1293:G1293)-(H1293+I1293)</f>
        <v>3060</v>
      </c>
      <c r="L1293" s="5"/>
      <c r="M1293" s="5"/>
      <c r="N1293" s="5"/>
      <c r="O1293" s="5"/>
    </row>
    <row r="1294" spans="1:15" x14ac:dyDescent="0.3">
      <c r="A1294" s="27" t="s">
        <v>79</v>
      </c>
      <c r="B1294" s="8" t="str">
        <f>+A1031</f>
        <v>JUILLET</v>
      </c>
      <c r="C1294" s="28">
        <v>8395</v>
      </c>
      <c r="D1294" s="29"/>
      <c r="E1294" s="29">
        <v>20000</v>
      </c>
      <c r="F1294" s="100"/>
      <c r="G1294" s="100"/>
      <c r="H1294" s="32"/>
      <c r="I1294" s="54">
        <v>20000</v>
      </c>
      <c r="J1294" s="101">
        <f t="shared" si="604"/>
        <v>8395</v>
      </c>
      <c r="L1294" s="5"/>
      <c r="M1294" s="5"/>
      <c r="N1294" s="5"/>
      <c r="O1294" s="5"/>
    </row>
    <row r="1295" spans="1:15" x14ac:dyDescent="0.3">
      <c r="A1295" s="27" t="s">
        <v>79</v>
      </c>
      <c r="B1295" s="8" t="str">
        <f>+A1032</f>
        <v>JUILLET</v>
      </c>
      <c r="C1295" s="28">
        <v>0</v>
      </c>
      <c r="D1295" s="56"/>
      <c r="E1295" s="29">
        <v>100000</v>
      </c>
      <c r="F1295" s="100">
        <v>102200</v>
      </c>
      <c r="G1295" s="100"/>
      <c r="H1295" s="32"/>
      <c r="I1295" s="32">
        <v>204000</v>
      </c>
      <c r="J1295" s="101">
        <f>+SUM(C1295:G1295)-(H1295+I1295)</f>
        <v>-1800</v>
      </c>
      <c r="L1295" s="5"/>
      <c r="M1295" s="5"/>
      <c r="N1295" s="5"/>
      <c r="O1295" s="5"/>
    </row>
    <row r="1296" spans="1:15" x14ac:dyDescent="0.3">
      <c r="A1296" s="27" t="s">
        <v>79</v>
      </c>
      <c r="B1296" s="8" t="e">
        <f>+#REF!</f>
        <v>#REF!</v>
      </c>
      <c r="C1296" s="28">
        <v>7559</v>
      </c>
      <c r="D1296" s="56"/>
      <c r="E1296" s="29">
        <v>866200</v>
      </c>
      <c r="F1296" s="100"/>
      <c r="G1296" s="100"/>
      <c r="H1296" s="32">
        <v>252200</v>
      </c>
      <c r="I1296" s="33">
        <v>605575</v>
      </c>
      <c r="J1296" s="101">
        <f t="shared" si="604"/>
        <v>15984</v>
      </c>
      <c r="L1296" s="5"/>
      <c r="M1296" s="5"/>
      <c r="N1296" s="5"/>
      <c r="O1296" s="5"/>
    </row>
    <row r="1297" spans="1:15" x14ac:dyDescent="0.3">
      <c r="A1297" s="27" t="s">
        <v>79</v>
      </c>
      <c r="B1297" s="8" t="str">
        <f t="shared" ref="B1297:B1300" si="605">+A1033</f>
        <v>JUILLET</v>
      </c>
      <c r="C1297" s="28">
        <v>214000</v>
      </c>
      <c r="D1297" s="29"/>
      <c r="E1297" s="29">
        <v>724100</v>
      </c>
      <c r="F1297" s="100"/>
      <c r="G1297" s="100"/>
      <c r="H1297" s="32"/>
      <c r="I1297" s="33">
        <v>960000</v>
      </c>
      <c r="J1297" s="101">
        <f>+SUM(C1297:G1297)-(H1297+I1297)</f>
        <v>-21900</v>
      </c>
      <c r="L1297" s="5"/>
      <c r="M1297" s="5"/>
      <c r="N1297" s="5"/>
      <c r="O1297" s="5"/>
    </row>
    <row r="1298" spans="1:15" x14ac:dyDescent="0.3">
      <c r="A1298" s="27" t="s">
        <v>79</v>
      </c>
      <c r="B1298" s="8" t="str">
        <f t="shared" si="605"/>
        <v>JUILLET</v>
      </c>
      <c r="C1298" s="28">
        <v>-13805</v>
      </c>
      <c r="D1298" s="29"/>
      <c r="E1298" s="29">
        <v>333400</v>
      </c>
      <c r="F1298" s="29">
        <v>150000</v>
      </c>
      <c r="G1298" s="29"/>
      <c r="H1298" s="32">
        <v>129000</v>
      </c>
      <c r="I1298" s="33">
        <v>338905</v>
      </c>
      <c r="J1298" s="30">
        <f>+SUM(C1298:G1298)-(H1298+I1298)</f>
        <v>1690</v>
      </c>
      <c r="L1298" s="5"/>
      <c r="M1298" s="5"/>
      <c r="N1298" s="5"/>
      <c r="O1298" s="5"/>
    </row>
    <row r="1299" spans="1:15" x14ac:dyDescent="0.3">
      <c r="A1299" s="27" t="s">
        <v>79</v>
      </c>
      <c r="B1299" s="8" t="str">
        <f t="shared" si="605"/>
        <v>JUILLET</v>
      </c>
      <c r="C1299" s="28">
        <v>84350</v>
      </c>
      <c r="D1299" s="29"/>
      <c r="E1299" s="29">
        <v>669400</v>
      </c>
      <c r="F1299" s="29"/>
      <c r="G1299" s="29"/>
      <c r="H1299" s="32">
        <v>100000</v>
      </c>
      <c r="I1299" s="33">
        <v>674700</v>
      </c>
      <c r="J1299" s="30">
        <f>+SUM(C1299:G1299)-(H1299+I1299)</f>
        <v>-20950</v>
      </c>
      <c r="L1299" s="5"/>
      <c r="M1299" s="5"/>
      <c r="N1299" s="5"/>
      <c r="O1299" s="5"/>
    </row>
    <row r="1300" spans="1:15" x14ac:dyDescent="0.3">
      <c r="A1300" s="27" t="s">
        <v>79</v>
      </c>
      <c r="B1300" s="8" t="str">
        <f t="shared" si="605"/>
        <v>JUILLET</v>
      </c>
      <c r="C1300" s="28">
        <v>-216251</v>
      </c>
      <c r="D1300" s="29"/>
      <c r="E1300" s="29">
        <v>242000</v>
      </c>
      <c r="F1300" s="29"/>
      <c r="G1300" s="29"/>
      <c r="H1300" s="32"/>
      <c r="I1300" s="54">
        <v>34830</v>
      </c>
      <c r="J1300" s="30">
        <f t="shared" si="604"/>
        <v>-9081</v>
      </c>
      <c r="L1300" s="5"/>
      <c r="M1300" s="5"/>
      <c r="N1300" s="5"/>
      <c r="O1300" s="5"/>
    </row>
    <row r="1301" spans="1:15" x14ac:dyDescent="0.3">
      <c r="A1301" s="27" t="s">
        <v>79</v>
      </c>
      <c r="B1301" s="8" t="s">
        <v>33</v>
      </c>
      <c r="C1301" s="28">
        <v>2025</v>
      </c>
      <c r="D1301" s="29"/>
      <c r="E1301" s="29">
        <v>25000</v>
      </c>
      <c r="F1301" s="29"/>
      <c r="G1301" s="29"/>
      <c r="H1301" s="32">
        <v>3025</v>
      </c>
      <c r="I1301" s="33">
        <v>24000</v>
      </c>
      <c r="J1301" s="30">
        <f>+SUM(C1301:G1301)-(H1301+I1301)</f>
        <v>0</v>
      </c>
      <c r="L1301" s="5"/>
      <c r="M1301" s="5"/>
      <c r="N1301" s="5"/>
      <c r="O1301" s="5"/>
    </row>
    <row r="1302" spans="1:15" x14ac:dyDescent="0.3">
      <c r="A1302" s="27" t="s">
        <v>79</v>
      </c>
      <c r="B1302" s="8" t="s">
        <v>32</v>
      </c>
      <c r="C1302" s="28">
        <v>10000</v>
      </c>
      <c r="D1302" s="31"/>
      <c r="E1302" s="29">
        <v>0</v>
      </c>
      <c r="F1302" s="31"/>
      <c r="G1302" s="31"/>
      <c r="H1302" s="32"/>
      <c r="I1302" s="33">
        <v>4700</v>
      </c>
      <c r="J1302" s="30">
        <f>+SUM(C1302:G1302)-(H1302+I1302)</f>
        <v>5300</v>
      </c>
      <c r="L1302" s="5"/>
      <c r="M1302" s="5"/>
      <c r="N1302" s="5"/>
      <c r="O1302" s="5"/>
    </row>
    <row r="1303" spans="1:15" x14ac:dyDescent="0.3">
      <c r="A1303" s="34" t="s">
        <v>60</v>
      </c>
      <c r="B1303" s="35"/>
      <c r="C1303" s="35"/>
      <c r="D1303" s="35"/>
      <c r="E1303" s="35"/>
      <c r="F1303" s="35"/>
      <c r="G1303" s="35"/>
      <c r="H1303" s="35"/>
      <c r="I1303" s="35"/>
      <c r="J1303" s="36"/>
      <c r="L1303" s="5"/>
      <c r="M1303" s="5"/>
      <c r="N1303" s="5"/>
      <c r="O1303" s="5"/>
    </row>
    <row r="1304" spans="1:15" x14ac:dyDescent="0.3">
      <c r="A1304" s="27" t="s">
        <v>79</v>
      </c>
      <c r="B1304" s="37" t="s">
        <v>61</v>
      </c>
      <c r="C1304" s="38">
        <v>791675</v>
      </c>
      <c r="D1304" s="39">
        <v>3185100</v>
      </c>
      <c r="E1304" s="39"/>
      <c r="F1304" s="39"/>
      <c r="G1304" s="40">
        <v>237025</v>
      </c>
      <c r="H1304" s="47">
        <v>3045100</v>
      </c>
      <c r="I1304" s="41">
        <v>876121</v>
      </c>
      <c r="J1304" s="42">
        <f>+SUM(C1304:G1304)-(H1304+I1304)</f>
        <v>292579</v>
      </c>
      <c r="L1304" s="5"/>
      <c r="M1304" s="5"/>
      <c r="N1304" s="5"/>
      <c r="O1304" s="5"/>
    </row>
    <row r="1305" spans="1:15" x14ac:dyDescent="0.3">
      <c r="A1305" s="43" t="s">
        <v>62</v>
      </c>
      <c r="B1305" s="24"/>
      <c r="C1305" s="35"/>
      <c r="D1305" s="24"/>
      <c r="E1305" s="24"/>
      <c r="F1305" s="24"/>
      <c r="G1305" s="24"/>
      <c r="H1305" s="24"/>
      <c r="I1305" s="24"/>
      <c r="J1305" s="36"/>
      <c r="L1305" s="5"/>
      <c r="M1305" s="5"/>
      <c r="N1305" s="5"/>
      <c r="O1305" s="5"/>
    </row>
    <row r="1306" spans="1:15" x14ac:dyDescent="0.3">
      <c r="A1306" s="27" t="s">
        <v>79</v>
      </c>
      <c r="B1306" s="37" t="s">
        <v>63</v>
      </c>
      <c r="C1306" s="44">
        <v>8039273</v>
      </c>
      <c r="D1306" s="52">
        <v>0</v>
      </c>
      <c r="E1306" s="49"/>
      <c r="F1306" s="49"/>
      <c r="G1306" s="49"/>
      <c r="H1306" s="51">
        <v>3000000</v>
      </c>
      <c r="I1306" s="53">
        <v>224679</v>
      </c>
      <c r="J1306" s="30">
        <f>+SUM(C1306:G1306)-(H1306+I1306)</f>
        <v>4814594</v>
      </c>
      <c r="L1306" s="5"/>
      <c r="M1306" s="5"/>
      <c r="N1306" s="5"/>
      <c r="O1306" s="5"/>
    </row>
    <row r="1307" spans="1:15" x14ac:dyDescent="0.3">
      <c r="A1307" s="27" t="s">
        <v>79</v>
      </c>
      <c r="B1307" s="37" t="s">
        <v>64</v>
      </c>
      <c r="C1307" s="44">
        <v>13283340</v>
      </c>
      <c r="D1307" s="49">
        <v>0</v>
      </c>
      <c r="E1307" s="48"/>
      <c r="F1307" s="48"/>
      <c r="G1307" s="48"/>
      <c r="H1307" s="32">
        <v>185100</v>
      </c>
      <c r="I1307" s="50">
        <v>8352406</v>
      </c>
      <c r="J1307" s="30">
        <f>SUM(C1307:G1307)-(H1307+I1307)</f>
        <v>4745834</v>
      </c>
    </row>
    <row r="1308" spans="1:15" x14ac:dyDescent="0.3">
      <c r="A1308" s="45" t="s">
        <v>79</v>
      </c>
      <c r="B1308" s="145" t="s">
        <v>82</v>
      </c>
      <c r="C1308" s="44">
        <v>3721074</v>
      </c>
      <c r="D1308" s="45"/>
      <c r="E1308" s="45"/>
      <c r="F1308" s="45"/>
      <c r="G1308" s="45"/>
      <c r="H1308" s="45"/>
      <c r="I1308" s="45"/>
      <c r="J1308" s="101">
        <f>SUM(C1308:G1308)-(H1308+I1308)</f>
        <v>3721074</v>
      </c>
    </row>
    <row r="1309" spans="1:15" x14ac:dyDescent="0.3">
      <c r="A1309" s="45" t="s">
        <v>79</v>
      </c>
      <c r="B1309" s="145" t="s">
        <v>83</v>
      </c>
      <c r="C1309" s="44">
        <v>249769</v>
      </c>
      <c r="D1309" s="49"/>
      <c r="E1309" s="49"/>
      <c r="F1309" s="49"/>
      <c r="G1309" s="49"/>
      <c r="H1309" s="32"/>
      <c r="I1309" s="50"/>
      <c r="J1309" s="101">
        <f>SUM(C1309:G1309)-(H1309+I1309)</f>
        <v>249769</v>
      </c>
    </row>
    <row r="1310" spans="1:15" x14ac:dyDescent="0.3">
      <c r="A1310" s="45" t="s">
        <v>79</v>
      </c>
      <c r="B1310" s="146" t="s">
        <v>84</v>
      </c>
      <c r="C1310" s="44">
        <v>233614</v>
      </c>
      <c r="D1310" s="49"/>
      <c r="E1310" s="49"/>
      <c r="F1310" s="49"/>
      <c r="G1310" s="49"/>
      <c r="H1310" s="32"/>
      <c r="I1310" s="50"/>
      <c r="J1310" s="101">
        <f>SUM(C1310:G1310)-(H1310+I1310)</f>
        <v>233614</v>
      </c>
    </row>
    <row r="1311" spans="1:15" x14ac:dyDescent="0.3">
      <c r="A1311" s="45" t="s">
        <v>79</v>
      </c>
      <c r="B1311" s="147" t="s">
        <v>85</v>
      </c>
      <c r="C1311" s="44">
        <v>330169</v>
      </c>
      <c r="D1311" s="45"/>
      <c r="E1311" s="45"/>
      <c r="F1311" s="45"/>
      <c r="G1311" s="45"/>
      <c r="H1311" s="45"/>
      <c r="I1311" s="45"/>
      <c r="J1311" s="101">
        <f>SUM(C1311:G1311)-(H1311+I1311)</f>
        <v>330169</v>
      </c>
    </row>
    <row r="1312" spans="1:15" ht="15.6" x14ac:dyDescent="0.3">
      <c r="C1312" s="9"/>
      <c r="I1312" s="9"/>
      <c r="J1312" s="105">
        <f>+SUM(J1292:J1311)</f>
        <v>14369131</v>
      </c>
    </row>
    <row r="1313" spans="1:15" x14ac:dyDescent="0.3">
      <c r="C1313" s="9"/>
      <c r="I1313" s="9"/>
      <c r="J1313" s="9"/>
    </row>
    <row r="1314" spans="1:15" s="70" customFormat="1" x14ac:dyDescent="0.3">
      <c r="A1314" s="69" t="s">
        <v>65</v>
      </c>
      <c r="B1314" s="69"/>
      <c r="C1314" s="69"/>
      <c r="D1314" s="69"/>
      <c r="E1314" s="69"/>
      <c r="F1314" s="69"/>
      <c r="G1314" s="69"/>
      <c r="H1314" s="69"/>
      <c r="I1314" s="69"/>
      <c r="J1314" s="17"/>
      <c r="L1314" s="71"/>
      <c r="M1314" s="71"/>
      <c r="N1314" s="71"/>
      <c r="O1314" s="71"/>
    </row>
    <row r="1315" spans="1:15" s="70" customFormat="1" x14ac:dyDescent="0.3">
      <c r="A1315" s="19"/>
      <c r="B1315" s="17"/>
      <c r="C1315" s="72"/>
      <c r="D1315" s="72"/>
      <c r="E1315" s="72"/>
      <c r="F1315" s="72"/>
      <c r="G1315" s="72"/>
      <c r="H1315" s="17"/>
      <c r="I1315" s="17"/>
      <c r="J1315" s="69"/>
      <c r="L1315" s="71"/>
      <c r="M1315" s="71"/>
      <c r="N1315" s="71"/>
      <c r="O1315" s="71"/>
    </row>
    <row r="1316" spans="1:15" s="70" customFormat="1" x14ac:dyDescent="0.3">
      <c r="A1316" s="360" t="s">
        <v>53</v>
      </c>
      <c r="B1316" s="362" t="s">
        <v>54</v>
      </c>
      <c r="C1316" s="364" t="s">
        <v>67</v>
      </c>
      <c r="D1316" s="387" t="s">
        <v>55</v>
      </c>
      <c r="E1316" s="388"/>
      <c r="F1316" s="388"/>
      <c r="G1316" s="389"/>
      <c r="H1316" s="390" t="s">
        <v>56</v>
      </c>
      <c r="I1316" s="392" t="s">
        <v>57</v>
      </c>
      <c r="J1316" s="17"/>
      <c r="L1316" s="71"/>
      <c r="M1316" s="71"/>
      <c r="N1316" s="71"/>
      <c r="O1316" s="71"/>
    </row>
    <row r="1317" spans="1:15" s="70" customFormat="1" x14ac:dyDescent="0.3">
      <c r="A1317" s="361"/>
      <c r="B1317" s="363"/>
      <c r="C1317" s="365"/>
      <c r="D1317" s="21" t="s">
        <v>24</v>
      </c>
      <c r="E1317" s="21" t="s">
        <v>25</v>
      </c>
      <c r="F1317" s="22" t="s">
        <v>69</v>
      </c>
      <c r="G1317" s="21" t="s">
        <v>58</v>
      </c>
      <c r="H1317" s="391"/>
      <c r="I1317" s="393"/>
      <c r="J1317" s="373" t="s">
        <v>68</v>
      </c>
      <c r="L1317" s="71"/>
      <c r="M1317" s="71"/>
      <c r="N1317" s="71"/>
      <c r="O1317" s="71"/>
    </row>
    <row r="1318" spans="1:15" s="70" customFormat="1" x14ac:dyDescent="0.3">
      <c r="A1318" s="73"/>
      <c r="B1318" s="74" t="s">
        <v>59</v>
      </c>
      <c r="C1318" s="75"/>
      <c r="D1318" s="75"/>
      <c r="E1318" s="75"/>
      <c r="F1318" s="75"/>
      <c r="G1318" s="75"/>
      <c r="H1318" s="75"/>
      <c r="I1318" s="76"/>
      <c r="J1318" s="374"/>
      <c r="L1318" s="71"/>
      <c r="M1318" s="71"/>
      <c r="N1318" s="71"/>
      <c r="O1318" s="71"/>
    </row>
    <row r="1319" spans="1:15" s="70" customFormat="1" x14ac:dyDescent="0.3">
      <c r="A1319" s="77" t="s">
        <v>66</v>
      </c>
      <c r="B1319" s="8" t="s">
        <v>47</v>
      </c>
      <c r="C1319" s="78">
        <v>40560</v>
      </c>
      <c r="D1319" s="29"/>
      <c r="E1319" s="29">
        <v>0</v>
      </c>
      <c r="F1319" s="29"/>
      <c r="G1319" s="29"/>
      <c r="H1319" s="79"/>
      <c r="I1319" s="80">
        <f>+SUM([1]COMPTA_CREPIN!$F$3050:$F$3066)</f>
        <v>21500</v>
      </c>
      <c r="J1319" s="30">
        <f>+SUM(C1319:G1319)-(H1319+I1319)</f>
        <v>19060</v>
      </c>
      <c r="L1319" s="71"/>
      <c r="M1319" s="71"/>
      <c r="N1319" s="71"/>
      <c r="O1319" s="71"/>
    </row>
    <row r="1320" spans="1:15" s="70" customFormat="1" x14ac:dyDescent="0.3">
      <c r="A1320" s="77" t="s">
        <v>66</v>
      </c>
      <c r="B1320" s="8" t="s">
        <v>28</v>
      </c>
      <c r="C1320" s="78">
        <v>227975</v>
      </c>
      <c r="D1320" s="29"/>
      <c r="E1320" s="29">
        <f>+'[2]Compta Dalia (2)'!$E$1908+'[2]Compta Dalia (2)'!$E$1909+'[2]Compta Dalia (2)'!$E$1911+'[2]Compta Dalia (2)'!$E$1917</f>
        <v>119600</v>
      </c>
      <c r="F1320" s="29"/>
      <c r="G1320" s="29"/>
      <c r="H1320" s="79">
        <f>+'[2]Compta Dalia (2)'!$F$1919</f>
        <v>1635</v>
      </c>
      <c r="I1320" s="80">
        <v>345940</v>
      </c>
      <c r="J1320" s="30">
        <f t="shared" ref="J1320:J1327" si="606">+SUM(C1320:G1320)-(H1320+I1320)</f>
        <v>0</v>
      </c>
      <c r="L1320" s="71"/>
      <c r="M1320" s="71"/>
      <c r="N1320" s="71"/>
      <c r="O1320" s="71"/>
    </row>
    <row r="1321" spans="1:15" s="70" customFormat="1" x14ac:dyDescent="0.3">
      <c r="A1321" s="77" t="s">
        <v>66</v>
      </c>
      <c r="B1321" s="8" t="s">
        <v>31</v>
      </c>
      <c r="C1321" s="78">
        <v>-605</v>
      </c>
      <c r="D1321" s="29"/>
      <c r="E1321" s="29">
        <f>+'[3]compta (3)'!$E$2556+'[3]compta (3)'!$E$2557+'[3]compta (3)'!$E$2558</f>
        <v>30000</v>
      </c>
      <c r="F1321" s="29"/>
      <c r="G1321" s="29"/>
      <c r="H1321" s="81"/>
      <c r="I1321" s="82">
        <f>'[3]compta (3)'!$F$2559</f>
        <v>21000</v>
      </c>
      <c r="J1321" s="30">
        <f t="shared" si="606"/>
        <v>8395</v>
      </c>
      <c r="L1321" s="71"/>
      <c r="M1321" s="71"/>
      <c r="N1321" s="71"/>
      <c r="O1321" s="71"/>
    </row>
    <row r="1322" spans="1:15" s="70" customFormat="1" x14ac:dyDescent="0.3">
      <c r="A1322" s="77" t="s">
        <v>66</v>
      </c>
      <c r="B1322" s="99" t="s">
        <v>26</v>
      </c>
      <c r="C1322" s="78">
        <v>264659</v>
      </c>
      <c r="D1322" s="100"/>
      <c r="E1322" s="100">
        <f>+'[4]compta (2)'!$E$2521+'[4]compta (2)'!$E$2525+'[4]compta (2)'!$E$2527+'[4]compta (2)'!$E$2529</f>
        <v>325000</v>
      </c>
      <c r="F1322" s="100"/>
      <c r="G1322" s="100"/>
      <c r="H1322" s="32">
        <f>'[4]compta (2)'!$F$2528+60000</f>
        <v>75000</v>
      </c>
      <c r="I1322" s="32">
        <f>'[4]compta (2)'!$F$2522+'[4]compta (2)'!$F$2523+'[4]compta (2)'!$F$2524+'[4]compta (2)'!$F$2526+'[4]compta (2)'!$F$2530+'[4]compta (2)'!$F$2532+'[4]compta (2)'!$F$2533+'[4]compta (2)'!$F$2534</f>
        <v>507100</v>
      </c>
      <c r="J1322" s="101">
        <f t="shared" si="606"/>
        <v>7559</v>
      </c>
      <c r="L1322" s="71"/>
      <c r="M1322" s="71"/>
      <c r="N1322" s="71"/>
      <c r="O1322" s="71"/>
    </row>
    <row r="1323" spans="1:15" s="70" customFormat="1" x14ac:dyDescent="0.3">
      <c r="A1323" s="77" t="s">
        <v>66</v>
      </c>
      <c r="B1323" s="99" t="s">
        <v>48</v>
      </c>
      <c r="C1323" s="78">
        <v>272500</v>
      </c>
      <c r="D1323" s="100"/>
      <c r="E1323" s="100">
        <f>+'[5]COMPTA_I23C (2)'!$E$4171+'[5]COMPTA_I23C (2)'!$E$4172+'[5]COMPTA_I23C (2)'!$E$4174+'[5]COMPTA_I23C (2)'!$E$4178+'[5]COMPTA_I23C (2)'!$E$4180+'[5]COMPTA_I23C (2)'!$E$4181</f>
        <v>695000</v>
      </c>
      <c r="F1323" s="100"/>
      <c r="G1323" s="100"/>
      <c r="H1323" s="32"/>
      <c r="I1323" s="78">
        <v>753500</v>
      </c>
      <c r="J1323" s="101">
        <f t="shared" si="606"/>
        <v>214000</v>
      </c>
      <c r="L1323" s="71"/>
      <c r="M1323" s="71"/>
      <c r="N1323" s="71"/>
      <c r="O1323" s="71"/>
    </row>
    <row r="1324" spans="1:15" s="70" customFormat="1" x14ac:dyDescent="0.3">
      <c r="A1324" s="77" t="s">
        <v>66</v>
      </c>
      <c r="B1324" s="8" t="s">
        <v>35</v>
      </c>
      <c r="C1324" s="78">
        <v>284595</v>
      </c>
      <c r="D1324" s="29"/>
      <c r="E1324" s="29">
        <f>+'[6]Feuil1 (2)'!$E$2684+'[6]Feuil1 (2)'!$E$2689+'[6]Feuil1 (2)'!$E$2691</f>
        <v>275000</v>
      </c>
      <c r="F1324" s="29">
        <f>'[4]compta (2)'!$F$2531</f>
        <v>60000</v>
      </c>
      <c r="G1324" s="29"/>
      <c r="H1324" s="81"/>
      <c r="I1324" s="80">
        <v>633400</v>
      </c>
      <c r="J1324" s="30">
        <f t="shared" si="606"/>
        <v>-13805</v>
      </c>
      <c r="L1324" s="71"/>
      <c r="M1324" s="71"/>
      <c r="N1324" s="71"/>
      <c r="O1324" s="71"/>
    </row>
    <row r="1325" spans="1:15" s="70" customFormat="1" x14ac:dyDescent="0.3">
      <c r="A1325" s="77" t="s">
        <v>66</v>
      </c>
      <c r="B1325" s="8" t="s">
        <v>27</v>
      </c>
      <c r="C1325" s="78">
        <v>-1750</v>
      </c>
      <c r="D1325" s="29"/>
      <c r="E1325" s="29">
        <f>+'[7]Compta Jospin (2)'!$E$1583+'[7]Compta Jospin (2)'!$E$1584+'[7]Compta Jospin (2)'!$E$1587</f>
        <v>96400</v>
      </c>
      <c r="F1325" s="29"/>
      <c r="G1325" s="29"/>
      <c r="H1325" s="81">
        <f>+'[7]Compta Jospin (2)'!$F$1592</f>
        <v>950</v>
      </c>
      <c r="I1325" s="80">
        <v>93700</v>
      </c>
      <c r="J1325" s="30">
        <f t="shared" si="606"/>
        <v>0</v>
      </c>
      <c r="L1325" s="71"/>
      <c r="M1325" s="71"/>
      <c r="N1325" s="71"/>
      <c r="O1325" s="71"/>
    </row>
    <row r="1326" spans="1:15" s="70" customFormat="1" x14ac:dyDescent="0.3">
      <c r="A1326" s="77" t="s">
        <v>66</v>
      </c>
      <c r="B1326" s="8" t="s">
        <v>29</v>
      </c>
      <c r="C1326" s="78">
        <v>265600</v>
      </c>
      <c r="D1326" s="29"/>
      <c r="E1326" s="29">
        <f>+'[8]COMPT-P29 (2)'!$E$190+'[8]COMPT-P29 (2)'!$E$191+'[8]COMPT-P29 (2)'!$E$196+'[8]COMPT-P29 (2)'!$E$201+'[8]COMPT-P29 (2)'!$E$202+'[8]COMPT-P29 (2)'!$E$204+'[8]COMPT-P29 (2)'!$E$207+'[8]COMPT-P29 (2)'!$E$215</f>
        <v>855600</v>
      </c>
      <c r="F1326" s="29"/>
      <c r="G1326" s="29"/>
      <c r="H1326" s="81"/>
      <c r="I1326" s="80">
        <v>1036850</v>
      </c>
      <c r="J1326" s="30">
        <f t="shared" si="606"/>
        <v>84350</v>
      </c>
      <c r="L1326" s="71"/>
      <c r="M1326" s="71"/>
      <c r="N1326" s="71"/>
      <c r="O1326" s="71"/>
    </row>
    <row r="1327" spans="1:15" s="70" customFormat="1" x14ac:dyDescent="0.3">
      <c r="A1327" s="77" t="s">
        <v>66</v>
      </c>
      <c r="B1327" s="8" t="s">
        <v>49</v>
      </c>
      <c r="C1327" s="78">
        <f t="shared" ref="C1327" si="607">+C1300</f>
        <v>-216251</v>
      </c>
      <c r="D1327" s="29"/>
      <c r="E1327" s="29">
        <v>0</v>
      </c>
      <c r="F1327" s="29"/>
      <c r="G1327" s="29"/>
      <c r="H1327" s="81"/>
      <c r="I1327" s="82">
        <v>0</v>
      </c>
      <c r="J1327" s="30">
        <f t="shared" si="606"/>
        <v>-216251</v>
      </c>
      <c r="L1327" s="71"/>
      <c r="M1327" s="71"/>
      <c r="N1327" s="71"/>
      <c r="O1327" s="71"/>
    </row>
    <row r="1328" spans="1:15" s="70" customFormat="1" x14ac:dyDescent="0.3">
      <c r="A1328" s="77" t="s">
        <v>66</v>
      </c>
      <c r="B1328" s="8" t="s">
        <v>33</v>
      </c>
      <c r="C1328" s="78">
        <v>1025</v>
      </c>
      <c r="D1328" s="29"/>
      <c r="E1328" s="29">
        <f>+'[9]compta shely'!$E$90+'[9]compta shely'!$E$97+'[9]compta shely'!$E$100</f>
        <v>25000</v>
      </c>
      <c r="F1328" s="29"/>
      <c r="G1328" s="29"/>
      <c r="H1328" s="81"/>
      <c r="I1328" s="80">
        <v>24000</v>
      </c>
      <c r="J1328" s="30">
        <f>+SUM(C1328:G1328)-(H1328+I1328)</f>
        <v>2025</v>
      </c>
      <c r="L1328" s="71"/>
      <c r="M1328" s="71"/>
      <c r="N1328" s="71"/>
      <c r="O1328" s="71"/>
    </row>
    <row r="1329" spans="1:15" s="70" customFormat="1" x14ac:dyDescent="0.3">
      <c r="A1329" s="31" t="s">
        <v>66</v>
      </c>
      <c r="B1329" s="8" t="s">
        <v>32</v>
      </c>
      <c r="C1329" s="78">
        <v>0</v>
      </c>
      <c r="D1329" s="31"/>
      <c r="E1329" s="31">
        <f>+'[10]compta ted'!$E$11</f>
        <v>10000</v>
      </c>
      <c r="F1329" s="31"/>
      <c r="G1329" s="31"/>
      <c r="H1329" s="81"/>
      <c r="I1329" s="80">
        <v>0</v>
      </c>
      <c r="J1329" s="30">
        <f>+SUM(C1329:G1329)-(H1329+I1329)</f>
        <v>10000</v>
      </c>
      <c r="L1329" s="71"/>
      <c r="M1329" s="71"/>
      <c r="N1329" s="71"/>
      <c r="O1329" s="71"/>
    </row>
    <row r="1330" spans="1:15" s="70" customFormat="1" x14ac:dyDescent="0.3">
      <c r="A1330" s="83" t="s">
        <v>60</v>
      </c>
      <c r="B1330" s="84"/>
      <c r="C1330" s="84"/>
      <c r="D1330" s="84"/>
      <c r="E1330" s="84"/>
      <c r="F1330" s="84"/>
      <c r="G1330" s="84"/>
      <c r="H1330" s="84"/>
      <c r="I1330" s="84"/>
      <c r="J1330" s="85"/>
      <c r="L1330" s="71"/>
      <c r="M1330" s="71"/>
      <c r="N1330" s="71"/>
      <c r="O1330" s="71"/>
    </row>
    <row r="1331" spans="1:15" s="70" customFormat="1" x14ac:dyDescent="0.3">
      <c r="A1331" s="31" t="s">
        <v>66</v>
      </c>
      <c r="B1331" s="37" t="s">
        <v>61</v>
      </c>
      <c r="C1331" s="38">
        <v>954796</v>
      </c>
      <c r="D1331" s="29">
        <v>3000000</v>
      </c>
      <c r="E1331" s="29"/>
      <c r="F1331" s="29"/>
      <c r="G1331" s="86">
        <v>17585</v>
      </c>
      <c r="H1331" s="87">
        <v>2431600</v>
      </c>
      <c r="I1331" s="88">
        <v>749106</v>
      </c>
      <c r="J1331" s="42">
        <f>+SUM(C1331:G1331)-(H1331+I1331)</f>
        <v>791675</v>
      </c>
      <c r="L1331" s="71"/>
      <c r="M1331" s="71"/>
      <c r="N1331" s="71"/>
      <c r="O1331" s="71"/>
    </row>
    <row r="1332" spans="1:15" s="70" customFormat="1" x14ac:dyDescent="0.3">
      <c r="A1332" s="89" t="s">
        <v>62</v>
      </c>
      <c r="B1332" s="74"/>
      <c r="C1332" s="84"/>
      <c r="D1332" s="74"/>
      <c r="E1332" s="74"/>
      <c r="F1332" s="74"/>
      <c r="G1332" s="74"/>
      <c r="H1332" s="74"/>
      <c r="I1332" s="74"/>
      <c r="J1332" s="85"/>
      <c r="L1332" s="71"/>
      <c r="M1332" s="71"/>
      <c r="N1332" s="71"/>
      <c r="O1332" s="71"/>
    </row>
    <row r="1333" spans="1:15" s="70" customFormat="1" x14ac:dyDescent="0.3">
      <c r="A1333" s="31" t="s">
        <v>66</v>
      </c>
      <c r="B1333" s="37" t="s">
        <v>63</v>
      </c>
      <c r="C1333" s="78">
        <v>705838</v>
      </c>
      <c r="D1333" s="90">
        <v>10801800</v>
      </c>
      <c r="E1333" s="91"/>
      <c r="F1333" s="91"/>
      <c r="G1333" s="91"/>
      <c r="H1333" s="92">
        <v>3000000</v>
      </c>
      <c r="I1333" s="93">
        <v>468365</v>
      </c>
      <c r="J1333" s="30">
        <f>+SUM(C1333:G1333)-(H1333+I1333)</f>
        <v>8039273</v>
      </c>
      <c r="L1333" s="71"/>
      <c r="M1333" s="71"/>
      <c r="N1333" s="71"/>
      <c r="O1333" s="71"/>
    </row>
    <row r="1334" spans="1:15" s="70" customFormat="1" x14ac:dyDescent="0.3">
      <c r="A1334" s="31" t="s">
        <v>66</v>
      </c>
      <c r="B1334" s="37" t="s">
        <v>64</v>
      </c>
      <c r="C1334" s="78">
        <v>14874402</v>
      </c>
      <c r="D1334" s="91">
        <v>3279785</v>
      </c>
      <c r="E1334" s="94"/>
      <c r="F1334" s="94"/>
      <c r="G1334" s="94"/>
      <c r="H1334" s="95"/>
      <c r="I1334" s="96">
        <v>4870847</v>
      </c>
      <c r="J1334" s="30">
        <f>SUM(C1334:G1334)-(H1334+I1334)</f>
        <v>13283340</v>
      </c>
      <c r="L1334" s="71"/>
      <c r="M1334" s="71"/>
      <c r="N1334" s="71"/>
      <c r="O1334" s="71"/>
    </row>
    <row r="1335" spans="1:15" s="70" customFormat="1" x14ac:dyDescent="0.3">
      <c r="L1335" s="71"/>
      <c r="M1335" s="71"/>
      <c r="N1335" s="71"/>
      <c r="O1335" s="71"/>
    </row>
    <row r="1336" spans="1:15" s="70" customFormat="1" x14ac:dyDescent="0.3">
      <c r="C1336" s="97">
        <f>+SUM(C1319:C1334)</f>
        <v>17673344</v>
      </c>
      <c r="I1336" s="97">
        <f>SUM(I1319:I1334)</f>
        <v>9525308</v>
      </c>
      <c r="J1336" s="97">
        <f>+SUM(J1319:J1334)</f>
        <v>22229621</v>
      </c>
      <c r="L1336" s="71"/>
      <c r="M1336" s="71"/>
      <c r="N1336" s="71"/>
      <c r="O1336" s="71"/>
    </row>
    <row r="1337" spans="1:15" x14ac:dyDescent="0.3">
      <c r="C1337" s="9"/>
      <c r="I1337" s="9"/>
      <c r="J1337" s="9"/>
    </row>
    <row r="1338" spans="1:15" x14ac:dyDescent="0.3">
      <c r="A1338" s="62" t="s">
        <v>70</v>
      </c>
      <c r="B1338" s="62"/>
    </row>
    <row r="1339" spans="1:15" x14ac:dyDescent="0.3">
      <c r="A1339" s="63" t="s">
        <v>71</v>
      </c>
      <c r="B1339" s="63"/>
      <c r="C1339" s="63"/>
      <c r="D1339" s="63"/>
      <c r="E1339" s="63"/>
      <c r="F1339" s="63"/>
      <c r="G1339" s="63"/>
      <c r="H1339" s="63"/>
      <c r="I1339" s="63"/>
      <c r="J1339" s="63"/>
      <c r="L1339" s="5"/>
      <c r="M1339" s="5"/>
      <c r="N1339" s="5"/>
      <c r="O1339" s="5"/>
    </row>
    <row r="1341" spans="1:15" ht="15" customHeight="1" x14ac:dyDescent="0.3">
      <c r="A1341" s="375" t="s">
        <v>53</v>
      </c>
      <c r="B1341" s="375" t="s">
        <v>54</v>
      </c>
      <c r="C1341" s="386" t="s">
        <v>73</v>
      </c>
      <c r="D1341" s="381" t="s">
        <v>55</v>
      </c>
      <c r="E1341" s="381"/>
      <c r="F1341" s="381"/>
      <c r="G1341" s="381"/>
      <c r="H1341" s="382" t="s">
        <v>56</v>
      </c>
      <c r="I1341" s="384" t="s">
        <v>57</v>
      </c>
      <c r="J1341" s="377" t="s">
        <v>74</v>
      </c>
      <c r="K1341" s="378"/>
      <c r="L1341" s="5"/>
      <c r="M1341" s="5"/>
      <c r="N1341" s="5"/>
      <c r="O1341" s="5"/>
    </row>
    <row r="1342" spans="1:15" ht="28.5" customHeight="1" x14ac:dyDescent="0.3">
      <c r="A1342" s="376"/>
      <c r="B1342" s="376"/>
      <c r="C1342" s="376"/>
      <c r="D1342" s="67" t="s">
        <v>24</v>
      </c>
      <c r="E1342" s="64" t="s">
        <v>25</v>
      </c>
      <c r="F1342" s="64" t="s">
        <v>27</v>
      </c>
      <c r="G1342" s="64" t="s">
        <v>58</v>
      </c>
      <c r="H1342" s="383"/>
      <c r="I1342" s="385"/>
      <c r="J1342" s="379"/>
      <c r="K1342" s="380"/>
      <c r="L1342" s="5"/>
      <c r="M1342" s="5"/>
      <c r="N1342" s="5"/>
      <c r="O1342" s="5"/>
    </row>
    <row r="1343" spans="1:15" x14ac:dyDescent="0.3">
      <c r="A1343" s="45"/>
      <c r="B1343" s="45" t="s">
        <v>59</v>
      </c>
      <c r="C1343" s="47"/>
      <c r="D1343" s="47"/>
      <c r="E1343" s="47"/>
      <c r="F1343" s="47"/>
      <c r="G1343" s="47"/>
      <c r="H1343" s="47"/>
      <c r="I1343" s="47"/>
      <c r="J1343" s="47"/>
      <c r="K1343" s="45"/>
      <c r="L1343" s="5"/>
      <c r="M1343" s="5"/>
      <c r="N1343" s="5"/>
      <c r="O1343" s="5"/>
    </row>
    <row r="1344" spans="1:15" x14ac:dyDescent="0.3">
      <c r="A1344" s="45" t="s">
        <v>72</v>
      </c>
      <c r="B1344" s="45" t="s">
        <v>47</v>
      </c>
      <c r="C1344" s="47">
        <v>89360</v>
      </c>
      <c r="D1344" s="47"/>
      <c r="E1344" s="47">
        <v>13000</v>
      </c>
      <c r="F1344" s="47"/>
      <c r="G1344" s="47"/>
      <c r="H1344" s="47"/>
      <c r="I1344" s="47">
        <v>61800</v>
      </c>
      <c r="J1344" s="47">
        <v>40560</v>
      </c>
      <c r="K1344" s="45"/>
      <c r="L1344" s="5"/>
      <c r="M1344" s="5"/>
      <c r="N1344" s="5"/>
      <c r="O1344" s="5"/>
    </row>
    <row r="1345" spans="1:15" x14ac:dyDescent="0.3">
      <c r="A1345" s="45" t="s">
        <v>72</v>
      </c>
      <c r="B1345" s="45" t="s">
        <v>28</v>
      </c>
      <c r="C1345" s="47">
        <v>-1025</v>
      </c>
      <c r="D1345" s="47"/>
      <c r="E1345" s="47">
        <v>684500</v>
      </c>
      <c r="F1345" s="47"/>
      <c r="G1345" s="47"/>
      <c r="H1345" s="47"/>
      <c r="I1345" s="47">
        <v>455500</v>
      </c>
      <c r="J1345" s="47">
        <v>227975</v>
      </c>
      <c r="K1345" s="45"/>
      <c r="L1345" s="5"/>
      <c r="M1345" s="5"/>
      <c r="N1345" s="5"/>
      <c r="O1345" s="5"/>
    </row>
    <row r="1346" spans="1:15" x14ac:dyDescent="0.3">
      <c r="A1346" s="45" t="s">
        <v>72</v>
      </c>
      <c r="B1346" s="45" t="s">
        <v>31</v>
      </c>
      <c r="C1346" s="47">
        <v>14395</v>
      </c>
      <c r="D1346" s="47"/>
      <c r="E1346" s="47">
        <v>40000</v>
      </c>
      <c r="F1346" s="47"/>
      <c r="G1346" s="47"/>
      <c r="H1346" s="47"/>
      <c r="I1346" s="47">
        <v>55000</v>
      </c>
      <c r="J1346" s="47">
        <v>-605</v>
      </c>
      <c r="K1346" s="45"/>
      <c r="L1346" s="5"/>
      <c r="M1346" s="5"/>
      <c r="N1346" s="5"/>
      <c r="O1346" s="5"/>
    </row>
    <row r="1347" spans="1:15" x14ac:dyDescent="0.3">
      <c r="A1347" s="45" t="s">
        <v>72</v>
      </c>
      <c r="B1347" s="45" t="s">
        <v>26</v>
      </c>
      <c r="C1347" s="47">
        <v>8559</v>
      </c>
      <c r="D1347" s="47"/>
      <c r="E1347" s="47">
        <v>428750</v>
      </c>
      <c r="F1347" s="47">
        <v>280200</v>
      </c>
      <c r="G1347" s="47"/>
      <c r="H1347" s="47"/>
      <c r="I1347" s="47">
        <v>452850</v>
      </c>
      <c r="J1347" s="47">
        <v>264659</v>
      </c>
      <c r="K1347" s="45"/>
      <c r="L1347" s="5"/>
      <c r="M1347" s="5"/>
      <c r="N1347" s="5"/>
      <c r="O1347" s="5"/>
    </row>
    <row r="1348" spans="1:15" x14ac:dyDescent="0.3">
      <c r="A1348" s="45" t="s">
        <v>72</v>
      </c>
      <c r="B1348" s="45" t="s">
        <v>48</v>
      </c>
      <c r="C1348" s="47">
        <v>-5750</v>
      </c>
      <c r="D1348" s="47"/>
      <c r="E1348" s="47">
        <v>1161750</v>
      </c>
      <c r="F1348" s="47"/>
      <c r="G1348" s="47"/>
      <c r="H1348" s="47">
        <v>124000</v>
      </c>
      <c r="I1348" s="47">
        <v>759500</v>
      </c>
      <c r="J1348" s="47">
        <v>272500</v>
      </c>
      <c r="K1348" s="45"/>
      <c r="L1348" s="5"/>
      <c r="M1348" s="5"/>
      <c r="N1348" s="5"/>
      <c r="O1348" s="5"/>
    </row>
    <row r="1349" spans="1:15" x14ac:dyDescent="0.3">
      <c r="A1349" s="45" t="s">
        <v>72</v>
      </c>
      <c r="B1349" s="45" t="s">
        <v>35</v>
      </c>
      <c r="C1349" s="47">
        <v>12995</v>
      </c>
      <c r="D1349" s="47"/>
      <c r="E1349" s="47">
        <v>726000</v>
      </c>
      <c r="F1349" s="47"/>
      <c r="G1349" s="47"/>
      <c r="H1349" s="47"/>
      <c r="I1349" s="47">
        <v>454400</v>
      </c>
      <c r="J1349" s="47">
        <v>284595</v>
      </c>
      <c r="K1349" s="45"/>
      <c r="L1349" s="5"/>
      <c r="M1349" s="5"/>
      <c r="N1349" s="5"/>
      <c r="O1349" s="5"/>
    </row>
    <row r="1350" spans="1:15" x14ac:dyDescent="0.3">
      <c r="A1350" s="45" t="s">
        <v>72</v>
      </c>
      <c r="B1350" s="45" t="s">
        <v>27</v>
      </c>
      <c r="C1350" s="47">
        <v>6050</v>
      </c>
      <c r="D1350" s="47"/>
      <c r="E1350" s="47">
        <v>736300</v>
      </c>
      <c r="F1350" s="47"/>
      <c r="G1350" s="47"/>
      <c r="H1350" s="47">
        <v>405200</v>
      </c>
      <c r="I1350" s="47">
        <v>338900</v>
      </c>
      <c r="J1350" s="47">
        <v>-1750</v>
      </c>
      <c r="K1350" s="45"/>
      <c r="L1350" s="5"/>
      <c r="M1350" s="5"/>
      <c r="N1350" s="5"/>
      <c r="O1350" s="5"/>
    </row>
    <row r="1351" spans="1:15" x14ac:dyDescent="0.3">
      <c r="A1351" s="45" t="s">
        <v>72</v>
      </c>
      <c r="B1351" s="45" t="s">
        <v>29</v>
      </c>
      <c r="C1351" s="47">
        <v>142400</v>
      </c>
      <c r="D1351" s="47"/>
      <c r="E1351" s="47">
        <v>1014000</v>
      </c>
      <c r="F1351" s="47"/>
      <c r="G1351" s="47"/>
      <c r="H1351" s="47">
        <v>100000</v>
      </c>
      <c r="I1351" s="47">
        <v>790800</v>
      </c>
      <c r="J1351" s="47">
        <v>265600</v>
      </c>
      <c r="K1351" s="45"/>
      <c r="L1351" s="5"/>
      <c r="M1351" s="5"/>
      <c r="N1351" s="5"/>
      <c r="O1351" s="5"/>
    </row>
    <row r="1352" spans="1:15" x14ac:dyDescent="0.3">
      <c r="A1352" s="45" t="s">
        <v>72</v>
      </c>
      <c r="B1352" s="45" t="s">
        <v>49</v>
      </c>
      <c r="C1352" s="47">
        <v>-221251.00072999997</v>
      </c>
      <c r="D1352" s="47"/>
      <c r="E1352" s="47">
        <v>485000</v>
      </c>
      <c r="F1352" s="47"/>
      <c r="G1352" s="47"/>
      <c r="H1352" s="47">
        <v>5000</v>
      </c>
      <c r="I1352" s="47">
        <v>475000</v>
      </c>
      <c r="J1352" s="47">
        <v>-216251.00072999997</v>
      </c>
      <c r="K1352" s="45"/>
      <c r="L1352" s="5"/>
      <c r="M1352" s="5"/>
      <c r="N1352" s="5"/>
      <c r="O1352" s="5"/>
    </row>
    <row r="1353" spans="1:15" x14ac:dyDescent="0.3">
      <c r="A1353" s="45" t="s">
        <v>72</v>
      </c>
      <c r="B1353" s="45" t="s">
        <v>33</v>
      </c>
      <c r="C1353" s="47">
        <v>14225</v>
      </c>
      <c r="D1353" s="47"/>
      <c r="E1353" s="47">
        <v>30000</v>
      </c>
      <c r="F1353" s="47"/>
      <c r="G1353" s="47"/>
      <c r="H1353" s="47"/>
      <c r="I1353" s="47">
        <v>43200</v>
      </c>
      <c r="J1353" s="47">
        <v>1025</v>
      </c>
      <c r="K1353" s="45"/>
      <c r="L1353" s="5"/>
      <c r="M1353" s="5"/>
      <c r="N1353" s="5"/>
      <c r="O1353" s="5"/>
    </row>
    <row r="1354" spans="1:15" x14ac:dyDescent="0.3">
      <c r="A1354" s="65" t="s">
        <v>60</v>
      </c>
      <c r="B1354" s="65"/>
      <c r="C1354" s="66"/>
      <c r="D1354" s="66"/>
      <c r="E1354" s="66"/>
      <c r="F1354" s="66"/>
      <c r="G1354" s="66"/>
      <c r="H1354" s="66"/>
      <c r="I1354" s="66"/>
      <c r="J1354" s="66"/>
      <c r="K1354" s="65"/>
      <c r="L1354" s="5"/>
      <c r="M1354" s="5"/>
      <c r="N1354" s="5"/>
      <c r="O1354" s="5"/>
    </row>
    <row r="1355" spans="1:15" x14ac:dyDescent="0.3">
      <c r="A1355" s="45" t="s">
        <v>72</v>
      </c>
      <c r="B1355" s="45" t="s">
        <v>61</v>
      </c>
      <c r="C1355" s="47">
        <v>494738</v>
      </c>
      <c r="D1355" s="47">
        <v>6000000</v>
      </c>
      <c r="E1355" s="47"/>
      <c r="F1355" s="47"/>
      <c r="G1355" s="47">
        <v>105000</v>
      </c>
      <c r="H1355" s="47">
        <v>5070300</v>
      </c>
      <c r="I1355" s="47">
        <v>574642</v>
      </c>
      <c r="J1355" s="47">
        <v>954796</v>
      </c>
      <c r="K1355" s="45"/>
      <c r="L1355" s="5"/>
      <c r="M1355" s="5"/>
      <c r="N1355" s="5"/>
      <c r="O1355" s="5"/>
    </row>
    <row r="1356" spans="1:15" x14ac:dyDescent="0.3">
      <c r="A1356" s="65" t="s">
        <v>62</v>
      </c>
      <c r="B1356" s="65"/>
      <c r="C1356" s="66"/>
      <c r="D1356" s="66"/>
      <c r="E1356" s="66"/>
      <c r="F1356" s="66"/>
      <c r="G1356" s="66"/>
      <c r="H1356" s="66"/>
      <c r="I1356" s="66"/>
      <c r="J1356" s="66"/>
      <c r="K1356" s="65"/>
      <c r="L1356" s="5"/>
      <c r="M1356" s="5"/>
      <c r="N1356" s="5"/>
      <c r="O1356" s="5"/>
    </row>
    <row r="1357" spans="1:15" x14ac:dyDescent="0.3">
      <c r="A1357" s="45" t="s">
        <v>72</v>
      </c>
      <c r="B1357" s="45" t="s">
        <v>63</v>
      </c>
      <c r="C1357" s="47">
        <v>11363703</v>
      </c>
      <c r="D1357" s="47"/>
      <c r="E1357" s="47"/>
      <c r="F1357" s="47"/>
      <c r="G1357" s="47"/>
      <c r="H1357" s="47">
        <v>10000000</v>
      </c>
      <c r="I1357" s="47">
        <v>657865</v>
      </c>
      <c r="J1357" s="47">
        <v>705838</v>
      </c>
      <c r="K1357" s="45"/>
      <c r="L1357" s="5"/>
      <c r="M1357" s="5"/>
      <c r="N1357" s="5"/>
      <c r="O1357" s="5"/>
    </row>
    <row r="1358" spans="1:15" x14ac:dyDescent="0.3">
      <c r="A1358" s="45" t="s">
        <v>72</v>
      </c>
      <c r="B1358" s="45" t="s">
        <v>64</v>
      </c>
      <c r="C1358" s="47">
        <v>4902843</v>
      </c>
      <c r="D1358" s="47">
        <v>17119140</v>
      </c>
      <c r="E1358" s="47"/>
      <c r="F1358" s="47"/>
      <c r="G1358" s="47"/>
      <c r="H1358" s="47"/>
      <c r="I1358" s="47">
        <v>7147581</v>
      </c>
      <c r="J1358" s="47">
        <v>14874402</v>
      </c>
      <c r="K1358" s="45"/>
      <c r="L1358" s="5"/>
      <c r="M1358" s="5"/>
      <c r="N1358" s="5"/>
      <c r="O1358" s="5"/>
    </row>
    <row r="1359" spans="1:15" x14ac:dyDescent="0.3">
      <c r="A1359" s="45"/>
      <c r="B1359" s="45"/>
      <c r="C1359" s="47"/>
      <c r="D1359" s="47"/>
      <c r="E1359" s="47"/>
      <c r="F1359" s="47"/>
      <c r="G1359" s="47"/>
      <c r="H1359" s="47"/>
      <c r="I1359" s="47"/>
      <c r="J1359" s="47"/>
      <c r="K1359" s="45"/>
      <c r="L1359" s="5"/>
      <c r="M1359" s="5"/>
      <c r="N1359" s="5"/>
      <c r="O1359" s="5"/>
    </row>
    <row r="1360" spans="1:15" x14ac:dyDescent="0.3">
      <c r="A1360" s="45"/>
      <c r="B1360" s="45"/>
      <c r="C1360" s="47"/>
      <c r="D1360" s="47"/>
      <c r="E1360" s="47"/>
      <c r="F1360" s="47"/>
      <c r="G1360" s="47"/>
      <c r="H1360" s="47"/>
      <c r="I1360" s="47">
        <v>12267038</v>
      </c>
      <c r="J1360" s="47">
        <v>17673343.99927</v>
      </c>
      <c r="K1360" s="45" t="b">
        <v>1</v>
      </c>
      <c r="L1360" s="5"/>
      <c r="M1360" s="5"/>
      <c r="N1360" s="5"/>
      <c r="O1360" s="5"/>
    </row>
    <row r="1361" spans="10:15" x14ac:dyDescent="0.3">
      <c r="J1361" s="68" t="b">
        <f>J1360=[11]TABLEAU!$I$16</f>
        <v>1</v>
      </c>
      <c r="L1361" s="5"/>
      <c r="M1361" s="5"/>
      <c r="N1361" s="5"/>
      <c r="O1361" s="5"/>
    </row>
  </sheetData>
  <mergeCells count="133">
    <mergeCell ref="I1100:I1101"/>
    <mergeCell ref="J1101:J1102"/>
    <mergeCell ref="A1100:A1101"/>
    <mergeCell ref="B1100:B1101"/>
    <mergeCell ref="C1100:C1101"/>
    <mergeCell ref="D1100:G1100"/>
    <mergeCell ref="H1100:H1101"/>
    <mergeCell ref="A953:A954"/>
    <mergeCell ref="B953:B954"/>
    <mergeCell ref="C953:C954"/>
    <mergeCell ref="D953:G953"/>
    <mergeCell ref="H953:H954"/>
    <mergeCell ref="I953:I954"/>
    <mergeCell ref="J954:J955"/>
    <mergeCell ref="I1025:I1026"/>
    <mergeCell ref="J1026:J1027"/>
    <mergeCell ref="A1025:A1026"/>
    <mergeCell ref="A1074:A1075"/>
    <mergeCell ref="I1049:I1050"/>
    <mergeCell ref="I1074:I1075"/>
    <mergeCell ref="J1050:J1051"/>
    <mergeCell ref="J1075:J1076"/>
    <mergeCell ref="D1001:G1001"/>
    <mergeCell ref="H1001:H1002"/>
    <mergeCell ref="I1236:I1237"/>
    <mergeCell ref="J1237:J1238"/>
    <mergeCell ref="A1236:A1237"/>
    <mergeCell ref="B1236:B1237"/>
    <mergeCell ref="C1236:C1237"/>
    <mergeCell ref="D1236:G1236"/>
    <mergeCell ref="H1236:H1237"/>
    <mergeCell ref="I1181:I1182"/>
    <mergeCell ref="J1182:J1183"/>
    <mergeCell ref="A1181:A1182"/>
    <mergeCell ref="B1181:B1182"/>
    <mergeCell ref="C1181:C1182"/>
    <mergeCell ref="D1181:G1181"/>
    <mergeCell ref="H1181:H1182"/>
    <mergeCell ref="I1209:I1210"/>
    <mergeCell ref="J1210:J1211"/>
    <mergeCell ref="A1209:A1210"/>
    <mergeCell ref="I1126:I1127"/>
    <mergeCell ref="J1127:J1128"/>
    <mergeCell ref="A1126:A1127"/>
    <mergeCell ref="B1126:B1127"/>
    <mergeCell ref="C1126:C1127"/>
    <mergeCell ref="D1126:G1126"/>
    <mergeCell ref="J1263:J1264"/>
    <mergeCell ref="A1262:A1263"/>
    <mergeCell ref="B1262:B1263"/>
    <mergeCell ref="C1262:C1263"/>
    <mergeCell ref="D1262:G1262"/>
    <mergeCell ref="H1262:H1263"/>
    <mergeCell ref="I1153:I1154"/>
    <mergeCell ref="J1154:J1155"/>
    <mergeCell ref="A1153:A1154"/>
    <mergeCell ref="B1153:B1154"/>
    <mergeCell ref="C1153:C1154"/>
    <mergeCell ref="D1153:G1153"/>
    <mergeCell ref="H1153:H1154"/>
    <mergeCell ref="B1209:B1210"/>
    <mergeCell ref="C1209:C1210"/>
    <mergeCell ref="D1209:G1209"/>
    <mergeCell ref="H1209:H1210"/>
    <mergeCell ref="I1262:I1263"/>
    <mergeCell ref="A1341:A1342"/>
    <mergeCell ref="J1290:J1291"/>
    <mergeCell ref="A1289:A1290"/>
    <mergeCell ref="B1289:B1290"/>
    <mergeCell ref="C1289:C1290"/>
    <mergeCell ref="D1289:G1289"/>
    <mergeCell ref="H1289:H1290"/>
    <mergeCell ref="I1289:I1290"/>
    <mergeCell ref="B1341:B1342"/>
    <mergeCell ref="J1341:K1342"/>
    <mergeCell ref="D1341:G1341"/>
    <mergeCell ref="H1341:H1342"/>
    <mergeCell ref="I1341:I1342"/>
    <mergeCell ref="C1341:C1342"/>
    <mergeCell ref="B1316:B1317"/>
    <mergeCell ref="C1316:C1317"/>
    <mergeCell ref="A1316:A1317"/>
    <mergeCell ref="D1316:G1316"/>
    <mergeCell ref="H1316:H1317"/>
    <mergeCell ref="J1317:J1318"/>
    <mergeCell ref="I1316:I1317"/>
    <mergeCell ref="B1025:B1026"/>
    <mergeCell ref="C1025:C1026"/>
    <mergeCell ref="D1025:G1025"/>
    <mergeCell ref="H1025:H1026"/>
    <mergeCell ref="H1126:H1127"/>
    <mergeCell ref="B1074:B1075"/>
    <mergeCell ref="C1074:C1075"/>
    <mergeCell ref="D1074:G1074"/>
    <mergeCell ref="H1074:H1075"/>
    <mergeCell ref="A928:A929"/>
    <mergeCell ref="B928:B929"/>
    <mergeCell ref="C928:C929"/>
    <mergeCell ref="D928:G928"/>
    <mergeCell ref="H928:H929"/>
    <mergeCell ref="I928:I929"/>
    <mergeCell ref="J929:J930"/>
    <mergeCell ref="A1049:A1050"/>
    <mergeCell ref="B1049:B1050"/>
    <mergeCell ref="C1049:C1050"/>
    <mergeCell ref="D1049:G1049"/>
    <mergeCell ref="H1049:H1050"/>
    <mergeCell ref="I978:I979"/>
    <mergeCell ref="J979:J980"/>
    <mergeCell ref="A978:A979"/>
    <mergeCell ref="B978:B979"/>
    <mergeCell ref="C978:C979"/>
    <mergeCell ref="D978:G978"/>
    <mergeCell ref="H978:H979"/>
    <mergeCell ref="I1001:I1002"/>
    <mergeCell ref="J1002:J1003"/>
    <mergeCell ref="A1001:A1002"/>
    <mergeCell ref="B1001:B1002"/>
    <mergeCell ref="C1001:C1002"/>
    <mergeCell ref="A880:A881"/>
    <mergeCell ref="B880:B881"/>
    <mergeCell ref="C880:C881"/>
    <mergeCell ref="D880:G880"/>
    <mergeCell ref="H880:H881"/>
    <mergeCell ref="I880:I881"/>
    <mergeCell ref="J881:J882"/>
    <mergeCell ref="A833:A834"/>
    <mergeCell ref="B833:B834"/>
    <mergeCell ref="C833:C834"/>
    <mergeCell ref="D833:G833"/>
    <mergeCell ref="H833:H834"/>
    <mergeCell ref="I833:I834"/>
    <mergeCell ref="J834:J8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23"/>
  <sheetViews>
    <sheetView topLeftCell="A3" workbookViewId="0">
      <pane xSplit="1" topLeftCell="AM1" activePane="topRight" state="frozen"/>
      <selection pane="topRight" activeCell="AT10" sqref="AT10"/>
    </sheetView>
  </sheetViews>
  <sheetFormatPr defaultColWidth="11.5546875" defaultRowHeight="14.4" x14ac:dyDescent="0.3"/>
  <cols>
    <col min="1" max="1" width="21.109375" customWidth="1"/>
    <col min="2" max="2" width="23.88671875" bestFit="1" customWidth="1"/>
    <col min="3" max="3" width="16.109375" customWidth="1"/>
    <col min="4" max="4" width="19.109375" customWidth="1"/>
    <col min="5" max="5" width="16.109375" customWidth="1"/>
    <col min="6" max="6" width="19.109375" customWidth="1"/>
    <col min="7" max="7" width="16.109375" customWidth="1"/>
    <col min="8" max="8" width="19.109375" customWidth="1"/>
    <col min="9" max="9" width="16.109375" customWidth="1"/>
    <col min="10" max="10" width="19.109375" customWidth="1"/>
    <col min="11" max="11" width="16.109375" customWidth="1"/>
    <col min="12" max="12" width="19.109375" customWidth="1"/>
    <col min="13" max="13" width="16.109375" customWidth="1"/>
    <col min="14" max="14" width="19.109375" customWidth="1"/>
    <col min="15" max="15" width="16.109375" customWidth="1"/>
    <col min="16" max="16" width="19.109375" customWidth="1"/>
    <col min="17" max="17" width="16.109375" customWidth="1"/>
    <col min="18" max="18" width="19.109375" customWidth="1"/>
    <col min="19" max="19" width="16.109375" customWidth="1"/>
    <col min="20" max="20" width="19.109375" customWidth="1"/>
    <col min="21" max="21" width="16.109375" customWidth="1"/>
    <col min="22" max="22" width="19.109375" customWidth="1"/>
    <col min="23" max="23" width="16.109375" customWidth="1"/>
    <col min="24" max="24" width="19.109375" customWidth="1"/>
    <col min="25" max="25" width="16.109375" customWidth="1"/>
    <col min="26" max="26" width="19.109375" customWidth="1"/>
    <col min="27" max="27" width="16.109375" customWidth="1"/>
    <col min="28" max="28" width="19.109375" customWidth="1"/>
    <col min="29" max="29" width="16.109375" customWidth="1"/>
    <col min="30" max="30" width="19.109375" customWidth="1"/>
    <col min="31" max="31" width="16.109375" customWidth="1"/>
    <col min="32" max="32" width="19.109375" customWidth="1"/>
    <col min="33" max="33" width="16.109375" customWidth="1"/>
    <col min="34" max="34" width="19.109375" customWidth="1"/>
    <col min="35" max="35" width="16.109375" customWidth="1"/>
    <col min="36" max="36" width="19.109375" customWidth="1"/>
    <col min="37" max="37" width="16.109375" customWidth="1"/>
    <col min="38" max="38" width="19.109375" customWidth="1"/>
    <col min="39" max="39" width="16.109375" customWidth="1"/>
    <col min="40" max="40" width="24.109375" customWidth="1"/>
    <col min="41" max="41" width="21" customWidth="1"/>
    <col min="42" max="42" width="24.109375" customWidth="1"/>
    <col min="43" max="43" width="21" customWidth="1"/>
    <col min="44" max="44" width="16.44140625" customWidth="1"/>
    <col min="45" max="45" width="13.33203125" customWidth="1"/>
  </cols>
  <sheetData>
    <row r="3" spans="1:47" x14ac:dyDescent="0.3">
      <c r="B3" s="1" t="s">
        <v>563</v>
      </c>
    </row>
    <row r="4" spans="1:47" x14ac:dyDescent="0.3">
      <c r="B4" t="s">
        <v>515</v>
      </c>
      <c r="D4" t="s">
        <v>386</v>
      </c>
      <c r="F4" t="s">
        <v>230</v>
      </c>
      <c r="H4" t="s">
        <v>388</v>
      </c>
      <c r="J4" t="s">
        <v>384</v>
      </c>
      <c r="L4" t="s">
        <v>268</v>
      </c>
      <c r="N4" t="s">
        <v>318</v>
      </c>
      <c r="P4" t="s">
        <v>281</v>
      </c>
      <c r="R4" t="s">
        <v>239</v>
      </c>
      <c r="T4" t="s">
        <v>170</v>
      </c>
      <c r="V4" t="s">
        <v>174</v>
      </c>
      <c r="X4" t="s">
        <v>3</v>
      </c>
      <c r="Z4" t="s">
        <v>171</v>
      </c>
      <c r="AB4" t="s">
        <v>213</v>
      </c>
      <c r="AD4" t="s">
        <v>34</v>
      </c>
      <c r="AF4" t="s">
        <v>413</v>
      </c>
      <c r="AH4" t="s">
        <v>466</v>
      </c>
      <c r="AJ4" t="s">
        <v>75</v>
      </c>
      <c r="AL4" t="s">
        <v>513</v>
      </c>
      <c r="AN4" t="s">
        <v>656</v>
      </c>
      <c r="AO4" t="s">
        <v>658</v>
      </c>
    </row>
    <row r="5" spans="1:47" x14ac:dyDescent="0.3">
      <c r="A5" s="1" t="s">
        <v>564</v>
      </c>
      <c r="B5" t="s">
        <v>657</v>
      </c>
      <c r="C5" t="s">
        <v>659</v>
      </c>
      <c r="D5" t="s">
        <v>657</v>
      </c>
      <c r="E5" t="s">
        <v>659</v>
      </c>
      <c r="F5" t="s">
        <v>657</v>
      </c>
      <c r="G5" t="s">
        <v>659</v>
      </c>
      <c r="H5" t="s">
        <v>657</v>
      </c>
      <c r="I5" t="s">
        <v>659</v>
      </c>
      <c r="J5" t="s">
        <v>657</v>
      </c>
      <c r="K5" t="s">
        <v>659</v>
      </c>
      <c r="L5" t="s">
        <v>657</v>
      </c>
      <c r="M5" t="s">
        <v>659</v>
      </c>
      <c r="N5" t="s">
        <v>657</v>
      </c>
      <c r="O5" t="s">
        <v>659</v>
      </c>
      <c r="P5" t="s">
        <v>657</v>
      </c>
      <c r="Q5" t="s">
        <v>659</v>
      </c>
      <c r="R5" t="s">
        <v>657</v>
      </c>
      <c r="S5" t="s">
        <v>659</v>
      </c>
      <c r="T5" t="s">
        <v>657</v>
      </c>
      <c r="U5" t="s">
        <v>659</v>
      </c>
      <c r="V5" t="s">
        <v>657</v>
      </c>
      <c r="W5" t="s">
        <v>659</v>
      </c>
      <c r="X5" t="s">
        <v>657</v>
      </c>
      <c r="Y5" t="s">
        <v>659</v>
      </c>
      <c r="Z5" t="s">
        <v>657</v>
      </c>
      <c r="AA5" t="s">
        <v>659</v>
      </c>
      <c r="AB5" t="s">
        <v>657</v>
      </c>
      <c r="AC5" t="s">
        <v>659</v>
      </c>
      <c r="AD5" t="s">
        <v>657</v>
      </c>
      <c r="AE5" t="s">
        <v>659</v>
      </c>
      <c r="AF5" t="s">
        <v>657</v>
      </c>
      <c r="AG5" t="s">
        <v>659</v>
      </c>
      <c r="AH5" t="s">
        <v>657</v>
      </c>
      <c r="AI5" t="s">
        <v>659</v>
      </c>
      <c r="AJ5" t="s">
        <v>657</v>
      </c>
      <c r="AK5" t="s">
        <v>659</v>
      </c>
      <c r="AL5" t="s">
        <v>657</v>
      </c>
      <c r="AM5" t="s">
        <v>659</v>
      </c>
      <c r="AR5" s="45" t="s">
        <v>42</v>
      </c>
      <c r="AS5" s="45" t="s">
        <v>43</v>
      </c>
      <c r="AT5" s="45" t="s">
        <v>44</v>
      </c>
      <c r="AU5" s="45" t="s">
        <v>45</v>
      </c>
    </row>
    <row r="6" spans="1:47" x14ac:dyDescent="0.3">
      <c r="A6" s="2" t="s">
        <v>24</v>
      </c>
      <c r="B6" s="244"/>
      <c r="C6" s="244"/>
      <c r="D6" s="244"/>
      <c r="E6" s="244">
        <v>35235</v>
      </c>
      <c r="F6" s="244"/>
      <c r="G6" s="244"/>
      <c r="H6" s="244"/>
      <c r="I6" s="244"/>
      <c r="J6" s="244">
        <v>17622093</v>
      </c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>
        <v>25049328</v>
      </c>
      <c r="AL6" s="244"/>
      <c r="AM6" s="244"/>
      <c r="AN6" s="244">
        <v>17622093</v>
      </c>
      <c r="AO6" s="244">
        <v>25084563</v>
      </c>
      <c r="AQ6" s="181" t="str">
        <f>A6</f>
        <v>BCI</v>
      </c>
      <c r="AR6" s="47">
        <v>0</v>
      </c>
      <c r="AS6" s="47">
        <f>AK6</f>
        <v>25049328</v>
      </c>
      <c r="AT6" s="47">
        <f>AO6-AK6</f>
        <v>35235</v>
      </c>
      <c r="AU6" s="47">
        <f>AN6</f>
        <v>17622093</v>
      </c>
    </row>
    <row r="7" spans="1:47" x14ac:dyDescent="0.3">
      <c r="A7" s="2" t="s">
        <v>148</v>
      </c>
      <c r="B7" s="244"/>
      <c r="C7" s="244"/>
      <c r="D7" s="244"/>
      <c r="E7" s="244">
        <v>26591</v>
      </c>
      <c r="F7" s="244"/>
      <c r="G7" s="244"/>
      <c r="H7" s="244"/>
      <c r="I7" s="244">
        <v>1340000</v>
      </c>
      <c r="J7" s="244"/>
      <c r="K7" s="244"/>
      <c r="L7" s="244"/>
      <c r="M7" s="244"/>
      <c r="N7" s="244"/>
      <c r="O7" s="244"/>
      <c r="P7" s="244"/>
      <c r="Q7" s="244">
        <v>200000</v>
      </c>
      <c r="R7" s="244"/>
      <c r="S7" s="244"/>
      <c r="T7" s="244"/>
      <c r="U7" s="244">
        <v>2339833</v>
      </c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>
        <v>19049328</v>
      </c>
      <c r="AK7" s="244">
        <v>2000000</v>
      </c>
      <c r="AL7" s="244"/>
      <c r="AM7" s="244"/>
      <c r="AN7" s="244">
        <v>19049328</v>
      </c>
      <c r="AO7" s="244">
        <v>5906424</v>
      </c>
      <c r="AQ7" s="181" t="str">
        <f t="shared" ref="AQ7:AQ21" si="0">A7</f>
        <v>BCI-Sous Compte</v>
      </c>
      <c r="AR7" s="47">
        <f t="shared" ref="AR7:AR20" si="1">AN7</f>
        <v>19049328</v>
      </c>
      <c r="AS7" s="47">
        <f t="shared" ref="AS7:AS20" si="2">AK7</f>
        <v>2000000</v>
      </c>
      <c r="AT7" s="47">
        <f t="shared" ref="AT7:AT20" si="3">AO7-AK7</f>
        <v>3906424</v>
      </c>
      <c r="AU7" s="47">
        <f>+L9</f>
        <v>0</v>
      </c>
    </row>
    <row r="8" spans="1:47" x14ac:dyDescent="0.3">
      <c r="A8" s="2" t="s">
        <v>25</v>
      </c>
      <c r="B8" s="244"/>
      <c r="C8" s="244"/>
      <c r="D8" s="244"/>
      <c r="E8" s="244"/>
      <c r="F8" s="244"/>
      <c r="G8" s="244">
        <v>445000</v>
      </c>
      <c r="H8" s="244"/>
      <c r="I8" s="244"/>
      <c r="J8" s="244"/>
      <c r="K8" s="244"/>
      <c r="L8" s="244"/>
      <c r="M8" s="244">
        <v>45050</v>
      </c>
      <c r="N8" s="244"/>
      <c r="O8" s="244"/>
      <c r="P8" s="244"/>
      <c r="Q8" s="244">
        <v>103000</v>
      </c>
      <c r="R8" s="244"/>
      <c r="S8" s="244">
        <v>246350</v>
      </c>
      <c r="T8" s="244"/>
      <c r="U8" s="244">
        <v>1410910</v>
      </c>
      <c r="V8" s="244"/>
      <c r="W8" s="244">
        <v>12750</v>
      </c>
      <c r="X8" s="244"/>
      <c r="Y8" s="244">
        <v>125625</v>
      </c>
      <c r="Z8" s="244"/>
      <c r="AA8" s="244">
        <v>351000</v>
      </c>
      <c r="AB8" s="244"/>
      <c r="AC8" s="244">
        <v>31635</v>
      </c>
      <c r="AD8" s="244"/>
      <c r="AE8" s="244"/>
      <c r="AF8" s="244"/>
      <c r="AG8" s="244"/>
      <c r="AH8" s="244"/>
      <c r="AI8" s="244"/>
      <c r="AJ8" s="244">
        <v>8454305</v>
      </c>
      <c r="AK8" s="244">
        <v>5159824</v>
      </c>
      <c r="AL8" s="244"/>
      <c r="AM8" s="244"/>
      <c r="AN8" s="244">
        <v>8454305</v>
      </c>
      <c r="AO8" s="244">
        <v>7931144</v>
      </c>
      <c r="AQ8" s="181" t="str">
        <f t="shared" si="0"/>
        <v>Caisse</v>
      </c>
      <c r="AR8" s="47">
        <f t="shared" si="1"/>
        <v>8454305</v>
      </c>
      <c r="AS8" s="47">
        <f t="shared" si="2"/>
        <v>5159824</v>
      </c>
      <c r="AT8" s="47">
        <f t="shared" si="3"/>
        <v>2771320</v>
      </c>
      <c r="AU8" s="47">
        <v>0</v>
      </c>
    </row>
    <row r="9" spans="1:47" x14ac:dyDescent="0.3">
      <c r="A9" s="2" t="s">
        <v>47</v>
      </c>
      <c r="B9" s="244"/>
      <c r="C9" s="244"/>
      <c r="D9" s="244"/>
      <c r="E9" s="244"/>
      <c r="F9" s="244"/>
      <c r="G9" s="244">
        <v>190000</v>
      </c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>
        <v>23350</v>
      </c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>
        <v>53900</v>
      </c>
      <c r="AF9" s="244"/>
      <c r="AG9" s="244">
        <v>224850</v>
      </c>
      <c r="AH9" s="244"/>
      <c r="AI9" s="244"/>
      <c r="AJ9" s="244">
        <v>555500</v>
      </c>
      <c r="AK9" s="244"/>
      <c r="AL9" s="244"/>
      <c r="AM9" s="244"/>
      <c r="AN9" s="244">
        <v>555500</v>
      </c>
      <c r="AO9" s="244">
        <v>492100</v>
      </c>
      <c r="AQ9" s="181" t="str">
        <f t="shared" si="0"/>
        <v>Crépin</v>
      </c>
      <c r="AR9" s="47">
        <f t="shared" si="1"/>
        <v>555500</v>
      </c>
      <c r="AS9" s="47">
        <f t="shared" si="2"/>
        <v>0</v>
      </c>
      <c r="AT9" s="47">
        <f t="shared" si="3"/>
        <v>492100</v>
      </c>
      <c r="AU9" s="47">
        <v>0</v>
      </c>
    </row>
    <row r="10" spans="1:47" x14ac:dyDescent="0.3">
      <c r="A10" s="2" t="s">
        <v>270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>
        <v>107400</v>
      </c>
      <c r="AF10" s="244"/>
      <c r="AG10" s="244">
        <v>240000</v>
      </c>
      <c r="AH10" s="244"/>
      <c r="AI10" s="244">
        <v>16000</v>
      </c>
      <c r="AJ10" s="244">
        <v>402500</v>
      </c>
      <c r="AK10" s="244"/>
      <c r="AL10" s="244"/>
      <c r="AM10" s="244"/>
      <c r="AN10" s="244">
        <v>402500</v>
      </c>
      <c r="AO10" s="244">
        <v>363400</v>
      </c>
      <c r="AQ10" s="181" t="str">
        <f t="shared" si="0"/>
        <v>D58</v>
      </c>
      <c r="AR10" s="47">
        <f t="shared" si="1"/>
        <v>402500</v>
      </c>
      <c r="AS10" s="47">
        <f t="shared" si="2"/>
        <v>0</v>
      </c>
      <c r="AT10" s="47">
        <f t="shared" si="3"/>
        <v>363400</v>
      </c>
      <c r="AU10" s="47">
        <v>0</v>
      </c>
    </row>
    <row r="11" spans="1:47" x14ac:dyDescent="0.3">
      <c r="A11" s="2" t="s">
        <v>303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>
        <v>94855</v>
      </c>
      <c r="P11" s="244"/>
      <c r="Q11" s="244"/>
      <c r="R11" s="244"/>
      <c r="S11" s="244">
        <v>26500</v>
      </c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>
        <v>91000</v>
      </c>
      <c r="AF11" s="244"/>
      <c r="AG11" s="244">
        <v>345000</v>
      </c>
      <c r="AH11" s="244"/>
      <c r="AI11" s="244"/>
      <c r="AJ11" s="244">
        <v>705000</v>
      </c>
      <c r="AK11" s="244">
        <v>23500</v>
      </c>
      <c r="AL11" s="244"/>
      <c r="AM11" s="244"/>
      <c r="AN11" s="244">
        <v>705000</v>
      </c>
      <c r="AO11" s="244">
        <v>580855</v>
      </c>
      <c r="AQ11" s="181" t="str">
        <f t="shared" si="0"/>
        <v>Donald-Roméo</v>
      </c>
      <c r="AR11" s="47">
        <f t="shared" si="1"/>
        <v>705000</v>
      </c>
      <c r="AS11" s="47">
        <f t="shared" si="2"/>
        <v>23500</v>
      </c>
      <c r="AT11" s="47">
        <f t="shared" si="3"/>
        <v>557355</v>
      </c>
      <c r="AU11" s="47">
        <v>0</v>
      </c>
    </row>
    <row r="12" spans="1:47" x14ac:dyDescent="0.3">
      <c r="A12" s="2" t="s">
        <v>427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>
        <v>38000</v>
      </c>
      <c r="AF12" s="244"/>
      <c r="AG12" s="244">
        <v>120000</v>
      </c>
      <c r="AH12" s="244"/>
      <c r="AI12" s="244"/>
      <c r="AJ12" s="244">
        <v>234000</v>
      </c>
      <c r="AK12" s="244"/>
      <c r="AL12" s="244"/>
      <c r="AM12" s="244"/>
      <c r="AN12" s="244">
        <v>234000</v>
      </c>
      <c r="AO12" s="244">
        <v>158000</v>
      </c>
      <c r="AQ12" s="181" t="str">
        <f t="shared" si="0"/>
        <v>DOVI</v>
      </c>
      <c r="AR12" s="47">
        <f t="shared" si="1"/>
        <v>234000</v>
      </c>
      <c r="AS12" s="47">
        <f t="shared" si="2"/>
        <v>0</v>
      </c>
      <c r="AT12" s="47">
        <f t="shared" si="3"/>
        <v>158000</v>
      </c>
      <c r="AU12" s="47">
        <v>0</v>
      </c>
    </row>
    <row r="13" spans="1:47" x14ac:dyDescent="0.3">
      <c r="A13" s="2" t="s">
        <v>31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>
        <v>400</v>
      </c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>
        <v>91000</v>
      </c>
      <c r="AF13" s="244"/>
      <c r="AG13" s="244">
        <v>180000</v>
      </c>
      <c r="AH13" s="244"/>
      <c r="AI13" s="244"/>
      <c r="AJ13" s="244">
        <v>322000</v>
      </c>
      <c r="AK13" s="244"/>
      <c r="AL13" s="244"/>
      <c r="AM13" s="244"/>
      <c r="AN13" s="244">
        <v>322000</v>
      </c>
      <c r="AO13" s="244">
        <v>271400</v>
      </c>
      <c r="AQ13" s="181" t="str">
        <f t="shared" si="0"/>
        <v>Evariste</v>
      </c>
      <c r="AR13" s="47">
        <f t="shared" si="1"/>
        <v>322000</v>
      </c>
      <c r="AS13" s="47">
        <f t="shared" si="2"/>
        <v>0</v>
      </c>
      <c r="AT13" s="47">
        <f t="shared" si="3"/>
        <v>271400</v>
      </c>
      <c r="AU13" s="47">
        <v>0</v>
      </c>
    </row>
    <row r="14" spans="1:47" x14ac:dyDescent="0.3">
      <c r="A14" s="2" t="s">
        <v>143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>
        <v>65500</v>
      </c>
      <c r="AF14" s="244"/>
      <c r="AG14" s="244">
        <v>134400</v>
      </c>
      <c r="AH14" s="244"/>
      <c r="AI14" s="244"/>
      <c r="AJ14" s="244">
        <v>829000</v>
      </c>
      <c r="AK14" s="244">
        <v>375000</v>
      </c>
      <c r="AL14" s="244"/>
      <c r="AM14" s="244"/>
      <c r="AN14" s="244">
        <v>829000</v>
      </c>
      <c r="AO14" s="244">
        <v>574900</v>
      </c>
      <c r="AQ14" s="181" t="str">
        <f t="shared" si="0"/>
        <v>Grace</v>
      </c>
      <c r="AR14" s="47">
        <f t="shared" si="1"/>
        <v>829000</v>
      </c>
      <c r="AS14" s="47">
        <f t="shared" si="2"/>
        <v>375000</v>
      </c>
      <c r="AT14" s="47">
        <f t="shared" si="3"/>
        <v>199900</v>
      </c>
      <c r="AU14" s="47">
        <v>0</v>
      </c>
    </row>
    <row r="15" spans="1:47" x14ac:dyDescent="0.3">
      <c r="A15" s="2" t="s">
        <v>197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>
        <v>13500</v>
      </c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>
        <v>20300</v>
      </c>
      <c r="AF15" s="244"/>
      <c r="AG15" s="244">
        <v>45000</v>
      </c>
      <c r="AH15" s="244"/>
      <c r="AI15" s="244"/>
      <c r="AJ15" s="244">
        <v>38000</v>
      </c>
      <c r="AK15" s="244">
        <v>43805</v>
      </c>
      <c r="AL15" s="244"/>
      <c r="AM15" s="244"/>
      <c r="AN15" s="244">
        <v>38000</v>
      </c>
      <c r="AO15" s="244">
        <v>122605</v>
      </c>
      <c r="AQ15" s="181" t="str">
        <f t="shared" si="0"/>
        <v>Hurielle</v>
      </c>
      <c r="AR15" s="47">
        <f t="shared" si="1"/>
        <v>38000</v>
      </c>
      <c r="AS15" s="47">
        <f t="shared" si="2"/>
        <v>43805</v>
      </c>
      <c r="AT15" s="47">
        <f t="shared" si="3"/>
        <v>78800</v>
      </c>
      <c r="AU15" s="47">
        <v>0</v>
      </c>
    </row>
    <row r="16" spans="1:47" x14ac:dyDescent="0.3">
      <c r="A16" s="2" t="s">
        <v>93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>
        <v>153000</v>
      </c>
      <c r="AF16" s="244"/>
      <c r="AG16" s="244">
        <v>122300</v>
      </c>
      <c r="AH16" s="244"/>
      <c r="AI16" s="244"/>
      <c r="AJ16" s="244">
        <v>529000</v>
      </c>
      <c r="AK16" s="244">
        <v>20500</v>
      </c>
      <c r="AL16" s="244"/>
      <c r="AM16" s="244"/>
      <c r="AN16" s="244">
        <v>529000</v>
      </c>
      <c r="AO16" s="244">
        <v>295800</v>
      </c>
      <c r="AQ16" s="181" t="str">
        <f t="shared" si="0"/>
        <v>Merveille</v>
      </c>
      <c r="AR16" s="47">
        <f t="shared" si="1"/>
        <v>529000</v>
      </c>
      <c r="AS16" s="47">
        <f t="shared" si="2"/>
        <v>20500</v>
      </c>
      <c r="AT16" s="47">
        <f t="shared" si="3"/>
        <v>275300</v>
      </c>
      <c r="AU16" s="47">
        <v>0</v>
      </c>
    </row>
    <row r="17" spans="1:47" x14ac:dyDescent="0.3">
      <c r="A17" s="2" t="s">
        <v>304</v>
      </c>
      <c r="B17" s="244"/>
      <c r="C17" s="244">
        <v>15000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>
        <v>28275</v>
      </c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>
        <v>110500</v>
      </c>
      <c r="AF17" s="244"/>
      <c r="AG17" s="244">
        <v>214000</v>
      </c>
      <c r="AH17" s="244"/>
      <c r="AI17" s="244"/>
      <c r="AJ17" s="244">
        <v>245000</v>
      </c>
      <c r="AK17" s="244">
        <v>40000</v>
      </c>
      <c r="AL17" s="244">
        <v>176000</v>
      </c>
      <c r="AM17" s="244"/>
      <c r="AN17" s="244">
        <v>421000</v>
      </c>
      <c r="AO17" s="244">
        <v>407775</v>
      </c>
      <c r="AQ17" s="181" t="str">
        <f t="shared" si="0"/>
        <v>Oracle</v>
      </c>
      <c r="AR17" s="47">
        <f t="shared" si="1"/>
        <v>421000</v>
      </c>
      <c r="AS17" s="47">
        <f>AK17</f>
        <v>40000</v>
      </c>
      <c r="AT17" s="47">
        <f t="shared" si="3"/>
        <v>367775</v>
      </c>
      <c r="AU17" s="47">
        <v>0</v>
      </c>
    </row>
    <row r="18" spans="1:47" x14ac:dyDescent="0.3">
      <c r="A18" s="2" t="s">
        <v>29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>
        <v>164000</v>
      </c>
      <c r="AF18" s="244"/>
      <c r="AG18" s="244">
        <v>565000</v>
      </c>
      <c r="AH18" s="244"/>
      <c r="AI18" s="244">
        <v>81000</v>
      </c>
      <c r="AJ18" s="244">
        <v>1048000</v>
      </c>
      <c r="AK18" s="244">
        <v>295000</v>
      </c>
      <c r="AL18" s="244"/>
      <c r="AM18" s="244"/>
      <c r="AN18" s="244">
        <v>1048000</v>
      </c>
      <c r="AO18" s="244">
        <v>1105000</v>
      </c>
      <c r="AQ18" s="181" t="str">
        <f t="shared" si="0"/>
        <v>P29</v>
      </c>
      <c r="AR18" s="47">
        <f t="shared" si="1"/>
        <v>1048000</v>
      </c>
      <c r="AS18" s="47">
        <f t="shared" si="2"/>
        <v>295000</v>
      </c>
      <c r="AT18" s="47">
        <f t="shared" si="3"/>
        <v>810000</v>
      </c>
      <c r="AU18" s="47">
        <v>0</v>
      </c>
    </row>
    <row r="19" spans="1:47" x14ac:dyDescent="0.3">
      <c r="A19" s="2" t="s">
        <v>269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>
        <v>182500</v>
      </c>
      <c r="AF19" s="244"/>
      <c r="AG19" s="244">
        <v>515000</v>
      </c>
      <c r="AH19" s="244"/>
      <c r="AI19" s="244">
        <v>45600</v>
      </c>
      <c r="AJ19" s="244">
        <v>574000</v>
      </c>
      <c r="AK19" s="244">
        <v>150000</v>
      </c>
      <c r="AL19" s="244"/>
      <c r="AM19" s="244"/>
      <c r="AN19" s="244">
        <v>574000</v>
      </c>
      <c r="AO19" s="244">
        <v>893100</v>
      </c>
      <c r="AQ19" s="181" t="str">
        <f t="shared" si="0"/>
        <v>T73</v>
      </c>
      <c r="AR19" s="47">
        <f t="shared" si="1"/>
        <v>574000</v>
      </c>
      <c r="AS19" s="47">
        <f t="shared" si="2"/>
        <v>150000</v>
      </c>
      <c r="AT19" s="47">
        <f t="shared" si="3"/>
        <v>743100</v>
      </c>
      <c r="AU19" s="47">
        <v>0</v>
      </c>
    </row>
    <row r="20" spans="1:47" x14ac:dyDescent="0.3">
      <c r="A20" s="2" t="s">
        <v>113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>
        <v>10000</v>
      </c>
      <c r="AF20" s="244"/>
      <c r="AG20" s="244"/>
      <c r="AH20" s="244"/>
      <c r="AI20" s="244"/>
      <c r="AJ20" s="244">
        <v>25324</v>
      </c>
      <c r="AK20" s="244">
        <v>30000</v>
      </c>
      <c r="AL20" s="244"/>
      <c r="AM20" s="244"/>
      <c r="AN20" s="244">
        <v>25324</v>
      </c>
      <c r="AO20" s="244">
        <v>40000</v>
      </c>
      <c r="AQ20" s="181" t="str">
        <f t="shared" si="0"/>
        <v>Tiffany</v>
      </c>
      <c r="AR20" s="47">
        <f t="shared" si="1"/>
        <v>25324</v>
      </c>
      <c r="AS20" s="47">
        <f t="shared" si="2"/>
        <v>30000</v>
      </c>
      <c r="AT20" s="47">
        <f t="shared" si="3"/>
        <v>10000</v>
      </c>
      <c r="AU20" s="47">
        <v>0</v>
      </c>
    </row>
    <row r="21" spans="1:47" x14ac:dyDescent="0.3">
      <c r="A21" s="2" t="s">
        <v>565</v>
      </c>
      <c r="B21" s="244"/>
      <c r="C21" s="244">
        <v>15000</v>
      </c>
      <c r="D21" s="244"/>
      <c r="E21" s="244">
        <v>61826</v>
      </c>
      <c r="F21" s="244"/>
      <c r="G21" s="244">
        <v>635000</v>
      </c>
      <c r="H21" s="244"/>
      <c r="I21" s="244">
        <v>1340000</v>
      </c>
      <c r="J21" s="244">
        <v>17622093</v>
      </c>
      <c r="K21" s="244"/>
      <c r="L21" s="244"/>
      <c r="M21" s="244">
        <v>45050</v>
      </c>
      <c r="N21" s="244"/>
      <c r="O21" s="244">
        <v>136630</v>
      </c>
      <c r="P21" s="244"/>
      <c r="Q21" s="244">
        <v>303000</v>
      </c>
      <c r="R21" s="244"/>
      <c r="S21" s="244">
        <v>296600</v>
      </c>
      <c r="T21" s="244"/>
      <c r="U21" s="244">
        <v>3750743</v>
      </c>
      <c r="V21" s="244"/>
      <c r="W21" s="244">
        <v>12750</v>
      </c>
      <c r="X21" s="244"/>
      <c r="Y21" s="244">
        <v>125625</v>
      </c>
      <c r="Z21" s="244"/>
      <c r="AA21" s="244">
        <v>351000</v>
      </c>
      <c r="AB21" s="244"/>
      <c r="AC21" s="244">
        <v>31635</v>
      </c>
      <c r="AD21" s="244"/>
      <c r="AE21" s="244">
        <v>1087100</v>
      </c>
      <c r="AF21" s="244"/>
      <c r="AG21" s="244">
        <v>2705550</v>
      </c>
      <c r="AH21" s="244"/>
      <c r="AI21" s="244">
        <v>142600</v>
      </c>
      <c r="AJ21" s="244">
        <v>33010957</v>
      </c>
      <c r="AK21" s="244">
        <v>33186957</v>
      </c>
      <c r="AL21" s="244">
        <v>176000</v>
      </c>
      <c r="AM21" s="244"/>
      <c r="AN21" s="244">
        <v>50809050</v>
      </c>
      <c r="AO21" s="244">
        <v>44227066</v>
      </c>
      <c r="AQ21" s="181" t="str">
        <f t="shared" si="0"/>
        <v>Total général</v>
      </c>
      <c r="AR21" s="47">
        <f>+SUM(AR6:AR20)</f>
        <v>33186957</v>
      </c>
      <c r="AS21" s="47">
        <f>+SUM(AS6:AS20)</f>
        <v>33186957</v>
      </c>
      <c r="AT21" s="47">
        <f>+SUM(AT6:AT20)</f>
        <v>11040109</v>
      </c>
      <c r="AU21" s="47">
        <f t="shared" ref="AU21" si="4">+SUM(AU6:AU20)</f>
        <v>17622093</v>
      </c>
    </row>
    <row r="23" spans="1:47" x14ac:dyDescent="0.3">
      <c r="AR23" s="356">
        <f>+AS21-AR21</f>
        <v>0</v>
      </c>
      <c r="AS23" s="356" t="b">
        <f>AT21=GETPIVOTDATA("Spent",Donateur!$A$3)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workbookViewId="0">
      <selection activeCell="F16" sqref="F16"/>
    </sheetView>
  </sheetViews>
  <sheetFormatPr defaultColWidth="11.5546875" defaultRowHeight="14.4" x14ac:dyDescent="0.3"/>
  <cols>
    <col min="1" max="1" width="21" customWidth="1"/>
    <col min="2" max="2" width="16.109375" customWidth="1"/>
    <col min="3" max="3" width="8" customWidth="1"/>
    <col min="4" max="4" width="12.5546875" bestFit="1" customWidth="1"/>
  </cols>
  <sheetData>
    <row r="3" spans="1:4" x14ac:dyDescent="0.3">
      <c r="A3" s="1" t="s">
        <v>564</v>
      </c>
      <c r="B3" t="s">
        <v>659</v>
      </c>
    </row>
    <row r="4" spans="1:4" x14ac:dyDescent="0.3">
      <c r="A4" s="2" t="s">
        <v>102</v>
      </c>
      <c r="B4" s="244">
        <v>6686119</v>
      </c>
    </row>
    <row r="5" spans="1:4" x14ac:dyDescent="0.3">
      <c r="A5" s="2" t="s">
        <v>290</v>
      </c>
      <c r="B5" s="244">
        <v>4353990</v>
      </c>
    </row>
    <row r="6" spans="1:4" x14ac:dyDescent="0.3">
      <c r="A6" s="2" t="s">
        <v>565</v>
      </c>
      <c r="B6" s="244">
        <v>11040109</v>
      </c>
    </row>
    <row r="13" spans="1:4" x14ac:dyDescent="0.3">
      <c r="A13" s="1" t="s">
        <v>659</v>
      </c>
      <c r="B13" s="1" t="s">
        <v>563</v>
      </c>
    </row>
    <row r="14" spans="1:4" x14ac:dyDescent="0.3">
      <c r="A14" s="1" t="s">
        <v>564</v>
      </c>
      <c r="B14" t="s">
        <v>102</v>
      </c>
      <c r="C14" t="s">
        <v>290</v>
      </c>
      <c r="D14" t="s">
        <v>565</v>
      </c>
    </row>
    <row r="15" spans="1:4" x14ac:dyDescent="0.3">
      <c r="A15" s="2" t="s">
        <v>198</v>
      </c>
      <c r="B15" s="244"/>
      <c r="C15" s="244">
        <v>2087390</v>
      </c>
      <c r="D15" s="244">
        <v>2087390</v>
      </c>
    </row>
    <row r="16" spans="1:4" x14ac:dyDescent="0.3">
      <c r="A16" s="2" t="s">
        <v>199</v>
      </c>
      <c r="B16" s="244">
        <v>6686119</v>
      </c>
      <c r="C16" s="244">
        <v>2266600</v>
      </c>
      <c r="D16" s="244">
        <v>8952719</v>
      </c>
    </row>
    <row r="17" spans="1:4" x14ac:dyDescent="0.3">
      <c r="A17" s="2" t="s">
        <v>565</v>
      </c>
      <c r="B17" s="244">
        <v>6686119</v>
      </c>
      <c r="C17" s="244">
        <v>4353990</v>
      </c>
      <c r="D17" s="244">
        <v>11040109</v>
      </c>
    </row>
    <row r="19" spans="1:4" x14ac:dyDescent="0.3">
      <c r="C19" s="179">
        <f>(B16*100%)/D16</f>
        <v>0.74682551747686932</v>
      </c>
      <c r="D19" s="180" t="s">
        <v>200</v>
      </c>
    </row>
    <row r="20" spans="1:4" x14ac:dyDescent="0.3">
      <c r="C20" s="179">
        <f>((C16)*100%)/D16</f>
        <v>0.25317448252313068</v>
      </c>
      <c r="D20" s="180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6"/>
  <sheetViews>
    <sheetView tabSelected="1" zoomScale="85" zoomScaleNormal="85" workbookViewId="0">
      <pane ySplit="12" topLeftCell="A160" activePane="bottomLeft" state="frozen"/>
      <selection pane="bottomLeft" activeCell="G6" sqref="G6"/>
    </sheetView>
  </sheetViews>
  <sheetFormatPr defaultColWidth="11.5546875" defaultRowHeight="14.4" x14ac:dyDescent="0.3"/>
  <cols>
    <col min="1" max="1" width="13.44140625" customWidth="1"/>
    <col min="2" max="2" width="105.88671875" customWidth="1"/>
    <col min="3" max="3" width="21" customWidth="1"/>
    <col min="4" max="4" width="13.88671875" customWidth="1"/>
    <col min="5" max="5" width="16.6640625" customWidth="1"/>
    <col min="6" max="6" width="13.5546875" customWidth="1"/>
    <col min="7" max="7" width="18.33203125" customWidth="1"/>
    <col min="8" max="8" width="17.88671875" customWidth="1"/>
    <col min="9" max="9" width="12.109375" customWidth="1"/>
    <col min="10" max="10" width="16.44140625" customWidth="1"/>
    <col min="13" max="13" width="20.109375" customWidth="1"/>
    <col min="14" max="14" width="11.44140625" customWidth="1"/>
    <col min="16" max="16" width="11.44140625" style="211"/>
  </cols>
  <sheetData>
    <row r="1" spans="1:18" s="159" customFormat="1" ht="26.25" customHeight="1" x14ac:dyDescent="0.3">
      <c r="A1" s="394" t="s">
        <v>327</v>
      </c>
      <c r="B1" s="394"/>
      <c r="C1" s="394"/>
      <c r="D1" s="394"/>
      <c r="E1" s="395"/>
      <c r="F1" s="396"/>
      <c r="G1" s="394"/>
      <c r="H1" s="394"/>
      <c r="I1" s="397"/>
      <c r="J1" s="394"/>
      <c r="K1" s="394"/>
      <c r="L1" s="394"/>
      <c r="M1" s="394"/>
      <c r="N1" s="394"/>
      <c r="O1" s="398"/>
      <c r="P1" s="217"/>
    </row>
    <row r="2" spans="1:18" s="157" customFormat="1" ht="13.8" x14ac:dyDescent="0.25">
      <c r="A2" s="189"/>
      <c r="B2" s="197" t="s">
        <v>282</v>
      </c>
      <c r="C2" s="198">
        <v>17011568</v>
      </c>
      <c r="D2" s="192"/>
      <c r="E2" s="193"/>
      <c r="F2" s="199"/>
      <c r="G2" s="200"/>
      <c r="I2" s="191"/>
      <c r="J2" s="191"/>
      <c r="N2" s="192"/>
      <c r="O2" s="201"/>
      <c r="P2" s="218"/>
    </row>
    <row r="3" spans="1:18" s="157" customFormat="1" ht="13.8" x14ac:dyDescent="0.25">
      <c r="A3" s="189"/>
      <c r="C3" s="192"/>
      <c r="D3" s="192"/>
      <c r="E3" s="193"/>
      <c r="F3" s="199"/>
      <c r="G3" s="200"/>
      <c r="I3" s="191"/>
      <c r="J3" s="191"/>
      <c r="N3" s="192"/>
      <c r="O3" s="201"/>
      <c r="P3" s="218"/>
    </row>
    <row r="4" spans="1:18" s="157" customFormat="1" ht="13.8" x14ac:dyDescent="0.25">
      <c r="A4" s="189"/>
      <c r="B4" s="202" t="s">
        <v>6</v>
      </c>
      <c r="C4" s="203" t="s">
        <v>7</v>
      </c>
      <c r="D4" s="192"/>
      <c r="E4" s="193"/>
      <c r="F4" s="199"/>
      <c r="G4" s="200"/>
      <c r="I4" s="58"/>
      <c r="J4" s="191"/>
      <c r="N4" s="192"/>
      <c r="O4" s="201"/>
      <c r="P4" s="218"/>
    </row>
    <row r="5" spans="1:18" s="157" customFormat="1" ht="13.8" x14ac:dyDescent="0.25">
      <c r="A5" s="189"/>
      <c r="B5" s="157" t="s">
        <v>8</v>
      </c>
      <c r="C5" s="204">
        <f>SUM(E13:E1062)</f>
        <v>50809050</v>
      </c>
      <c r="D5" s="192"/>
      <c r="E5" s="205" t="s">
        <v>100</v>
      </c>
      <c r="F5" s="199"/>
      <c r="G5" s="200"/>
      <c r="H5" s="194"/>
      <c r="I5" s="191"/>
      <c r="J5" s="191"/>
      <c r="N5" s="192"/>
      <c r="O5" s="201"/>
      <c r="P5" s="218"/>
    </row>
    <row r="6" spans="1:18" s="157" customFormat="1" ht="13.8" x14ac:dyDescent="0.25">
      <c r="A6" s="189"/>
      <c r="B6" s="157" t="s">
        <v>9</v>
      </c>
      <c r="C6" s="204">
        <f>SUM(F13:F1063)</f>
        <v>44227066</v>
      </c>
      <c r="D6" s="192"/>
      <c r="E6" s="206">
        <f>+C7-Récapitulatif!I20</f>
        <v>0</v>
      </c>
      <c r="F6" s="199"/>
      <c r="G6" s="200"/>
      <c r="I6" s="191"/>
      <c r="J6" s="207"/>
      <c r="K6" s="195"/>
      <c r="N6" s="192"/>
      <c r="O6" s="201"/>
      <c r="P6" s="218"/>
    </row>
    <row r="7" spans="1:18" s="157" customFormat="1" ht="13.8" x14ac:dyDescent="0.25">
      <c r="A7" s="189"/>
      <c r="B7" s="208" t="s">
        <v>10</v>
      </c>
      <c r="C7" s="209">
        <f>C2+C5-C6</f>
        <v>23593552</v>
      </c>
      <c r="D7" s="210">
        <f>C7-Récapitulatif!I20</f>
        <v>0</v>
      </c>
      <c r="E7" s="193"/>
      <c r="F7" s="199"/>
      <c r="G7" s="200"/>
      <c r="I7" s="191"/>
      <c r="J7" s="191"/>
      <c r="K7" s="195"/>
      <c r="N7" s="192"/>
      <c r="O7" s="201"/>
      <c r="P7" s="218"/>
    </row>
    <row r="8" spans="1:18" s="157" customFormat="1" ht="13.8" x14ac:dyDescent="0.25">
      <c r="A8" s="189"/>
      <c r="C8" s="192"/>
      <c r="D8" s="192"/>
      <c r="E8" s="193"/>
      <c r="F8" s="199"/>
      <c r="G8" s="200"/>
      <c r="I8" s="191"/>
      <c r="J8" s="191"/>
      <c r="N8" s="192"/>
      <c r="O8" s="201"/>
      <c r="P8" s="218"/>
    </row>
    <row r="9" spans="1:18" s="190" customFormat="1" ht="13.8" x14ac:dyDescent="0.25">
      <c r="P9" s="219"/>
    </row>
    <row r="10" spans="1:18" s="190" customFormat="1" ht="13.8" x14ac:dyDescent="0.25">
      <c r="P10" s="219"/>
    </row>
    <row r="11" spans="1:18" s="190" customFormat="1" ht="13.8" x14ac:dyDescent="0.25">
      <c r="P11" s="219"/>
    </row>
    <row r="12" spans="1:18" s="190" customFormat="1" ht="13.8" x14ac:dyDescent="0.25">
      <c r="A12" s="279" t="s">
        <v>0</v>
      </c>
      <c r="B12" s="280" t="s">
        <v>11</v>
      </c>
      <c r="C12" s="281" t="s">
        <v>12</v>
      </c>
      <c r="D12" s="281" t="s">
        <v>13</v>
      </c>
      <c r="E12" s="282" t="s">
        <v>14</v>
      </c>
      <c r="F12" s="283" t="s">
        <v>15</v>
      </c>
      <c r="G12" s="284" t="s">
        <v>16</v>
      </c>
      <c r="H12" s="280" t="s">
        <v>17</v>
      </c>
      <c r="I12" s="285" t="s">
        <v>18</v>
      </c>
      <c r="J12" s="285" t="s">
        <v>19</v>
      </c>
      <c r="K12" s="280" t="s">
        <v>20</v>
      </c>
      <c r="L12" s="280" t="s">
        <v>21</v>
      </c>
      <c r="M12" s="280" t="s">
        <v>81</v>
      </c>
      <c r="N12" s="281" t="s">
        <v>23</v>
      </c>
      <c r="O12" s="280" t="s">
        <v>22</v>
      </c>
      <c r="P12" s="218"/>
      <c r="Q12" s="157"/>
      <c r="R12" s="157"/>
    </row>
    <row r="13" spans="1:18" s="225" customFormat="1" ht="13.8" x14ac:dyDescent="0.25">
      <c r="A13" s="220">
        <v>45078</v>
      </c>
      <c r="B13" s="221" t="s">
        <v>328</v>
      </c>
      <c r="C13" s="221"/>
      <c r="D13" s="221"/>
      <c r="E13" s="222"/>
      <c r="F13" s="286"/>
      <c r="G13" s="223">
        <f>+C2</f>
        <v>17011568</v>
      </c>
      <c r="H13" s="221"/>
      <c r="I13" s="221"/>
      <c r="J13" s="221"/>
      <c r="K13" s="221"/>
      <c r="L13" s="221"/>
      <c r="M13" s="221"/>
      <c r="N13" s="221"/>
      <c r="O13" s="221"/>
      <c r="P13" s="224"/>
      <c r="Q13" s="221"/>
      <c r="R13" s="221"/>
    </row>
    <row r="14" spans="1:18" s="225" customFormat="1" ht="13.8" x14ac:dyDescent="0.25">
      <c r="A14" s="245">
        <v>45078</v>
      </c>
      <c r="B14" s="225" t="s">
        <v>329</v>
      </c>
      <c r="C14" s="242" t="s">
        <v>75</v>
      </c>
      <c r="E14" s="215"/>
      <c r="F14" s="287">
        <v>38000</v>
      </c>
      <c r="G14" s="215">
        <f>+G13+E14-F14</f>
        <v>16973568</v>
      </c>
      <c r="H14" s="225" t="s">
        <v>25</v>
      </c>
      <c r="K14" s="242"/>
      <c r="L14" s="242"/>
      <c r="M14" s="246"/>
      <c r="N14" s="242"/>
      <c r="P14" s="247"/>
      <c r="Q14" s="248"/>
      <c r="R14" s="248"/>
    </row>
    <row r="15" spans="1:18" s="225" customFormat="1" ht="13.8" x14ac:dyDescent="0.25">
      <c r="A15" s="245">
        <v>45078</v>
      </c>
      <c r="B15" s="242" t="s">
        <v>303</v>
      </c>
      <c r="C15" s="242" t="s">
        <v>75</v>
      </c>
      <c r="F15" s="288">
        <v>38000</v>
      </c>
      <c r="G15" s="215">
        <f>+G14+E15-F15</f>
        <v>16935568</v>
      </c>
      <c r="H15" s="242" t="s">
        <v>25</v>
      </c>
      <c r="J15" s="242"/>
      <c r="K15" s="242"/>
      <c r="L15" s="242"/>
      <c r="N15" s="242"/>
      <c r="P15" s="247"/>
      <c r="Q15" s="215"/>
      <c r="R15" s="248"/>
    </row>
    <row r="16" spans="1:18" s="225" customFormat="1" ht="13.8" x14ac:dyDescent="0.25">
      <c r="A16" s="249">
        <v>45078</v>
      </c>
      <c r="B16" s="250" t="s">
        <v>47</v>
      </c>
      <c r="C16" s="242" t="s">
        <v>75</v>
      </c>
      <c r="F16" s="287">
        <v>28000</v>
      </c>
      <c r="G16" s="215">
        <f>+G15+E16-F16</f>
        <v>16907568</v>
      </c>
      <c r="H16" s="225" t="s">
        <v>25</v>
      </c>
      <c r="J16" s="242"/>
      <c r="K16" s="242"/>
      <c r="L16" s="242"/>
      <c r="N16" s="242"/>
      <c r="P16" s="247"/>
      <c r="Q16" s="215"/>
      <c r="R16" s="248"/>
    </row>
    <row r="17" spans="1:18" s="225" customFormat="1" ht="13.8" x14ac:dyDescent="0.25">
      <c r="A17" s="241">
        <v>45078</v>
      </c>
      <c r="B17" s="225" t="s">
        <v>330</v>
      </c>
      <c r="C17" s="225" t="s">
        <v>281</v>
      </c>
      <c r="D17" s="225" t="s">
        <v>154</v>
      </c>
      <c r="F17" s="287">
        <v>27000</v>
      </c>
      <c r="G17" s="215">
        <f>+G16+E17-F17</f>
        <v>16880568</v>
      </c>
      <c r="H17" s="215" t="s">
        <v>25</v>
      </c>
      <c r="I17" s="225" t="s">
        <v>307</v>
      </c>
      <c r="J17" s="225" t="s">
        <v>102</v>
      </c>
      <c r="K17" s="225" t="s">
        <v>199</v>
      </c>
      <c r="L17" s="225" t="s">
        <v>536</v>
      </c>
      <c r="M17" s="225" t="s">
        <v>570</v>
      </c>
      <c r="N17" s="225" t="s">
        <v>541</v>
      </c>
      <c r="P17" s="247"/>
      <c r="Q17" s="215"/>
      <c r="R17" s="248"/>
    </row>
    <row r="18" spans="1:18" s="225" customFormat="1" ht="13.8" x14ac:dyDescent="0.25">
      <c r="A18" s="241">
        <v>45078</v>
      </c>
      <c r="B18" s="250" t="s">
        <v>331</v>
      </c>
      <c r="C18" s="225" t="s">
        <v>213</v>
      </c>
      <c r="D18" s="225" t="s">
        <v>302</v>
      </c>
      <c r="F18" s="288">
        <f>131000*0.03</f>
        <v>3930</v>
      </c>
      <c r="G18" s="215">
        <f>+G17+E18-F18</f>
        <v>16876638</v>
      </c>
      <c r="H18" s="225" t="s">
        <v>25</v>
      </c>
      <c r="I18" s="225" t="s">
        <v>307</v>
      </c>
      <c r="J18" s="225" t="s">
        <v>102</v>
      </c>
      <c r="K18" s="225" t="s">
        <v>199</v>
      </c>
      <c r="L18" s="225" t="s">
        <v>536</v>
      </c>
      <c r="M18" s="225" t="s">
        <v>571</v>
      </c>
      <c r="N18" s="225" t="s">
        <v>537</v>
      </c>
      <c r="P18" s="247"/>
      <c r="Q18" s="215"/>
      <c r="R18" s="248"/>
    </row>
    <row r="19" spans="1:18" s="225" customFormat="1" ht="13.8" x14ac:dyDescent="0.25">
      <c r="A19" s="249">
        <v>45078</v>
      </c>
      <c r="B19" s="250" t="s">
        <v>93</v>
      </c>
      <c r="C19" s="242" t="s">
        <v>75</v>
      </c>
      <c r="D19" s="232"/>
      <c r="F19" s="287">
        <v>20000</v>
      </c>
      <c r="G19" s="215">
        <f>+G18+E19-F19</f>
        <v>16856638</v>
      </c>
      <c r="H19" s="252" t="s">
        <v>25</v>
      </c>
      <c r="K19" s="248"/>
      <c r="M19" s="246"/>
      <c r="P19" s="247"/>
      <c r="Q19" s="215"/>
      <c r="R19" s="248"/>
    </row>
    <row r="20" spans="1:18" s="225" customFormat="1" ht="13.8" x14ac:dyDescent="0.25">
      <c r="A20" s="245">
        <v>45078</v>
      </c>
      <c r="B20" s="359" t="s">
        <v>399</v>
      </c>
      <c r="C20" s="242" t="s">
        <v>75</v>
      </c>
      <c r="D20" s="287"/>
      <c r="E20" s="225">
        <v>23500</v>
      </c>
      <c r="G20" s="215">
        <f>+G19+E20-F20</f>
        <v>16880138</v>
      </c>
      <c r="H20" s="225" t="s">
        <v>47</v>
      </c>
      <c r="I20" s="242"/>
      <c r="L20" s="242"/>
      <c r="M20" s="246"/>
      <c r="N20" s="242"/>
      <c r="P20" s="247"/>
      <c r="Q20" s="215"/>
      <c r="R20" s="248"/>
    </row>
    <row r="21" spans="1:18" s="225" customFormat="1" ht="13.8" x14ac:dyDescent="0.25">
      <c r="A21" s="241">
        <v>45078</v>
      </c>
      <c r="B21" s="287" t="s">
        <v>400</v>
      </c>
      <c r="C21" s="242" t="s">
        <v>75</v>
      </c>
      <c r="D21" s="288"/>
      <c r="E21" s="225">
        <v>28000</v>
      </c>
      <c r="F21" s="256"/>
      <c r="G21" s="215">
        <f>+G20+E21-F21</f>
        <v>16908138</v>
      </c>
      <c r="H21" s="225" t="s">
        <v>47</v>
      </c>
      <c r="I21" s="242"/>
      <c r="L21" s="242"/>
      <c r="M21" s="246"/>
      <c r="N21" s="242"/>
      <c r="P21" s="247"/>
      <c r="Q21" s="215"/>
      <c r="R21" s="248"/>
    </row>
    <row r="22" spans="1:18" s="225" customFormat="1" ht="13.8" x14ac:dyDescent="0.25">
      <c r="A22" s="241">
        <v>45078</v>
      </c>
      <c r="B22" s="242" t="s">
        <v>314</v>
      </c>
      <c r="C22" s="242" t="s">
        <v>75</v>
      </c>
      <c r="E22" s="242">
        <v>20000</v>
      </c>
      <c r="F22" s="242"/>
      <c r="G22" s="215">
        <f>+G21+E22-F22</f>
        <v>16928138</v>
      </c>
      <c r="H22" s="242" t="s">
        <v>93</v>
      </c>
      <c r="K22" s="248"/>
      <c r="N22" s="242"/>
      <c r="O22" s="242"/>
      <c r="P22" s="247"/>
      <c r="Q22" s="215"/>
      <c r="R22" s="248"/>
    </row>
    <row r="23" spans="1:18" s="225" customFormat="1" ht="13.8" x14ac:dyDescent="0.25">
      <c r="A23" s="241">
        <v>45078</v>
      </c>
      <c r="B23" s="225" t="s">
        <v>472</v>
      </c>
      <c r="C23" s="242" t="s">
        <v>75</v>
      </c>
      <c r="D23" s="242"/>
      <c r="F23" s="225">
        <v>23500</v>
      </c>
      <c r="G23" s="215">
        <f>+G22+E23-F23</f>
        <v>16904638</v>
      </c>
      <c r="H23" s="248" t="s">
        <v>303</v>
      </c>
      <c r="K23" s="248"/>
      <c r="N23" s="242"/>
      <c r="P23" s="247"/>
      <c r="Q23" s="215"/>
      <c r="R23" s="248"/>
    </row>
    <row r="24" spans="1:18" s="225" customFormat="1" ht="13.8" x14ac:dyDescent="0.25">
      <c r="A24" s="241">
        <v>45078</v>
      </c>
      <c r="B24" s="288" t="s">
        <v>568</v>
      </c>
      <c r="C24" s="225" t="s">
        <v>239</v>
      </c>
      <c r="D24" s="225" t="s">
        <v>302</v>
      </c>
      <c r="F24" s="225">
        <v>23350</v>
      </c>
      <c r="G24" s="215">
        <f>+G23+E24-F24</f>
        <v>16881288</v>
      </c>
      <c r="H24" s="225" t="s">
        <v>47</v>
      </c>
      <c r="I24" s="225" t="s">
        <v>307</v>
      </c>
      <c r="J24" s="225" t="s">
        <v>290</v>
      </c>
      <c r="K24" s="225" t="s">
        <v>198</v>
      </c>
      <c r="L24" s="242" t="s">
        <v>536</v>
      </c>
      <c r="M24" s="246"/>
      <c r="N24" s="242"/>
      <c r="P24" s="247"/>
      <c r="Q24" s="215"/>
      <c r="R24" s="248"/>
    </row>
    <row r="25" spans="1:18" s="225" customFormat="1" ht="13.8" x14ac:dyDescent="0.25">
      <c r="A25" s="241">
        <v>45078</v>
      </c>
      <c r="B25" s="242" t="s">
        <v>447</v>
      </c>
      <c r="C25" s="242" t="s">
        <v>413</v>
      </c>
      <c r="D25" s="225" t="s">
        <v>4</v>
      </c>
      <c r="E25" s="242"/>
      <c r="F25" s="242">
        <v>40000</v>
      </c>
      <c r="G25" s="215">
        <f>+G24+E25-F25</f>
        <v>16841288</v>
      </c>
      <c r="H25" s="242" t="s">
        <v>269</v>
      </c>
      <c r="I25" s="225" t="s">
        <v>309</v>
      </c>
      <c r="J25" s="242" t="s">
        <v>102</v>
      </c>
      <c r="K25" s="242" t="s">
        <v>199</v>
      </c>
      <c r="L25" s="242" t="s">
        <v>536</v>
      </c>
      <c r="M25" s="225" t="s">
        <v>572</v>
      </c>
      <c r="N25" s="242" t="s">
        <v>558</v>
      </c>
      <c r="O25" s="242"/>
      <c r="P25" s="247"/>
      <c r="Q25" s="215"/>
      <c r="R25" s="248"/>
    </row>
    <row r="26" spans="1:18" s="225" customFormat="1" ht="13.8" x14ac:dyDescent="0.25">
      <c r="A26" s="241">
        <v>45078</v>
      </c>
      <c r="B26" s="225" t="s">
        <v>448</v>
      </c>
      <c r="C26" s="242" t="s">
        <v>34</v>
      </c>
      <c r="D26" s="225" t="s">
        <v>4</v>
      </c>
      <c r="E26" s="215"/>
      <c r="F26" s="215">
        <v>15000</v>
      </c>
      <c r="G26" s="215">
        <f>+G25+E26-F26</f>
        <v>16826288</v>
      </c>
      <c r="H26" s="225" t="s">
        <v>269</v>
      </c>
      <c r="I26" s="225" t="s">
        <v>307</v>
      </c>
      <c r="J26" s="242" t="s">
        <v>290</v>
      </c>
      <c r="K26" s="320" t="s">
        <v>199</v>
      </c>
      <c r="L26" s="320" t="s">
        <v>536</v>
      </c>
      <c r="M26" s="225" t="s">
        <v>573</v>
      </c>
      <c r="N26" s="242" t="s">
        <v>554</v>
      </c>
      <c r="P26" s="254"/>
      <c r="Q26" s="248"/>
      <c r="R26" s="248"/>
    </row>
    <row r="27" spans="1:18" s="225" customFormat="1" ht="13.8" x14ac:dyDescent="0.25">
      <c r="A27" s="249">
        <v>45079</v>
      </c>
      <c r="B27" s="250" t="s">
        <v>669</v>
      </c>
      <c r="C27" s="242" t="s">
        <v>230</v>
      </c>
      <c r="D27" s="242" t="s">
        <v>155</v>
      </c>
      <c r="F27" s="287">
        <v>150000</v>
      </c>
      <c r="G27" s="215">
        <f>+G26+E27-F27</f>
        <v>16676288</v>
      </c>
      <c r="H27" s="252" t="s">
        <v>25</v>
      </c>
      <c r="I27" s="225" t="s">
        <v>309</v>
      </c>
      <c r="J27" s="225" t="s">
        <v>290</v>
      </c>
      <c r="K27" s="248" t="s">
        <v>198</v>
      </c>
      <c r="L27" s="225" t="s">
        <v>536</v>
      </c>
      <c r="M27" s="246"/>
      <c r="P27" s="247"/>
      <c r="Q27" s="215"/>
      <c r="R27" s="248"/>
    </row>
    <row r="28" spans="1:18" s="225" customFormat="1" ht="13.8" x14ac:dyDescent="0.25">
      <c r="A28" s="249">
        <v>45079</v>
      </c>
      <c r="B28" s="250" t="s">
        <v>332</v>
      </c>
      <c r="C28" s="242" t="s">
        <v>75</v>
      </c>
      <c r="D28" s="232"/>
      <c r="E28" s="225">
        <v>30000</v>
      </c>
      <c r="F28" s="287"/>
      <c r="G28" s="215">
        <f>+G27+E28-F28</f>
        <v>16706288</v>
      </c>
      <c r="H28" s="252" t="s">
        <v>25</v>
      </c>
      <c r="K28" s="248"/>
      <c r="M28" s="246"/>
      <c r="P28" s="247"/>
      <c r="Q28" s="215"/>
      <c r="R28" s="248"/>
    </row>
    <row r="29" spans="1:18" s="225" customFormat="1" ht="13.8" x14ac:dyDescent="0.25">
      <c r="A29" s="241">
        <v>45079</v>
      </c>
      <c r="B29" s="242" t="s">
        <v>317</v>
      </c>
      <c r="C29" s="242" t="s">
        <v>75</v>
      </c>
      <c r="E29" s="242">
        <v>38000</v>
      </c>
      <c r="F29" s="252"/>
      <c r="G29" s="215">
        <f>+G28+E29-F29</f>
        <v>16744288</v>
      </c>
      <c r="H29" s="242" t="s">
        <v>197</v>
      </c>
      <c r="M29" s="246"/>
      <c r="N29" s="242"/>
      <c r="O29" s="242"/>
      <c r="P29" s="247"/>
      <c r="Q29" s="215"/>
      <c r="R29" s="248"/>
    </row>
    <row r="30" spans="1:18" s="225" customFormat="1" ht="13.8" x14ac:dyDescent="0.25">
      <c r="A30" s="241">
        <v>45079</v>
      </c>
      <c r="B30" s="288" t="s">
        <v>469</v>
      </c>
      <c r="C30" s="242" t="s">
        <v>75</v>
      </c>
      <c r="D30" s="232"/>
      <c r="F30" s="225">
        <v>30000</v>
      </c>
      <c r="G30" s="215">
        <f>+G29+E30-F30</f>
        <v>16714288</v>
      </c>
      <c r="H30" s="225" t="s">
        <v>113</v>
      </c>
      <c r="L30" s="242"/>
      <c r="M30" s="246"/>
      <c r="N30" s="242"/>
      <c r="P30" s="247"/>
      <c r="Q30" s="215"/>
      <c r="R30" s="248"/>
    </row>
    <row r="31" spans="1:18" s="225" customFormat="1" ht="13.8" x14ac:dyDescent="0.25">
      <c r="A31" s="245">
        <v>45079</v>
      </c>
      <c r="B31" s="225" t="s">
        <v>471</v>
      </c>
      <c r="C31" s="242" t="s">
        <v>75</v>
      </c>
      <c r="E31" s="225">
        <v>25324</v>
      </c>
      <c r="F31" s="292"/>
      <c r="G31" s="215">
        <f>+G30+E31-F31</f>
        <v>16739612</v>
      </c>
      <c r="H31" s="225" t="s">
        <v>113</v>
      </c>
      <c r="J31" s="242"/>
      <c r="P31" s="247"/>
      <c r="Q31" s="215"/>
      <c r="R31" s="248"/>
    </row>
    <row r="32" spans="1:18" s="225" customFormat="1" ht="13.8" x14ac:dyDescent="0.25">
      <c r="A32" s="241">
        <v>45079</v>
      </c>
      <c r="B32" s="242" t="s">
        <v>319</v>
      </c>
      <c r="C32" s="242" t="s">
        <v>75</v>
      </c>
      <c r="E32" s="225">
        <v>38000</v>
      </c>
      <c r="G32" s="215">
        <f>+G31+E32-F32</f>
        <v>16777612</v>
      </c>
      <c r="H32" s="248" t="s">
        <v>303</v>
      </c>
      <c r="P32" s="247"/>
      <c r="Q32" s="215"/>
      <c r="R32" s="248"/>
    </row>
    <row r="33" spans="1:18" s="225" customFormat="1" ht="13.8" x14ac:dyDescent="0.25">
      <c r="A33" s="245">
        <v>45079</v>
      </c>
      <c r="B33" s="225" t="s">
        <v>432</v>
      </c>
      <c r="C33" s="225" t="s">
        <v>318</v>
      </c>
      <c r="D33" s="225" t="s">
        <v>154</v>
      </c>
      <c r="E33" s="215"/>
      <c r="F33" s="215">
        <v>13500</v>
      </c>
      <c r="G33" s="215">
        <f>+G32+E33-F33</f>
        <v>16764112</v>
      </c>
      <c r="H33" s="225" t="s">
        <v>197</v>
      </c>
      <c r="I33" s="225" t="s">
        <v>309</v>
      </c>
      <c r="J33" s="225" t="s">
        <v>290</v>
      </c>
      <c r="K33" s="225" t="s">
        <v>198</v>
      </c>
      <c r="L33" s="225" t="s">
        <v>536</v>
      </c>
      <c r="P33" s="247"/>
      <c r="Q33" s="215"/>
      <c r="R33" s="248"/>
    </row>
    <row r="34" spans="1:18" s="225" customFormat="1" ht="13.8" x14ac:dyDescent="0.25">
      <c r="A34" s="255">
        <v>45080</v>
      </c>
      <c r="B34" s="288" t="s">
        <v>401</v>
      </c>
      <c r="C34" s="225" t="s">
        <v>313</v>
      </c>
      <c r="D34" s="287" t="s">
        <v>2</v>
      </c>
      <c r="F34" s="225">
        <v>45000</v>
      </c>
      <c r="G34" s="215">
        <f>+G33+E34-F34</f>
        <v>16719112</v>
      </c>
      <c r="H34" s="225" t="s">
        <v>47</v>
      </c>
      <c r="I34" s="225" t="s">
        <v>307</v>
      </c>
      <c r="J34" s="242" t="s">
        <v>102</v>
      </c>
      <c r="K34" s="242" t="s">
        <v>199</v>
      </c>
      <c r="L34" s="242" t="s">
        <v>536</v>
      </c>
      <c r="M34" s="225" t="s">
        <v>574</v>
      </c>
      <c r="N34" s="242" t="s">
        <v>558</v>
      </c>
      <c r="P34" s="247"/>
      <c r="Q34" s="248"/>
      <c r="R34" s="248"/>
    </row>
    <row r="35" spans="1:18" s="225" customFormat="1" ht="13.8" x14ac:dyDescent="0.25">
      <c r="A35" s="255">
        <v>45080</v>
      </c>
      <c r="B35" s="242" t="s">
        <v>402</v>
      </c>
      <c r="C35" s="225" t="s">
        <v>34</v>
      </c>
      <c r="D35" s="287" t="s">
        <v>2</v>
      </c>
      <c r="F35" s="288">
        <v>10000</v>
      </c>
      <c r="G35" s="215">
        <f>+G34+E35-F35</f>
        <v>16709112</v>
      </c>
      <c r="H35" s="225" t="s">
        <v>47</v>
      </c>
      <c r="I35" s="225" t="s">
        <v>307</v>
      </c>
      <c r="J35" s="242" t="s">
        <v>290</v>
      </c>
      <c r="K35" s="320" t="s">
        <v>199</v>
      </c>
      <c r="L35" s="320" t="s">
        <v>536</v>
      </c>
      <c r="M35" s="225" t="s">
        <v>575</v>
      </c>
      <c r="N35" s="242" t="s">
        <v>554</v>
      </c>
      <c r="P35" s="247"/>
      <c r="Q35" s="248"/>
      <c r="R35" s="248"/>
    </row>
    <row r="36" spans="1:18" s="225" customFormat="1" ht="13.8" x14ac:dyDescent="0.25">
      <c r="A36" s="241">
        <v>45080</v>
      </c>
      <c r="B36" s="225" t="s">
        <v>433</v>
      </c>
      <c r="C36" s="242" t="s">
        <v>313</v>
      </c>
      <c r="D36" s="225" t="s">
        <v>154</v>
      </c>
      <c r="F36" s="225">
        <v>45000</v>
      </c>
      <c r="G36" s="215">
        <f>+G35+E36-F36</f>
        <v>16664112</v>
      </c>
      <c r="H36" s="225" t="s">
        <v>197</v>
      </c>
      <c r="I36" s="225" t="s">
        <v>307</v>
      </c>
      <c r="J36" s="242" t="s">
        <v>102</v>
      </c>
      <c r="K36" s="242" t="s">
        <v>199</v>
      </c>
      <c r="L36" s="242" t="s">
        <v>536</v>
      </c>
      <c r="M36" s="225" t="s">
        <v>576</v>
      </c>
      <c r="N36" s="242" t="s">
        <v>558</v>
      </c>
      <c r="P36" s="247"/>
      <c r="Q36" s="248"/>
      <c r="R36" s="248"/>
    </row>
    <row r="37" spans="1:18" s="225" customFormat="1" ht="13.8" x14ac:dyDescent="0.25">
      <c r="A37" s="241">
        <v>45080</v>
      </c>
      <c r="B37" s="250" t="s">
        <v>434</v>
      </c>
      <c r="C37" s="232" t="s">
        <v>34</v>
      </c>
      <c r="D37" s="225" t="s">
        <v>154</v>
      </c>
      <c r="F37" s="215">
        <v>10000</v>
      </c>
      <c r="G37" s="215">
        <f>+G36+E37-F37</f>
        <v>16654112</v>
      </c>
      <c r="H37" s="252" t="s">
        <v>197</v>
      </c>
      <c r="I37" s="225" t="s">
        <v>307</v>
      </c>
      <c r="J37" s="242" t="s">
        <v>290</v>
      </c>
      <c r="K37" s="320" t="s">
        <v>199</v>
      </c>
      <c r="L37" s="320" t="s">
        <v>536</v>
      </c>
      <c r="M37" s="225" t="s">
        <v>577</v>
      </c>
      <c r="N37" s="242" t="s">
        <v>554</v>
      </c>
      <c r="P37" s="247"/>
      <c r="Q37" s="248"/>
      <c r="R37" s="248"/>
    </row>
    <row r="38" spans="1:18" s="225" customFormat="1" ht="13.8" x14ac:dyDescent="0.25">
      <c r="A38" s="241">
        <v>45080</v>
      </c>
      <c r="B38" s="225" t="s">
        <v>670</v>
      </c>
      <c r="C38" s="242" t="s">
        <v>34</v>
      </c>
      <c r="D38" s="225" t="s">
        <v>154</v>
      </c>
      <c r="E38" s="215"/>
      <c r="F38" s="215">
        <v>10000</v>
      </c>
      <c r="G38" s="215">
        <f>+G37+E38-F38</f>
        <v>16644112</v>
      </c>
      <c r="H38" s="248" t="s">
        <v>303</v>
      </c>
      <c r="I38" s="225" t="s">
        <v>307</v>
      </c>
      <c r="J38" s="242" t="s">
        <v>290</v>
      </c>
      <c r="K38" s="320" t="s">
        <v>199</v>
      </c>
      <c r="L38" s="320" t="s">
        <v>536</v>
      </c>
      <c r="M38" s="225" t="s">
        <v>578</v>
      </c>
      <c r="N38" s="242" t="s">
        <v>554</v>
      </c>
      <c r="P38" s="247"/>
      <c r="Q38" s="248"/>
      <c r="R38" s="248"/>
    </row>
    <row r="39" spans="1:18" s="225" customFormat="1" ht="13.8" x14ac:dyDescent="0.25">
      <c r="A39" s="241">
        <v>45080</v>
      </c>
      <c r="B39" s="242" t="s">
        <v>562</v>
      </c>
      <c r="C39" s="225" t="s">
        <v>313</v>
      </c>
      <c r="D39" s="225" t="s">
        <v>154</v>
      </c>
      <c r="F39" s="225">
        <v>45000</v>
      </c>
      <c r="G39" s="215">
        <f>+G38+E39-F39</f>
        <v>16599112</v>
      </c>
      <c r="H39" s="248" t="s">
        <v>303</v>
      </c>
      <c r="I39" s="225" t="s">
        <v>307</v>
      </c>
      <c r="J39" s="242" t="s">
        <v>102</v>
      </c>
      <c r="K39" s="242" t="s">
        <v>199</v>
      </c>
      <c r="L39" s="242" t="s">
        <v>536</v>
      </c>
      <c r="M39" s="225" t="s">
        <v>579</v>
      </c>
      <c r="N39" s="242" t="s">
        <v>558</v>
      </c>
      <c r="O39" s="234"/>
      <c r="P39" s="247"/>
      <c r="Q39" s="248"/>
      <c r="R39" s="248"/>
    </row>
    <row r="40" spans="1:18" s="225" customFormat="1" ht="13.8" x14ac:dyDescent="0.25">
      <c r="A40" s="249">
        <v>45082</v>
      </c>
      <c r="B40" s="250" t="s">
        <v>338</v>
      </c>
      <c r="C40" s="242" t="s">
        <v>170</v>
      </c>
      <c r="D40" s="225" t="s">
        <v>4</v>
      </c>
      <c r="F40" s="287">
        <v>240000</v>
      </c>
      <c r="G40" s="215">
        <f>+G39+E40-F40</f>
        <v>16359112</v>
      </c>
      <c r="H40" s="252" t="s">
        <v>25</v>
      </c>
      <c r="I40" s="225" t="s">
        <v>307</v>
      </c>
      <c r="J40" s="225" t="s">
        <v>102</v>
      </c>
      <c r="K40" s="242" t="s">
        <v>199</v>
      </c>
      <c r="L40" s="242" t="s">
        <v>536</v>
      </c>
      <c r="M40" s="225" t="s">
        <v>580</v>
      </c>
      <c r="N40" s="242" t="s">
        <v>547</v>
      </c>
      <c r="P40" s="247"/>
      <c r="Q40" s="248"/>
      <c r="R40" s="248"/>
    </row>
    <row r="41" spans="1:18" s="225" customFormat="1" ht="13.8" x14ac:dyDescent="0.25">
      <c r="A41" s="249">
        <v>45082</v>
      </c>
      <c r="B41" s="250" t="s">
        <v>334</v>
      </c>
      <c r="C41" s="242" t="s">
        <v>75</v>
      </c>
      <c r="D41" s="232"/>
      <c r="E41" s="225">
        <v>40000</v>
      </c>
      <c r="F41" s="289"/>
      <c r="G41" s="215">
        <f>+G40+E41-F41</f>
        <v>16399112</v>
      </c>
      <c r="H41" s="252" t="s">
        <v>25</v>
      </c>
      <c r="K41" s="248"/>
      <c r="M41" s="246"/>
      <c r="P41" s="247"/>
      <c r="Q41" s="248"/>
      <c r="R41" s="248"/>
    </row>
    <row r="42" spans="1:18" s="225" customFormat="1" ht="13.8" x14ac:dyDescent="0.25">
      <c r="A42" s="249">
        <v>45082</v>
      </c>
      <c r="B42" s="250" t="s">
        <v>335</v>
      </c>
      <c r="C42" s="242" t="s">
        <v>75</v>
      </c>
      <c r="D42" s="232"/>
      <c r="E42" s="225">
        <v>25000</v>
      </c>
      <c r="F42" s="287"/>
      <c r="G42" s="215">
        <f>+G41+E42-F42</f>
        <v>16424112</v>
      </c>
      <c r="H42" s="252" t="s">
        <v>25</v>
      </c>
      <c r="K42" s="248"/>
      <c r="M42" s="246"/>
      <c r="P42" s="247"/>
      <c r="Q42" s="248"/>
      <c r="R42" s="248"/>
    </row>
    <row r="43" spans="1:18" s="225" customFormat="1" ht="13.8" x14ac:dyDescent="0.25">
      <c r="A43" s="249">
        <v>45082</v>
      </c>
      <c r="B43" s="250" t="s">
        <v>336</v>
      </c>
      <c r="C43" s="242" t="s">
        <v>75</v>
      </c>
      <c r="D43" s="232"/>
      <c r="E43" s="225">
        <v>2000000</v>
      </c>
      <c r="F43" s="287"/>
      <c r="G43" s="215">
        <f>+G42+E43-F43</f>
        <v>18424112</v>
      </c>
      <c r="H43" s="252" t="s">
        <v>25</v>
      </c>
      <c r="K43" s="248"/>
      <c r="M43" s="246"/>
      <c r="P43" s="247"/>
      <c r="Q43" s="248"/>
      <c r="R43" s="248"/>
    </row>
    <row r="44" spans="1:18" s="225" customFormat="1" ht="13.8" x14ac:dyDescent="0.25">
      <c r="A44" s="249">
        <v>45082</v>
      </c>
      <c r="B44" s="250" t="s">
        <v>337</v>
      </c>
      <c r="C44" s="242" t="s">
        <v>75</v>
      </c>
      <c r="D44" s="232"/>
      <c r="E44" s="225">
        <v>2000000</v>
      </c>
      <c r="F44" s="287"/>
      <c r="G44" s="215">
        <f>+G43+E44-F44</f>
        <v>20424112</v>
      </c>
      <c r="H44" s="252" t="s">
        <v>25</v>
      </c>
      <c r="K44" s="248"/>
      <c r="M44" s="246"/>
      <c r="P44" s="254"/>
      <c r="Q44" s="248"/>
      <c r="R44" s="248"/>
    </row>
    <row r="45" spans="1:18" s="225" customFormat="1" ht="13.8" x14ac:dyDescent="0.25">
      <c r="A45" s="249">
        <v>45082</v>
      </c>
      <c r="B45" s="250" t="s">
        <v>93</v>
      </c>
      <c r="C45" s="242" t="s">
        <v>75</v>
      </c>
      <c r="D45" s="232"/>
      <c r="F45" s="287">
        <v>75000</v>
      </c>
      <c r="G45" s="215">
        <f>+G44+E45-F45</f>
        <v>20349112</v>
      </c>
      <c r="H45" s="252" t="s">
        <v>25</v>
      </c>
      <c r="K45" s="248"/>
      <c r="M45" s="246"/>
      <c r="P45" s="247"/>
      <c r="Q45" s="248"/>
      <c r="R45" s="248"/>
    </row>
    <row r="46" spans="1:18" s="225" customFormat="1" ht="13.8" x14ac:dyDescent="0.25">
      <c r="A46" s="241">
        <v>45082</v>
      </c>
      <c r="B46" s="288" t="s">
        <v>304</v>
      </c>
      <c r="C46" s="242" t="s">
        <v>75</v>
      </c>
      <c r="D46" s="242"/>
      <c r="F46" s="225">
        <v>123000</v>
      </c>
      <c r="G46" s="215">
        <f>+G45+E46-F46</f>
        <v>20226112</v>
      </c>
      <c r="H46" s="225" t="s">
        <v>25</v>
      </c>
      <c r="I46" s="242"/>
      <c r="L46" s="242"/>
      <c r="M46" s="246"/>
      <c r="N46" s="242"/>
      <c r="O46" s="242"/>
      <c r="P46" s="247"/>
      <c r="Q46" s="248"/>
      <c r="R46" s="248"/>
    </row>
    <row r="47" spans="1:18" s="225" customFormat="1" ht="13.8" x14ac:dyDescent="0.25">
      <c r="A47" s="245">
        <v>45082</v>
      </c>
      <c r="B47" s="225" t="s">
        <v>270</v>
      </c>
      <c r="C47" s="242" t="s">
        <v>75</v>
      </c>
      <c r="E47" s="215"/>
      <c r="F47" s="215">
        <v>130000</v>
      </c>
      <c r="G47" s="215">
        <f>+G46+E47-F47</f>
        <v>20096112</v>
      </c>
      <c r="H47" s="225" t="s">
        <v>25</v>
      </c>
      <c r="M47" s="246"/>
      <c r="N47" s="242"/>
      <c r="P47" s="247"/>
      <c r="Q47" s="248"/>
      <c r="R47" s="248"/>
    </row>
    <row r="48" spans="1:18" s="225" customFormat="1" ht="13.8" x14ac:dyDescent="0.25">
      <c r="A48" s="241">
        <v>45082</v>
      </c>
      <c r="B48" s="225" t="s">
        <v>382</v>
      </c>
      <c r="C48" s="242" t="s">
        <v>75</v>
      </c>
      <c r="D48" s="215"/>
      <c r="F48" s="225">
        <v>2000000</v>
      </c>
      <c r="G48" s="215">
        <f>+G47+E48-F48</f>
        <v>18096112</v>
      </c>
      <c r="H48" s="157" t="s">
        <v>24</v>
      </c>
      <c r="I48" s="221">
        <v>3654551</v>
      </c>
      <c r="P48" s="247"/>
      <c r="Q48" s="248"/>
      <c r="R48" s="248"/>
    </row>
    <row r="49" spans="1:18" s="225" customFormat="1" ht="13.8" x14ac:dyDescent="0.25">
      <c r="A49" s="255">
        <v>45082</v>
      </c>
      <c r="B49" s="232" t="s">
        <v>383</v>
      </c>
      <c r="C49" s="242" t="s">
        <v>75</v>
      </c>
      <c r="F49" s="225">
        <v>2000000</v>
      </c>
      <c r="G49" s="215">
        <f>+G48+E49-F49</f>
        <v>16096112</v>
      </c>
      <c r="H49" s="157" t="s">
        <v>24</v>
      </c>
      <c r="I49" s="221">
        <v>3654552</v>
      </c>
      <c r="J49" s="242"/>
      <c r="M49" s="246"/>
      <c r="P49" s="254"/>
      <c r="Q49" s="248"/>
      <c r="R49" s="248"/>
    </row>
    <row r="50" spans="1:18" s="225" customFormat="1" ht="13.8" x14ac:dyDescent="0.25">
      <c r="A50" s="241">
        <v>45082</v>
      </c>
      <c r="B50" s="225" t="s">
        <v>315</v>
      </c>
      <c r="C50" s="242" t="s">
        <v>75</v>
      </c>
      <c r="D50" s="232"/>
      <c r="E50" s="225">
        <v>130000</v>
      </c>
      <c r="F50" s="252"/>
      <c r="G50" s="215">
        <f>+G49+E50-F50</f>
        <v>16226112</v>
      </c>
      <c r="H50" s="252" t="s">
        <v>270</v>
      </c>
      <c r="J50" s="242"/>
      <c r="M50" s="246"/>
      <c r="P50" s="247"/>
      <c r="Q50" s="248"/>
      <c r="R50" s="248"/>
    </row>
    <row r="51" spans="1:18" s="225" customFormat="1" ht="13.8" x14ac:dyDescent="0.25">
      <c r="A51" s="255">
        <v>45082</v>
      </c>
      <c r="B51" s="225" t="s">
        <v>435</v>
      </c>
      <c r="C51" s="242" t="s">
        <v>75</v>
      </c>
      <c r="D51" s="232"/>
      <c r="E51" s="215"/>
      <c r="F51" s="215">
        <v>25000</v>
      </c>
      <c r="G51" s="215">
        <f>+G50+E51-F51</f>
        <v>16201112</v>
      </c>
      <c r="H51" s="225" t="s">
        <v>197</v>
      </c>
      <c r="M51" s="246"/>
      <c r="N51" s="242"/>
      <c r="P51" s="247"/>
      <c r="Q51" s="248"/>
      <c r="R51" s="248"/>
    </row>
    <row r="52" spans="1:18" s="225" customFormat="1" ht="13.8" x14ac:dyDescent="0.25">
      <c r="A52" s="241">
        <v>45082</v>
      </c>
      <c r="B52" s="242" t="s">
        <v>314</v>
      </c>
      <c r="C52" s="242" t="s">
        <v>75</v>
      </c>
      <c r="E52" s="242">
        <v>75000</v>
      </c>
      <c r="F52" s="242"/>
      <c r="G52" s="215">
        <f>+G51+E52-F52</f>
        <v>16276112</v>
      </c>
      <c r="H52" s="242" t="s">
        <v>93</v>
      </c>
      <c r="J52" s="242"/>
      <c r="N52" s="242"/>
      <c r="O52" s="242"/>
      <c r="P52" s="254"/>
      <c r="Q52" s="248"/>
      <c r="R52" s="248"/>
    </row>
    <row r="53" spans="1:18" s="225" customFormat="1" ht="13.8" x14ac:dyDescent="0.25">
      <c r="A53" s="220">
        <v>45082</v>
      </c>
      <c r="B53" s="227" t="s">
        <v>498</v>
      </c>
      <c r="C53" s="242" t="s">
        <v>75</v>
      </c>
      <c r="D53" s="228"/>
      <c r="E53" s="196"/>
      <c r="F53" s="196">
        <v>40000</v>
      </c>
      <c r="G53" s="215">
        <f>+G52+E53-F53</f>
        <v>16236112</v>
      </c>
      <c r="H53" s="227" t="s">
        <v>29</v>
      </c>
      <c r="I53" s="227"/>
      <c r="J53" s="227"/>
      <c r="K53" s="228"/>
      <c r="L53" s="228"/>
      <c r="M53" s="227"/>
      <c r="N53" s="228"/>
      <c r="O53" s="227"/>
      <c r="P53" s="257"/>
      <c r="Q53" s="248"/>
      <c r="R53" s="248"/>
    </row>
    <row r="54" spans="1:18" s="225" customFormat="1" ht="13.8" x14ac:dyDescent="0.25">
      <c r="A54" s="241">
        <v>45082</v>
      </c>
      <c r="B54" s="250" t="s">
        <v>410</v>
      </c>
      <c r="C54" s="232" t="s">
        <v>34</v>
      </c>
      <c r="D54" s="225" t="s">
        <v>4</v>
      </c>
      <c r="F54" s="252">
        <v>10000</v>
      </c>
      <c r="G54" s="215">
        <f>+G53+E54-F54</f>
        <v>16226112</v>
      </c>
      <c r="H54" s="252" t="s">
        <v>270</v>
      </c>
      <c r="I54" s="225" t="s">
        <v>307</v>
      </c>
      <c r="J54" s="242" t="s">
        <v>290</v>
      </c>
      <c r="K54" s="320" t="s">
        <v>199</v>
      </c>
      <c r="L54" s="320" t="s">
        <v>536</v>
      </c>
      <c r="M54" s="225" t="s">
        <v>581</v>
      </c>
      <c r="N54" s="242" t="s">
        <v>554</v>
      </c>
      <c r="P54" s="247"/>
      <c r="Q54" s="248"/>
      <c r="R54" s="248"/>
    </row>
    <row r="55" spans="1:18" s="225" customFormat="1" ht="13.8" x14ac:dyDescent="0.25">
      <c r="A55" s="245">
        <v>45082</v>
      </c>
      <c r="B55" s="225" t="s">
        <v>449</v>
      </c>
      <c r="C55" s="242" t="s">
        <v>34</v>
      </c>
      <c r="D55" s="225" t="s">
        <v>4</v>
      </c>
      <c r="F55" s="215">
        <v>15000</v>
      </c>
      <c r="G55" s="215">
        <f>+G54+E55-F55</f>
        <v>16211112</v>
      </c>
      <c r="H55" s="225" t="s">
        <v>269</v>
      </c>
      <c r="I55" s="225" t="s">
        <v>307</v>
      </c>
      <c r="J55" s="242" t="s">
        <v>290</v>
      </c>
      <c r="K55" s="320" t="s">
        <v>199</v>
      </c>
      <c r="L55" s="320" t="s">
        <v>536</v>
      </c>
      <c r="M55" s="225" t="s">
        <v>582</v>
      </c>
      <c r="N55" s="242" t="s">
        <v>554</v>
      </c>
      <c r="P55" s="247"/>
      <c r="Q55" s="248"/>
      <c r="R55" s="248"/>
    </row>
    <row r="56" spans="1:18" s="225" customFormat="1" ht="13.8" x14ac:dyDescent="0.25">
      <c r="A56" s="241">
        <v>45082</v>
      </c>
      <c r="B56" s="225" t="s">
        <v>450</v>
      </c>
      <c r="C56" s="242" t="s">
        <v>413</v>
      </c>
      <c r="D56" s="225" t="s">
        <v>4</v>
      </c>
      <c r="F56" s="291">
        <v>60000</v>
      </c>
      <c r="G56" s="215">
        <f>+G55+E56-F56</f>
        <v>16151112</v>
      </c>
      <c r="H56" s="225" t="s">
        <v>269</v>
      </c>
      <c r="I56" s="225" t="s">
        <v>307</v>
      </c>
      <c r="J56" s="242" t="s">
        <v>102</v>
      </c>
      <c r="K56" s="242" t="s">
        <v>199</v>
      </c>
      <c r="L56" s="242" t="s">
        <v>536</v>
      </c>
      <c r="M56" s="225" t="s">
        <v>583</v>
      </c>
      <c r="N56" s="242" t="s">
        <v>558</v>
      </c>
      <c r="P56" s="247"/>
      <c r="Q56" s="248"/>
      <c r="R56" s="248"/>
    </row>
    <row r="57" spans="1:18" s="225" customFormat="1" ht="14.4" customHeight="1" x14ac:dyDescent="0.25">
      <c r="A57" s="220">
        <v>45082</v>
      </c>
      <c r="B57" s="320" t="s">
        <v>512</v>
      </c>
      <c r="C57" s="321" t="s">
        <v>513</v>
      </c>
      <c r="D57" s="321"/>
      <c r="E57" s="322">
        <v>123000</v>
      </c>
      <c r="F57" s="323"/>
      <c r="G57" s="215">
        <f>+G56+E57-F57</f>
        <v>16274112</v>
      </c>
      <c r="H57" s="320" t="s">
        <v>304</v>
      </c>
      <c r="I57" s="320"/>
      <c r="J57" s="320"/>
      <c r="K57" s="320"/>
      <c r="L57" s="320"/>
      <c r="M57" s="320"/>
      <c r="N57" s="320"/>
      <c r="O57" s="190"/>
      <c r="P57" s="247"/>
      <c r="Q57" s="248"/>
      <c r="R57" s="248"/>
    </row>
    <row r="58" spans="1:18" s="225" customFormat="1" ht="13.8" x14ac:dyDescent="0.25">
      <c r="A58" s="241">
        <v>45082</v>
      </c>
      <c r="B58" s="320" t="s">
        <v>514</v>
      </c>
      <c r="C58" s="321" t="s">
        <v>515</v>
      </c>
      <c r="D58" s="225" t="s">
        <v>154</v>
      </c>
      <c r="E58" s="322"/>
      <c r="F58" s="322">
        <v>15000</v>
      </c>
      <c r="G58" s="215">
        <f>+G57+E58-F58</f>
        <v>16259112</v>
      </c>
      <c r="H58" s="320" t="s">
        <v>304</v>
      </c>
      <c r="I58" s="225" t="s">
        <v>307</v>
      </c>
      <c r="J58" s="320" t="s">
        <v>290</v>
      </c>
      <c r="K58" s="320" t="s">
        <v>198</v>
      </c>
      <c r="L58" s="320" t="s">
        <v>536</v>
      </c>
      <c r="M58" s="320"/>
      <c r="N58" s="320"/>
      <c r="O58" s="190"/>
      <c r="P58" s="254"/>
      <c r="Q58" s="248"/>
      <c r="R58" s="248"/>
    </row>
    <row r="59" spans="1:18" s="225" customFormat="1" ht="14.4" customHeight="1" x14ac:dyDescent="0.25">
      <c r="A59" s="249">
        <v>45083</v>
      </c>
      <c r="B59" s="225" t="s">
        <v>340</v>
      </c>
      <c r="C59" s="242" t="s">
        <v>171</v>
      </c>
      <c r="D59" s="287" t="s">
        <v>2</v>
      </c>
      <c r="E59" s="215"/>
      <c r="F59" s="287">
        <v>38000</v>
      </c>
      <c r="G59" s="215">
        <f>+G58+E59-F59</f>
        <v>16221112</v>
      </c>
      <c r="H59" s="225" t="s">
        <v>25</v>
      </c>
      <c r="I59" s="225" t="s">
        <v>307</v>
      </c>
      <c r="J59" s="225" t="s">
        <v>102</v>
      </c>
      <c r="K59" s="242" t="s">
        <v>199</v>
      </c>
      <c r="L59" s="242" t="s">
        <v>536</v>
      </c>
      <c r="M59" s="225" t="s">
        <v>584</v>
      </c>
      <c r="N59" s="242" t="s">
        <v>553</v>
      </c>
      <c r="P59" s="247"/>
      <c r="Q59" s="248"/>
      <c r="R59" s="248"/>
    </row>
    <row r="60" spans="1:18" s="225" customFormat="1" ht="14.4" customHeight="1" x14ac:dyDescent="0.25">
      <c r="A60" s="245">
        <v>45083</v>
      </c>
      <c r="B60" s="225" t="s">
        <v>341</v>
      </c>
      <c r="C60" s="242" t="s">
        <v>171</v>
      </c>
      <c r="D60" s="225" t="s">
        <v>154</v>
      </c>
      <c r="E60" s="215"/>
      <c r="F60" s="287">
        <v>53000</v>
      </c>
      <c r="G60" s="215">
        <f>+G59+E60-F60</f>
        <v>16168112</v>
      </c>
      <c r="H60" s="225" t="s">
        <v>25</v>
      </c>
      <c r="I60" s="225" t="s">
        <v>307</v>
      </c>
      <c r="J60" s="225" t="s">
        <v>102</v>
      </c>
      <c r="K60" s="242" t="s">
        <v>199</v>
      </c>
      <c r="L60" s="242" t="s">
        <v>536</v>
      </c>
      <c r="M60" s="225" t="s">
        <v>585</v>
      </c>
      <c r="N60" s="242" t="s">
        <v>553</v>
      </c>
      <c r="P60" s="247"/>
      <c r="Q60" s="248"/>
      <c r="R60" s="248"/>
    </row>
    <row r="61" spans="1:18" s="225" customFormat="1" ht="15" customHeight="1" x14ac:dyDescent="0.25">
      <c r="A61" s="249">
        <v>45083</v>
      </c>
      <c r="B61" s="242" t="s">
        <v>342</v>
      </c>
      <c r="C61" s="242" t="s">
        <v>171</v>
      </c>
      <c r="D61" s="225" t="s">
        <v>154</v>
      </c>
      <c r="F61" s="256">
        <v>21000</v>
      </c>
      <c r="G61" s="215">
        <f>+G60+E61-F61</f>
        <v>16147112</v>
      </c>
      <c r="H61" s="225" t="s">
        <v>25</v>
      </c>
      <c r="I61" s="225" t="s">
        <v>307</v>
      </c>
      <c r="J61" s="225" t="s">
        <v>290</v>
      </c>
      <c r="K61" s="248" t="s">
        <v>198</v>
      </c>
      <c r="L61" s="225" t="s">
        <v>536</v>
      </c>
      <c r="N61" s="242"/>
      <c r="O61" s="242"/>
      <c r="P61" s="247"/>
      <c r="Q61" s="248"/>
      <c r="R61" s="248"/>
    </row>
    <row r="62" spans="1:18" s="225" customFormat="1" ht="14.4" customHeight="1" x14ac:dyDescent="0.25">
      <c r="A62" s="245">
        <v>45083</v>
      </c>
      <c r="B62" s="225" t="s">
        <v>343</v>
      </c>
      <c r="C62" s="242" t="s">
        <v>171</v>
      </c>
      <c r="D62" s="225" t="s">
        <v>4</v>
      </c>
      <c r="E62" s="215"/>
      <c r="F62" s="215">
        <v>52000</v>
      </c>
      <c r="G62" s="215">
        <f>+G61+E62-F62</f>
        <v>16095112</v>
      </c>
      <c r="H62" s="225" t="s">
        <v>25</v>
      </c>
      <c r="I62" s="225" t="s">
        <v>307</v>
      </c>
      <c r="J62" s="225" t="s">
        <v>102</v>
      </c>
      <c r="K62" s="242" t="s">
        <v>199</v>
      </c>
      <c r="L62" s="242" t="s">
        <v>536</v>
      </c>
      <c r="M62" s="225" t="s">
        <v>586</v>
      </c>
      <c r="N62" s="242" t="s">
        <v>553</v>
      </c>
      <c r="O62" s="215"/>
      <c r="P62" s="247"/>
      <c r="Q62" s="248"/>
      <c r="R62" s="248"/>
    </row>
    <row r="63" spans="1:18" s="225" customFormat="1" ht="14.4" customHeight="1" x14ac:dyDescent="0.25">
      <c r="A63" s="241">
        <v>45083</v>
      </c>
      <c r="B63" s="225" t="s">
        <v>344</v>
      </c>
      <c r="C63" s="242" t="s">
        <v>171</v>
      </c>
      <c r="D63" s="242" t="s">
        <v>155</v>
      </c>
      <c r="F63" s="288">
        <v>5000</v>
      </c>
      <c r="G63" s="215">
        <f>+G62+E63-F63</f>
        <v>16090112</v>
      </c>
      <c r="H63" s="242" t="s">
        <v>25</v>
      </c>
      <c r="I63" s="225" t="s">
        <v>307</v>
      </c>
      <c r="J63" s="225" t="s">
        <v>102</v>
      </c>
      <c r="K63" s="242" t="s">
        <v>199</v>
      </c>
      <c r="L63" s="242" t="s">
        <v>536</v>
      </c>
      <c r="M63" s="225" t="s">
        <v>587</v>
      </c>
      <c r="N63" s="242" t="s">
        <v>553</v>
      </c>
      <c r="O63" s="242"/>
      <c r="P63" s="247"/>
      <c r="Q63" s="248"/>
      <c r="R63" s="248"/>
    </row>
    <row r="64" spans="1:18" s="225" customFormat="1" ht="14.4" customHeight="1" x14ac:dyDescent="0.25">
      <c r="A64" s="255">
        <v>45083</v>
      </c>
      <c r="B64" s="225" t="s">
        <v>345</v>
      </c>
      <c r="C64" s="225" t="s">
        <v>171</v>
      </c>
      <c r="D64" s="401" t="s">
        <v>302</v>
      </c>
      <c r="F64" s="288">
        <v>15000</v>
      </c>
      <c r="G64" s="215">
        <f>+G63+E64-F64</f>
        <v>16075112</v>
      </c>
      <c r="H64" s="248" t="s">
        <v>25</v>
      </c>
      <c r="I64" s="225" t="s">
        <v>307</v>
      </c>
      <c r="J64" s="225" t="s">
        <v>102</v>
      </c>
      <c r="K64" s="242" t="s">
        <v>199</v>
      </c>
      <c r="L64" s="242" t="s">
        <v>536</v>
      </c>
      <c r="M64" s="225" t="s">
        <v>588</v>
      </c>
      <c r="N64" s="242" t="s">
        <v>553</v>
      </c>
      <c r="O64" s="242"/>
      <c r="P64" s="247"/>
      <c r="Q64" s="248"/>
      <c r="R64" s="248"/>
    </row>
    <row r="65" spans="1:18" s="225" customFormat="1" ht="14.4" customHeight="1" x14ac:dyDescent="0.25">
      <c r="A65" s="241">
        <v>45083</v>
      </c>
      <c r="B65" s="225" t="s">
        <v>346</v>
      </c>
      <c r="C65" s="242" t="s">
        <v>171</v>
      </c>
      <c r="D65" s="225" t="s">
        <v>154</v>
      </c>
      <c r="E65" s="215"/>
      <c r="F65" s="251">
        <v>10000</v>
      </c>
      <c r="G65" s="215">
        <f>+G64+E65-F65</f>
        <v>16065112</v>
      </c>
      <c r="H65" s="225" t="s">
        <v>25</v>
      </c>
      <c r="I65" s="225" t="s">
        <v>307</v>
      </c>
      <c r="J65" s="225" t="s">
        <v>102</v>
      </c>
      <c r="K65" s="242" t="s">
        <v>199</v>
      </c>
      <c r="L65" s="242" t="s">
        <v>536</v>
      </c>
      <c r="M65" s="225" t="s">
        <v>589</v>
      </c>
      <c r="N65" s="242" t="s">
        <v>553</v>
      </c>
      <c r="P65" s="247"/>
      <c r="Q65" s="215"/>
      <c r="R65" s="248"/>
    </row>
    <row r="66" spans="1:18" s="225" customFormat="1" ht="14.4" customHeight="1" x14ac:dyDescent="0.25">
      <c r="A66" s="241">
        <v>45083</v>
      </c>
      <c r="B66" s="225" t="s">
        <v>347</v>
      </c>
      <c r="C66" s="242" t="s">
        <v>171</v>
      </c>
      <c r="D66" s="225" t="s">
        <v>4</v>
      </c>
      <c r="F66" s="292">
        <v>16000</v>
      </c>
      <c r="G66" s="215">
        <f>+G65+E66-F66</f>
        <v>16049112</v>
      </c>
      <c r="H66" s="225" t="s">
        <v>25</v>
      </c>
      <c r="I66" s="225" t="s">
        <v>307</v>
      </c>
      <c r="J66" s="225" t="s">
        <v>102</v>
      </c>
      <c r="K66" s="242" t="s">
        <v>199</v>
      </c>
      <c r="L66" s="242" t="s">
        <v>536</v>
      </c>
      <c r="M66" s="225" t="s">
        <v>590</v>
      </c>
      <c r="N66" s="242" t="s">
        <v>553</v>
      </c>
      <c r="P66" s="247"/>
      <c r="Q66" s="215"/>
      <c r="R66" s="248"/>
    </row>
    <row r="67" spans="1:18" s="225" customFormat="1" ht="14.4" customHeight="1" x14ac:dyDescent="0.25">
      <c r="A67" s="245">
        <v>45083</v>
      </c>
      <c r="B67" s="242" t="s">
        <v>348</v>
      </c>
      <c r="C67" s="242" t="s">
        <v>171</v>
      </c>
      <c r="D67" s="242" t="s">
        <v>155</v>
      </c>
      <c r="E67" s="242"/>
      <c r="F67" s="288">
        <v>11000</v>
      </c>
      <c r="G67" s="215">
        <f>+G66+E67-F67</f>
        <v>16038112</v>
      </c>
      <c r="H67" s="242" t="s">
        <v>25</v>
      </c>
      <c r="I67" s="225" t="s">
        <v>307</v>
      </c>
      <c r="J67" s="225" t="s">
        <v>102</v>
      </c>
      <c r="K67" s="242" t="s">
        <v>199</v>
      </c>
      <c r="L67" s="242" t="s">
        <v>536</v>
      </c>
      <c r="M67" s="225" t="s">
        <v>591</v>
      </c>
      <c r="N67" s="242" t="s">
        <v>553</v>
      </c>
      <c r="O67" s="242"/>
      <c r="P67" s="247"/>
      <c r="Q67" s="248"/>
      <c r="R67" s="248"/>
    </row>
    <row r="68" spans="1:18" s="225" customFormat="1" ht="14.4" customHeight="1" x14ac:dyDescent="0.25">
      <c r="A68" s="241">
        <v>45083</v>
      </c>
      <c r="B68" s="250" t="s">
        <v>349</v>
      </c>
      <c r="C68" s="242" t="s">
        <v>170</v>
      </c>
      <c r="D68" s="225" t="s">
        <v>350</v>
      </c>
      <c r="E68" s="252"/>
      <c r="F68" s="287">
        <v>75000</v>
      </c>
      <c r="G68" s="215">
        <f>+G67+E68-F68</f>
        <v>15963112</v>
      </c>
      <c r="H68" s="248" t="s">
        <v>25</v>
      </c>
      <c r="I68" s="225" t="s">
        <v>307</v>
      </c>
      <c r="J68" s="225" t="s">
        <v>290</v>
      </c>
      <c r="K68" s="248" t="s">
        <v>198</v>
      </c>
      <c r="L68" s="225" t="s">
        <v>536</v>
      </c>
      <c r="M68" s="246"/>
      <c r="P68" s="247"/>
      <c r="Q68" s="248"/>
      <c r="R68" s="248"/>
    </row>
    <row r="69" spans="1:18" s="225" customFormat="1" ht="14.4" customHeight="1" x14ac:dyDescent="0.25">
      <c r="A69" s="241">
        <v>45083</v>
      </c>
      <c r="B69" s="250" t="s">
        <v>339</v>
      </c>
      <c r="C69" s="242" t="s">
        <v>75</v>
      </c>
      <c r="D69" s="232"/>
      <c r="E69" s="225">
        <v>150000</v>
      </c>
      <c r="F69" s="215"/>
      <c r="G69" s="215">
        <f>+G68+E69-F69</f>
        <v>16113112</v>
      </c>
      <c r="H69" s="252" t="s">
        <v>25</v>
      </c>
      <c r="I69" s="253"/>
      <c r="K69" s="242"/>
      <c r="L69" s="242"/>
      <c r="M69" s="246"/>
      <c r="N69" s="242"/>
      <c r="P69" s="247"/>
      <c r="Q69" s="248"/>
      <c r="R69" s="248"/>
    </row>
    <row r="70" spans="1:18" s="225" customFormat="1" ht="14.4" customHeight="1" x14ac:dyDescent="0.25">
      <c r="A70" s="241">
        <v>45083</v>
      </c>
      <c r="B70" s="225" t="s">
        <v>143</v>
      </c>
      <c r="C70" s="242" t="s">
        <v>75</v>
      </c>
      <c r="F70" s="291">
        <v>75000</v>
      </c>
      <c r="G70" s="215">
        <f>+G69+E70-F70</f>
        <v>16038112</v>
      </c>
      <c r="H70" s="225" t="s">
        <v>25</v>
      </c>
      <c r="P70" s="247"/>
    </row>
    <row r="71" spans="1:18" s="225" customFormat="1" ht="14.4" customHeight="1" x14ac:dyDescent="0.25">
      <c r="A71" s="241">
        <v>45083</v>
      </c>
      <c r="B71" s="225" t="s">
        <v>451</v>
      </c>
      <c r="C71" s="242" t="s">
        <v>75</v>
      </c>
      <c r="E71" s="215"/>
      <c r="F71" s="215">
        <v>150000</v>
      </c>
      <c r="G71" s="215">
        <f>+G70+E71-F71</f>
        <v>15888112</v>
      </c>
      <c r="H71" s="225" t="s">
        <v>269</v>
      </c>
      <c r="J71" s="242"/>
      <c r="K71" s="242"/>
      <c r="L71" s="242"/>
      <c r="N71" s="242"/>
      <c r="P71" s="247"/>
    </row>
    <row r="72" spans="1:18" s="225" customFormat="1" ht="14.4" customHeight="1" x14ac:dyDescent="0.25">
      <c r="A72" s="245">
        <v>45083</v>
      </c>
      <c r="B72" s="242" t="s">
        <v>485</v>
      </c>
      <c r="C72" s="242" t="s">
        <v>75</v>
      </c>
      <c r="E72" s="242">
        <v>75000</v>
      </c>
      <c r="F72" s="242"/>
      <c r="G72" s="215">
        <f>+G71+E72-F72</f>
        <v>15963112</v>
      </c>
      <c r="H72" s="242" t="s">
        <v>143</v>
      </c>
      <c r="K72" s="242"/>
      <c r="L72" s="242"/>
      <c r="M72" s="246"/>
      <c r="N72" s="242"/>
      <c r="O72" s="242"/>
      <c r="P72" s="247"/>
    </row>
    <row r="73" spans="1:18" s="225" customFormat="1" ht="14.4" customHeight="1" x14ac:dyDescent="0.25">
      <c r="A73" s="241">
        <v>45083</v>
      </c>
      <c r="B73" s="250" t="s">
        <v>411</v>
      </c>
      <c r="C73" s="232" t="s">
        <v>34</v>
      </c>
      <c r="D73" s="225" t="s">
        <v>4</v>
      </c>
      <c r="F73" s="215">
        <v>3500</v>
      </c>
      <c r="G73" s="215">
        <f>+G72+E73-F73</f>
        <v>15959612</v>
      </c>
      <c r="H73" s="252" t="s">
        <v>270</v>
      </c>
      <c r="I73" s="225" t="s">
        <v>307</v>
      </c>
      <c r="J73" s="242" t="s">
        <v>290</v>
      </c>
      <c r="K73" s="320" t="s">
        <v>199</v>
      </c>
      <c r="L73" s="320" t="s">
        <v>536</v>
      </c>
      <c r="M73" s="225" t="s">
        <v>592</v>
      </c>
      <c r="N73" s="242" t="s">
        <v>554</v>
      </c>
      <c r="P73" s="247"/>
    </row>
    <row r="74" spans="1:18" s="225" customFormat="1" ht="14.4" customHeight="1" x14ac:dyDescent="0.25">
      <c r="A74" s="241">
        <v>45083</v>
      </c>
      <c r="B74" s="225" t="s">
        <v>412</v>
      </c>
      <c r="C74" s="242" t="s">
        <v>413</v>
      </c>
      <c r="D74" s="225" t="s">
        <v>4</v>
      </c>
      <c r="E74" s="215"/>
      <c r="F74" s="215">
        <v>70000</v>
      </c>
      <c r="G74" s="215">
        <f>+G73+E74-F74</f>
        <v>15889612</v>
      </c>
      <c r="H74" s="225" t="s">
        <v>270</v>
      </c>
      <c r="I74" s="225" t="s">
        <v>309</v>
      </c>
      <c r="J74" s="242" t="s">
        <v>102</v>
      </c>
      <c r="K74" s="242" t="s">
        <v>199</v>
      </c>
      <c r="L74" s="242" t="s">
        <v>536</v>
      </c>
      <c r="M74" s="225" t="s">
        <v>593</v>
      </c>
      <c r="N74" s="242" t="s">
        <v>558</v>
      </c>
      <c r="P74" s="247"/>
    </row>
    <row r="75" spans="1:18" s="225" customFormat="1" ht="13.8" x14ac:dyDescent="0.25">
      <c r="A75" s="241">
        <v>45083</v>
      </c>
      <c r="B75" s="320" t="s">
        <v>516</v>
      </c>
      <c r="C75" s="321" t="s">
        <v>313</v>
      </c>
      <c r="D75" s="225" t="s">
        <v>154</v>
      </c>
      <c r="E75" s="322"/>
      <c r="F75" s="322">
        <v>40000</v>
      </c>
      <c r="G75" s="215">
        <f>+G74+E75-F75</f>
        <v>15849612</v>
      </c>
      <c r="H75" s="320" t="s">
        <v>304</v>
      </c>
      <c r="I75" s="225" t="s">
        <v>309</v>
      </c>
      <c r="J75" s="320" t="s">
        <v>290</v>
      </c>
      <c r="K75" s="320" t="s">
        <v>198</v>
      </c>
      <c r="L75" s="320" t="s">
        <v>536</v>
      </c>
      <c r="M75" s="320"/>
      <c r="N75" s="320"/>
      <c r="O75" s="190"/>
      <c r="P75" s="247"/>
    </row>
    <row r="76" spans="1:18" s="225" customFormat="1" ht="13.8" x14ac:dyDescent="0.25">
      <c r="A76" s="241">
        <v>45085</v>
      </c>
      <c r="B76" s="225" t="s">
        <v>333</v>
      </c>
      <c r="C76" s="242" t="s">
        <v>230</v>
      </c>
      <c r="D76" s="242" t="s">
        <v>155</v>
      </c>
      <c r="E76" s="215"/>
      <c r="F76" s="287">
        <v>35000</v>
      </c>
      <c r="G76" s="215">
        <f>+G75+E76-F76</f>
        <v>15814612</v>
      </c>
      <c r="H76" s="225" t="s">
        <v>25</v>
      </c>
      <c r="I76" s="225" t="s">
        <v>309</v>
      </c>
      <c r="J76" s="225" t="s">
        <v>290</v>
      </c>
      <c r="K76" s="248" t="s">
        <v>198</v>
      </c>
      <c r="L76" s="225" t="s">
        <v>536</v>
      </c>
      <c r="N76" s="242"/>
      <c r="P76" s="247"/>
    </row>
    <row r="77" spans="1:18" s="225" customFormat="1" ht="13.8" x14ac:dyDescent="0.25">
      <c r="A77" s="249">
        <v>45085</v>
      </c>
      <c r="B77" s="225" t="s">
        <v>351</v>
      </c>
      <c r="C77" s="242" t="s">
        <v>230</v>
      </c>
      <c r="D77" s="225" t="s">
        <v>154</v>
      </c>
      <c r="E77" s="215"/>
      <c r="F77" s="287">
        <v>20000</v>
      </c>
      <c r="G77" s="215">
        <f>+G76+E77-F77</f>
        <v>15794612</v>
      </c>
      <c r="H77" s="225" t="s">
        <v>25</v>
      </c>
      <c r="I77" s="225" t="s">
        <v>309</v>
      </c>
      <c r="J77" s="225" t="s">
        <v>290</v>
      </c>
      <c r="K77" s="248" t="s">
        <v>198</v>
      </c>
      <c r="L77" s="225" t="s">
        <v>536</v>
      </c>
      <c r="O77" s="234"/>
      <c r="P77" s="247"/>
    </row>
    <row r="78" spans="1:18" s="225" customFormat="1" ht="14.4" customHeight="1" x14ac:dyDescent="0.25">
      <c r="A78" s="241">
        <v>45085</v>
      </c>
      <c r="B78" s="215" t="s">
        <v>352</v>
      </c>
      <c r="C78" s="242" t="s">
        <v>230</v>
      </c>
      <c r="D78" s="225" t="s">
        <v>154</v>
      </c>
      <c r="E78" s="256"/>
      <c r="F78" s="288">
        <v>20000</v>
      </c>
      <c r="G78" s="215">
        <f>+G77+E78-F78</f>
        <v>15774612</v>
      </c>
      <c r="H78" s="225" t="s">
        <v>25</v>
      </c>
      <c r="I78" s="225" t="s">
        <v>309</v>
      </c>
      <c r="J78" s="225" t="s">
        <v>290</v>
      </c>
      <c r="K78" s="248" t="s">
        <v>198</v>
      </c>
      <c r="L78" s="225" t="s">
        <v>536</v>
      </c>
      <c r="N78" s="242"/>
      <c r="O78" s="242"/>
      <c r="P78" s="247"/>
    </row>
    <row r="79" spans="1:18" s="225" customFormat="1" ht="13.8" x14ac:dyDescent="0.25">
      <c r="A79" s="241">
        <v>45085</v>
      </c>
      <c r="B79" s="242" t="s">
        <v>353</v>
      </c>
      <c r="C79" s="242" t="s">
        <v>230</v>
      </c>
      <c r="D79" s="242" t="s">
        <v>155</v>
      </c>
      <c r="E79" s="215"/>
      <c r="F79" s="242">
        <v>20000</v>
      </c>
      <c r="G79" s="215">
        <f>+G78+E79-F79</f>
        <v>15754612</v>
      </c>
      <c r="H79" s="242" t="s">
        <v>25</v>
      </c>
      <c r="I79" s="225" t="s">
        <v>309</v>
      </c>
      <c r="J79" s="225" t="s">
        <v>290</v>
      </c>
      <c r="K79" s="248" t="s">
        <v>198</v>
      </c>
      <c r="L79" s="225" t="s">
        <v>536</v>
      </c>
      <c r="M79" s="246"/>
      <c r="N79" s="242"/>
      <c r="P79" s="247"/>
    </row>
    <row r="80" spans="1:18" s="225" customFormat="1" ht="13.8" x14ac:dyDescent="0.25">
      <c r="A80" s="241">
        <v>45085</v>
      </c>
      <c r="B80" s="225" t="s">
        <v>354</v>
      </c>
      <c r="C80" s="242" t="s">
        <v>230</v>
      </c>
      <c r="D80" s="225" t="s">
        <v>154</v>
      </c>
      <c r="E80" s="215"/>
      <c r="F80" s="251">
        <v>50000</v>
      </c>
      <c r="G80" s="215">
        <f>+G79+E80-F80</f>
        <v>15704612</v>
      </c>
      <c r="H80" s="225" t="s">
        <v>25</v>
      </c>
      <c r="I80" s="225" t="s">
        <v>309</v>
      </c>
      <c r="J80" s="225" t="s">
        <v>290</v>
      </c>
      <c r="K80" s="248" t="s">
        <v>198</v>
      </c>
      <c r="L80" s="225" t="s">
        <v>536</v>
      </c>
      <c r="M80" s="246"/>
      <c r="N80" s="242"/>
      <c r="P80" s="247"/>
    </row>
    <row r="81" spans="1:18" s="225" customFormat="1" ht="13.8" x14ac:dyDescent="0.25">
      <c r="A81" s="241">
        <v>45085</v>
      </c>
      <c r="B81" s="225" t="s">
        <v>355</v>
      </c>
      <c r="C81" s="242" t="s">
        <v>230</v>
      </c>
      <c r="D81" s="401" t="s">
        <v>302</v>
      </c>
      <c r="E81" s="215"/>
      <c r="F81" s="215">
        <v>20000</v>
      </c>
      <c r="G81" s="215">
        <f>+G80+E81-F81</f>
        <v>15684612</v>
      </c>
      <c r="H81" s="225" t="s">
        <v>25</v>
      </c>
      <c r="I81" s="225" t="s">
        <v>309</v>
      </c>
      <c r="J81" s="225" t="s">
        <v>290</v>
      </c>
      <c r="K81" s="248" t="s">
        <v>198</v>
      </c>
      <c r="L81" s="225" t="s">
        <v>536</v>
      </c>
      <c r="O81" s="215"/>
      <c r="P81" s="247"/>
    </row>
    <row r="82" spans="1:18" s="225" customFormat="1" ht="13.8" x14ac:dyDescent="0.25">
      <c r="A82" s="255">
        <v>45085</v>
      </c>
      <c r="B82" s="250" t="s">
        <v>356</v>
      </c>
      <c r="C82" s="242" t="s">
        <v>230</v>
      </c>
      <c r="D82" s="287" t="s">
        <v>2</v>
      </c>
      <c r="E82" s="252"/>
      <c r="F82" s="251">
        <v>50000</v>
      </c>
      <c r="G82" s="215">
        <f>+G81+E82-F82</f>
        <v>15634612</v>
      </c>
      <c r="H82" s="248" t="s">
        <v>25</v>
      </c>
      <c r="I82" s="225" t="s">
        <v>309</v>
      </c>
      <c r="J82" s="225" t="s">
        <v>290</v>
      </c>
      <c r="K82" s="248" t="s">
        <v>198</v>
      </c>
      <c r="L82" s="225" t="s">
        <v>536</v>
      </c>
      <c r="P82" s="247"/>
    </row>
    <row r="83" spans="1:18" s="225" customFormat="1" ht="13.8" x14ac:dyDescent="0.25">
      <c r="A83" s="241">
        <v>45085</v>
      </c>
      <c r="B83" s="225" t="s">
        <v>113</v>
      </c>
      <c r="C83" s="242" t="s">
        <v>75</v>
      </c>
      <c r="E83" s="215"/>
      <c r="F83" s="251">
        <v>25324</v>
      </c>
      <c r="G83" s="215">
        <f>+G82+E83-F83</f>
        <v>15609288</v>
      </c>
      <c r="H83" s="225" t="s">
        <v>25</v>
      </c>
      <c r="J83" s="242"/>
      <c r="M83" s="246"/>
      <c r="P83" s="247"/>
    </row>
    <row r="84" spans="1:18" s="225" customFormat="1" ht="13.8" x14ac:dyDescent="0.25">
      <c r="A84" s="241">
        <v>45085</v>
      </c>
      <c r="B84" s="225" t="s">
        <v>269</v>
      </c>
      <c r="C84" s="242" t="s">
        <v>75</v>
      </c>
      <c r="D84" s="215"/>
      <c r="F84" s="215">
        <v>151000</v>
      </c>
      <c r="G84" s="215">
        <f>+G83+E84-F84</f>
        <v>15458288</v>
      </c>
      <c r="H84" s="215" t="s">
        <v>25</v>
      </c>
      <c r="J84" s="242"/>
      <c r="K84" s="242"/>
      <c r="L84" s="242"/>
      <c r="N84" s="242"/>
      <c r="P84" s="247"/>
    </row>
    <row r="85" spans="1:18" s="225" customFormat="1" ht="13.8" x14ac:dyDescent="0.25">
      <c r="A85" s="245">
        <v>45085</v>
      </c>
      <c r="B85" s="225" t="s">
        <v>29</v>
      </c>
      <c r="C85" s="242" t="s">
        <v>75</v>
      </c>
      <c r="D85" s="232"/>
      <c r="F85" s="242">
        <v>160000</v>
      </c>
      <c r="G85" s="215">
        <f>+G84+E85-F85</f>
        <v>15298288</v>
      </c>
      <c r="H85" s="248" t="s">
        <v>25</v>
      </c>
      <c r="M85" s="246"/>
      <c r="N85" s="242"/>
      <c r="O85" s="242"/>
      <c r="P85" s="247"/>
    </row>
    <row r="86" spans="1:18" s="225" customFormat="1" ht="13.8" x14ac:dyDescent="0.25">
      <c r="A86" s="241">
        <v>45085</v>
      </c>
      <c r="B86" s="225" t="s">
        <v>316</v>
      </c>
      <c r="C86" s="242" t="s">
        <v>75</v>
      </c>
      <c r="E86" s="225">
        <v>151000</v>
      </c>
      <c r="F86" s="262"/>
      <c r="G86" s="215">
        <f>+G85+E86-F86</f>
        <v>15449288</v>
      </c>
      <c r="H86" s="225" t="s">
        <v>269</v>
      </c>
      <c r="K86" s="248"/>
      <c r="M86" s="246"/>
      <c r="N86" s="242"/>
      <c r="P86" s="247"/>
      <c r="Q86" s="248"/>
      <c r="R86" s="248"/>
    </row>
    <row r="87" spans="1:18" s="225" customFormat="1" ht="16.5" customHeight="1" x14ac:dyDescent="0.25">
      <c r="A87" s="220">
        <v>45085</v>
      </c>
      <c r="B87" s="231" t="s">
        <v>499</v>
      </c>
      <c r="C87" s="242" t="s">
        <v>75</v>
      </c>
      <c r="D87" s="214"/>
      <c r="E87" s="227">
        <v>160000</v>
      </c>
      <c r="F87" s="227"/>
      <c r="G87" s="215">
        <f>+G86+E87-F87</f>
        <v>15609288</v>
      </c>
      <c r="H87" s="227" t="s">
        <v>29</v>
      </c>
      <c r="I87" s="237"/>
      <c r="J87" s="227"/>
      <c r="K87" s="227"/>
      <c r="L87" s="227"/>
      <c r="M87" s="227"/>
      <c r="N87" s="227"/>
      <c r="O87" s="227"/>
      <c r="P87" s="247"/>
    </row>
    <row r="88" spans="1:18" s="225" customFormat="1" ht="13.8" x14ac:dyDescent="0.25">
      <c r="A88" s="241">
        <v>45085</v>
      </c>
      <c r="B88" s="225" t="s">
        <v>535</v>
      </c>
      <c r="C88" s="225" t="s">
        <v>384</v>
      </c>
      <c r="D88" s="287"/>
      <c r="E88" s="225">
        <v>17622093</v>
      </c>
      <c r="G88" s="215">
        <f>+G87+E88-F88</f>
        <v>33231381</v>
      </c>
      <c r="H88" s="157" t="s">
        <v>24</v>
      </c>
      <c r="I88" s="250" t="s">
        <v>308</v>
      </c>
      <c r="J88" s="242" t="s">
        <v>290</v>
      </c>
      <c r="K88" s="242"/>
      <c r="L88" s="242"/>
      <c r="P88" s="247"/>
      <c r="Q88" s="248"/>
      <c r="R88" s="248"/>
    </row>
    <row r="89" spans="1:18" s="225" customFormat="1" ht="13.8" x14ac:dyDescent="0.25">
      <c r="A89" s="255">
        <v>45085</v>
      </c>
      <c r="B89" s="225" t="s">
        <v>414</v>
      </c>
      <c r="C89" s="242" t="s">
        <v>34</v>
      </c>
      <c r="D89" s="225" t="s">
        <v>4</v>
      </c>
      <c r="F89" s="225">
        <v>3500</v>
      </c>
      <c r="G89" s="215">
        <f>+G88+E89-F89</f>
        <v>33227881</v>
      </c>
      <c r="H89" s="225" t="s">
        <v>270</v>
      </c>
      <c r="I89" s="225" t="s">
        <v>307</v>
      </c>
      <c r="J89" s="242" t="s">
        <v>290</v>
      </c>
      <c r="K89" s="320" t="s">
        <v>199</v>
      </c>
      <c r="L89" s="320" t="s">
        <v>536</v>
      </c>
      <c r="M89" s="225" t="s">
        <v>594</v>
      </c>
      <c r="N89" s="242" t="s">
        <v>554</v>
      </c>
      <c r="P89" s="258"/>
      <c r="Q89" s="248"/>
      <c r="R89" s="248"/>
    </row>
    <row r="90" spans="1:18" s="225" customFormat="1" ht="13.8" x14ac:dyDescent="0.25">
      <c r="A90" s="241">
        <v>45085</v>
      </c>
      <c r="B90" s="242" t="s">
        <v>415</v>
      </c>
      <c r="C90" s="225" t="s">
        <v>34</v>
      </c>
      <c r="D90" s="225" t="s">
        <v>4</v>
      </c>
      <c r="E90" s="292"/>
      <c r="F90" s="256">
        <v>6000</v>
      </c>
      <c r="G90" s="215">
        <f>+G89+E90-F90</f>
        <v>33221881</v>
      </c>
      <c r="H90" s="225" t="s">
        <v>270</v>
      </c>
      <c r="I90" s="225" t="s">
        <v>307</v>
      </c>
      <c r="J90" s="242" t="s">
        <v>290</v>
      </c>
      <c r="K90" s="320" t="s">
        <v>199</v>
      </c>
      <c r="L90" s="320" t="s">
        <v>536</v>
      </c>
      <c r="M90" s="225" t="s">
        <v>595</v>
      </c>
      <c r="N90" s="242" t="s">
        <v>554</v>
      </c>
      <c r="O90" s="242"/>
      <c r="P90" s="258"/>
      <c r="Q90" s="248"/>
      <c r="R90" s="248"/>
    </row>
    <row r="91" spans="1:18" s="225" customFormat="1" ht="13.8" x14ac:dyDescent="0.25">
      <c r="A91" s="241">
        <v>45085</v>
      </c>
      <c r="B91" s="225" t="s">
        <v>416</v>
      </c>
      <c r="C91" s="242" t="s">
        <v>413</v>
      </c>
      <c r="D91" s="225" t="s">
        <v>4</v>
      </c>
      <c r="E91" s="215"/>
      <c r="F91" s="215">
        <v>20000</v>
      </c>
      <c r="G91" s="215">
        <f>+G90+E91-F91</f>
        <v>33201881</v>
      </c>
      <c r="H91" s="225" t="s">
        <v>270</v>
      </c>
      <c r="I91" s="225" t="s">
        <v>307</v>
      </c>
      <c r="J91" s="242" t="s">
        <v>102</v>
      </c>
      <c r="K91" s="242" t="s">
        <v>199</v>
      </c>
      <c r="L91" s="242" t="s">
        <v>536</v>
      </c>
      <c r="M91" s="225" t="s">
        <v>596</v>
      </c>
      <c r="N91" s="242" t="s">
        <v>558</v>
      </c>
      <c r="P91" s="258"/>
      <c r="Q91" s="248"/>
      <c r="R91" s="248"/>
    </row>
    <row r="92" spans="1:18" s="225" customFormat="1" ht="13.8" x14ac:dyDescent="0.25">
      <c r="A92" s="241">
        <v>45086</v>
      </c>
      <c r="B92" s="225" t="s">
        <v>500</v>
      </c>
      <c r="C92" s="242" t="s">
        <v>34</v>
      </c>
      <c r="D92" s="225" t="s">
        <v>4</v>
      </c>
      <c r="E92" s="215"/>
      <c r="F92" s="215">
        <v>8000</v>
      </c>
      <c r="G92" s="215">
        <f>+G91+E92-F92</f>
        <v>33193881</v>
      </c>
      <c r="H92" s="225" t="s">
        <v>29</v>
      </c>
      <c r="I92" s="225" t="s">
        <v>307</v>
      </c>
      <c r="J92" s="242" t="s">
        <v>290</v>
      </c>
      <c r="K92" s="320" t="s">
        <v>199</v>
      </c>
      <c r="L92" s="320" t="s">
        <v>536</v>
      </c>
      <c r="M92" s="225" t="s">
        <v>597</v>
      </c>
      <c r="N92" s="242" t="s">
        <v>554</v>
      </c>
      <c r="P92" s="258"/>
      <c r="Q92" s="248"/>
      <c r="R92" s="248"/>
    </row>
    <row r="93" spans="1:18" s="225" customFormat="1" ht="13.8" x14ac:dyDescent="0.25">
      <c r="A93" s="241">
        <v>45086</v>
      </c>
      <c r="B93" s="225" t="s">
        <v>452</v>
      </c>
      <c r="C93" s="242" t="s">
        <v>34</v>
      </c>
      <c r="D93" s="225" t="s">
        <v>4</v>
      </c>
      <c r="E93" s="215"/>
      <c r="F93" s="215">
        <v>10000</v>
      </c>
      <c r="G93" s="215">
        <f>+G92+E93-F93</f>
        <v>33183881</v>
      </c>
      <c r="H93" s="225" t="s">
        <v>269</v>
      </c>
      <c r="I93" s="225" t="s">
        <v>307</v>
      </c>
      <c r="J93" s="242" t="s">
        <v>290</v>
      </c>
      <c r="K93" s="320" t="s">
        <v>199</v>
      </c>
      <c r="L93" s="320" t="s">
        <v>536</v>
      </c>
      <c r="M93" s="225" t="s">
        <v>598</v>
      </c>
      <c r="N93" s="242" t="s">
        <v>554</v>
      </c>
      <c r="P93" s="258"/>
      <c r="Q93" s="248"/>
      <c r="R93" s="248"/>
    </row>
    <row r="94" spans="1:18" s="225" customFormat="1" ht="13.8" x14ac:dyDescent="0.25">
      <c r="A94" s="255">
        <v>45086</v>
      </c>
      <c r="B94" s="250" t="s">
        <v>357</v>
      </c>
      <c r="C94" s="242" t="s">
        <v>170</v>
      </c>
      <c r="D94" s="287" t="s">
        <v>2</v>
      </c>
      <c r="E94" s="252"/>
      <c r="F94" s="287">
        <v>393574</v>
      </c>
      <c r="G94" s="215">
        <f>+G93+E94-F94</f>
        <v>32790307</v>
      </c>
      <c r="H94" s="248" t="s">
        <v>25</v>
      </c>
      <c r="I94" s="225" t="s">
        <v>309</v>
      </c>
      <c r="J94" s="225" t="s">
        <v>102</v>
      </c>
      <c r="K94" s="242" t="s">
        <v>199</v>
      </c>
      <c r="L94" s="242" t="s">
        <v>536</v>
      </c>
      <c r="M94" s="225" t="s">
        <v>599</v>
      </c>
      <c r="N94" s="242" t="s">
        <v>548</v>
      </c>
      <c r="P94" s="254"/>
      <c r="Q94" s="248"/>
      <c r="R94" s="248"/>
    </row>
    <row r="95" spans="1:18" s="225" customFormat="1" ht="13.8" x14ac:dyDescent="0.25">
      <c r="A95" s="241">
        <v>45086</v>
      </c>
      <c r="B95" s="225" t="s">
        <v>358</v>
      </c>
      <c r="C95" s="242" t="s">
        <v>213</v>
      </c>
      <c r="D95" s="225" t="s">
        <v>302</v>
      </c>
      <c r="E95" s="215"/>
      <c r="F95" s="251">
        <f>3195+1590</f>
        <v>4785</v>
      </c>
      <c r="G95" s="215">
        <f>+G94+E95-F95</f>
        <v>32785522</v>
      </c>
      <c r="H95" s="225" t="s">
        <v>25</v>
      </c>
      <c r="I95" s="225" t="s">
        <v>307</v>
      </c>
      <c r="J95" s="225" t="s">
        <v>102</v>
      </c>
      <c r="K95" s="225" t="s">
        <v>199</v>
      </c>
      <c r="L95" s="225" t="s">
        <v>536</v>
      </c>
      <c r="M95" s="225" t="s">
        <v>600</v>
      </c>
      <c r="N95" s="225" t="s">
        <v>537</v>
      </c>
      <c r="P95" s="254"/>
      <c r="Q95" s="248"/>
      <c r="R95" s="248"/>
    </row>
    <row r="96" spans="1:18" s="225" customFormat="1" ht="13.8" x14ac:dyDescent="0.25">
      <c r="A96" s="241">
        <v>45086</v>
      </c>
      <c r="B96" s="225" t="s">
        <v>304</v>
      </c>
      <c r="C96" s="242" t="s">
        <v>75</v>
      </c>
      <c r="E96" s="215"/>
      <c r="F96" s="287">
        <v>53000</v>
      </c>
      <c r="G96" s="215">
        <f>+G95+E96-F96</f>
        <v>32732522</v>
      </c>
      <c r="H96" s="225" t="s">
        <v>25</v>
      </c>
      <c r="M96" s="246"/>
      <c r="P96" s="247"/>
    </row>
    <row r="97" spans="1:18" s="225" customFormat="1" ht="13.8" x14ac:dyDescent="0.25">
      <c r="A97" s="241">
        <v>45086</v>
      </c>
      <c r="B97" s="225" t="s">
        <v>270</v>
      </c>
      <c r="C97" s="242" t="s">
        <v>75</v>
      </c>
      <c r="D97" s="215"/>
      <c r="F97" s="288">
        <v>106500</v>
      </c>
      <c r="G97" s="215">
        <f>+G96+E97-F97</f>
        <v>32626022</v>
      </c>
      <c r="H97" s="225" t="s">
        <v>25</v>
      </c>
      <c r="K97" s="242"/>
      <c r="L97" s="242"/>
      <c r="N97" s="242"/>
      <c r="P97" s="247"/>
    </row>
    <row r="98" spans="1:18" s="225" customFormat="1" ht="13.8" x14ac:dyDescent="0.25">
      <c r="A98" s="241">
        <v>45086</v>
      </c>
      <c r="B98" s="225" t="s">
        <v>315</v>
      </c>
      <c r="C98" s="242" t="s">
        <v>75</v>
      </c>
      <c r="E98" s="291">
        <v>106500</v>
      </c>
      <c r="F98" s="291"/>
      <c r="G98" s="215">
        <f>+G97+E98-F98</f>
        <v>32732522</v>
      </c>
      <c r="H98" s="294" t="s">
        <v>270</v>
      </c>
      <c r="K98" s="242"/>
      <c r="L98" s="242"/>
      <c r="P98" s="247"/>
    </row>
    <row r="99" spans="1:18" s="225" customFormat="1" ht="13.8" x14ac:dyDescent="0.25">
      <c r="A99" s="241">
        <v>45086</v>
      </c>
      <c r="B99" s="250" t="s">
        <v>453</v>
      </c>
      <c r="C99" s="242" t="s">
        <v>413</v>
      </c>
      <c r="D99" s="225" t="s">
        <v>4</v>
      </c>
      <c r="E99" s="252"/>
      <c r="F99" s="252">
        <v>80000</v>
      </c>
      <c r="G99" s="215">
        <f>+G98+E99-F99</f>
        <v>32652522</v>
      </c>
      <c r="H99" s="225" t="s">
        <v>269</v>
      </c>
      <c r="I99" s="225" t="s">
        <v>307</v>
      </c>
      <c r="J99" s="242" t="s">
        <v>102</v>
      </c>
      <c r="K99" s="242" t="s">
        <v>199</v>
      </c>
      <c r="L99" s="242" t="s">
        <v>536</v>
      </c>
      <c r="M99" s="225" t="s">
        <v>601</v>
      </c>
      <c r="N99" s="242" t="s">
        <v>558</v>
      </c>
      <c r="P99" s="247"/>
    </row>
    <row r="100" spans="1:18" s="225" customFormat="1" ht="13.8" x14ac:dyDescent="0.25">
      <c r="A100" s="241">
        <v>45086</v>
      </c>
      <c r="B100" s="288" t="s">
        <v>470</v>
      </c>
      <c r="C100" s="287" t="s">
        <v>34</v>
      </c>
      <c r="D100" s="287" t="s">
        <v>2</v>
      </c>
      <c r="F100" s="225">
        <v>10000</v>
      </c>
      <c r="G100" s="215">
        <f>+G99+E100-F100</f>
        <v>32642522</v>
      </c>
      <c r="H100" s="225" t="s">
        <v>113</v>
      </c>
      <c r="I100" s="225" t="s">
        <v>309</v>
      </c>
      <c r="J100" s="242" t="s">
        <v>290</v>
      </c>
      <c r="K100" s="320" t="s">
        <v>199</v>
      </c>
      <c r="L100" s="320" t="s">
        <v>536</v>
      </c>
      <c r="M100" s="225" t="s">
        <v>602</v>
      </c>
      <c r="N100" s="242" t="s">
        <v>554</v>
      </c>
      <c r="P100" s="247"/>
    </row>
    <row r="101" spans="1:18" s="225" customFormat="1" ht="13.8" x14ac:dyDescent="0.25">
      <c r="A101" s="245">
        <v>45086</v>
      </c>
      <c r="B101" s="225" t="s">
        <v>501</v>
      </c>
      <c r="C101" s="242" t="s">
        <v>313</v>
      </c>
      <c r="D101" s="225" t="s">
        <v>4</v>
      </c>
      <c r="E101" s="215"/>
      <c r="F101" s="215">
        <v>80000</v>
      </c>
      <c r="G101" s="215">
        <f>+G100+E101-F101</f>
        <v>32562522</v>
      </c>
      <c r="H101" s="225" t="s">
        <v>29</v>
      </c>
      <c r="I101" s="225" t="s">
        <v>309</v>
      </c>
      <c r="J101" s="242" t="s">
        <v>102</v>
      </c>
      <c r="K101" s="242" t="s">
        <v>199</v>
      </c>
      <c r="L101" s="242" t="s">
        <v>536</v>
      </c>
      <c r="M101" s="225" t="s">
        <v>603</v>
      </c>
      <c r="N101" s="242" t="s">
        <v>558</v>
      </c>
      <c r="O101" s="215"/>
      <c r="P101" s="254"/>
      <c r="Q101" s="248"/>
      <c r="R101" s="248"/>
    </row>
    <row r="102" spans="1:18" s="225" customFormat="1" ht="13.8" x14ac:dyDescent="0.25">
      <c r="A102" s="241">
        <v>45086</v>
      </c>
      <c r="B102" s="320" t="s">
        <v>517</v>
      </c>
      <c r="C102" s="321" t="s">
        <v>313</v>
      </c>
      <c r="D102" s="225" t="s">
        <v>154</v>
      </c>
      <c r="E102" s="322"/>
      <c r="F102" s="322">
        <v>45000</v>
      </c>
      <c r="G102" s="215">
        <f>+G101+E102-F102</f>
        <v>32517522</v>
      </c>
      <c r="H102" s="320" t="s">
        <v>304</v>
      </c>
      <c r="I102" s="225" t="s">
        <v>307</v>
      </c>
      <c r="J102" s="320" t="s">
        <v>290</v>
      </c>
      <c r="K102" s="320" t="s">
        <v>198</v>
      </c>
      <c r="L102" s="320" t="s">
        <v>536</v>
      </c>
      <c r="M102" s="320"/>
      <c r="N102" s="320"/>
      <c r="O102" s="190"/>
      <c r="P102" s="254"/>
      <c r="Q102" s="248"/>
      <c r="R102" s="248"/>
    </row>
    <row r="103" spans="1:18" s="225" customFormat="1" ht="13.8" x14ac:dyDescent="0.25">
      <c r="A103" s="241">
        <v>45086</v>
      </c>
      <c r="B103" s="320" t="s">
        <v>518</v>
      </c>
      <c r="C103" s="321" t="s">
        <v>34</v>
      </c>
      <c r="D103" s="225" t="s">
        <v>154</v>
      </c>
      <c r="E103" s="322"/>
      <c r="F103" s="322">
        <v>5000</v>
      </c>
      <c r="G103" s="215">
        <f>+G102+E103-F103</f>
        <v>32512522</v>
      </c>
      <c r="H103" s="320" t="s">
        <v>304</v>
      </c>
      <c r="I103" s="225" t="s">
        <v>307</v>
      </c>
      <c r="J103" s="320" t="s">
        <v>290</v>
      </c>
      <c r="K103" s="320" t="s">
        <v>198</v>
      </c>
      <c r="L103" s="320" t="s">
        <v>536</v>
      </c>
      <c r="M103" s="320"/>
      <c r="N103" s="320"/>
      <c r="O103" s="190"/>
      <c r="P103" s="247"/>
      <c r="Q103" s="248"/>
      <c r="R103" s="248"/>
    </row>
    <row r="104" spans="1:18" s="225" customFormat="1" ht="13.8" x14ac:dyDescent="0.25">
      <c r="A104" s="220">
        <v>45086</v>
      </c>
      <c r="B104" s="320" t="s">
        <v>512</v>
      </c>
      <c r="C104" s="321" t="s">
        <v>513</v>
      </c>
      <c r="D104" s="321"/>
      <c r="E104" s="322">
        <v>53000</v>
      </c>
      <c r="F104" s="323"/>
      <c r="G104" s="215">
        <f>+G103+E104-F104</f>
        <v>32565522</v>
      </c>
      <c r="H104" s="320" t="s">
        <v>304</v>
      </c>
      <c r="I104" s="320"/>
      <c r="J104" s="320"/>
      <c r="K104" s="320"/>
      <c r="L104" s="320"/>
      <c r="M104" s="320"/>
      <c r="N104" s="320"/>
      <c r="O104" s="190"/>
      <c r="P104" s="254"/>
      <c r="Q104" s="248"/>
      <c r="R104" s="248"/>
    </row>
    <row r="105" spans="1:18" s="225" customFormat="1" ht="13.8" x14ac:dyDescent="0.25">
      <c r="A105" s="241">
        <v>45087</v>
      </c>
      <c r="B105" s="320" t="s">
        <v>519</v>
      </c>
      <c r="C105" s="324" t="s">
        <v>313</v>
      </c>
      <c r="D105" s="225" t="s">
        <v>154</v>
      </c>
      <c r="E105" s="322"/>
      <c r="F105" s="322">
        <v>15000</v>
      </c>
      <c r="G105" s="215">
        <f>+G104+E105-F105</f>
        <v>32550522</v>
      </c>
      <c r="H105" s="320" t="s">
        <v>304</v>
      </c>
      <c r="I105" s="225" t="s">
        <v>307</v>
      </c>
      <c r="J105" s="320" t="s">
        <v>290</v>
      </c>
      <c r="K105" s="320" t="s">
        <v>198</v>
      </c>
      <c r="L105" s="320" t="s">
        <v>536</v>
      </c>
      <c r="M105" s="320"/>
      <c r="N105" s="320"/>
      <c r="O105" s="190"/>
      <c r="P105" s="247"/>
    </row>
    <row r="106" spans="1:18" s="225" customFormat="1" ht="13.8" x14ac:dyDescent="0.25">
      <c r="A106" s="241">
        <v>45087</v>
      </c>
      <c r="B106" s="320" t="s">
        <v>520</v>
      </c>
      <c r="C106" s="321" t="s">
        <v>34</v>
      </c>
      <c r="D106" s="225" t="s">
        <v>154</v>
      </c>
      <c r="E106" s="322"/>
      <c r="F106" s="322">
        <v>10000</v>
      </c>
      <c r="G106" s="215">
        <f>+G105+E106-F106</f>
        <v>32540522</v>
      </c>
      <c r="H106" s="320" t="s">
        <v>304</v>
      </c>
      <c r="I106" s="225" t="s">
        <v>307</v>
      </c>
      <c r="J106" s="320" t="s">
        <v>290</v>
      </c>
      <c r="K106" s="320" t="s">
        <v>198</v>
      </c>
      <c r="L106" s="320" t="s">
        <v>536</v>
      </c>
      <c r="M106" s="320"/>
      <c r="N106" s="320"/>
      <c r="O106" s="190"/>
      <c r="P106" s="247"/>
    </row>
    <row r="107" spans="1:18" s="225" customFormat="1" ht="13.8" x14ac:dyDescent="0.25">
      <c r="A107" s="249">
        <v>45088</v>
      </c>
      <c r="B107" s="297" t="s">
        <v>454</v>
      </c>
      <c r="C107" s="242" t="s">
        <v>413</v>
      </c>
      <c r="D107" s="225" t="s">
        <v>4</v>
      </c>
      <c r="E107" s="297"/>
      <c r="F107" s="297">
        <v>20000</v>
      </c>
      <c r="G107" s="215">
        <f>+G106+E107-F107</f>
        <v>32520522</v>
      </c>
      <c r="H107" s="225" t="s">
        <v>269</v>
      </c>
      <c r="I107" s="225" t="s">
        <v>307</v>
      </c>
      <c r="J107" s="242" t="s">
        <v>102</v>
      </c>
      <c r="K107" s="242" t="s">
        <v>199</v>
      </c>
      <c r="L107" s="242" t="s">
        <v>536</v>
      </c>
      <c r="M107" s="225" t="s">
        <v>604</v>
      </c>
      <c r="N107" s="242" t="s">
        <v>558</v>
      </c>
      <c r="O107" s="297"/>
      <c r="P107" s="247"/>
    </row>
    <row r="108" spans="1:18" s="225" customFormat="1" ht="13.8" x14ac:dyDescent="0.25">
      <c r="A108" s="249">
        <v>45088</v>
      </c>
      <c r="B108" s="225" t="s">
        <v>455</v>
      </c>
      <c r="C108" s="242" t="s">
        <v>456</v>
      </c>
      <c r="D108" s="225" t="s">
        <v>4</v>
      </c>
      <c r="E108" s="215"/>
      <c r="F108" s="215">
        <v>8000</v>
      </c>
      <c r="G108" s="215">
        <f>+G107+E108-F108</f>
        <v>32512522</v>
      </c>
      <c r="H108" s="225" t="s">
        <v>269</v>
      </c>
      <c r="I108" s="225" t="s">
        <v>307</v>
      </c>
      <c r="J108" s="242" t="s">
        <v>290</v>
      </c>
      <c r="K108" s="320" t="s">
        <v>199</v>
      </c>
      <c r="L108" s="320" t="s">
        <v>536</v>
      </c>
      <c r="M108" s="225" t="s">
        <v>605</v>
      </c>
      <c r="N108" s="242" t="s">
        <v>554</v>
      </c>
      <c r="O108" s="234"/>
      <c r="P108" s="247"/>
    </row>
    <row r="109" spans="1:18" s="225" customFormat="1" ht="13.8" x14ac:dyDescent="0.25">
      <c r="A109" s="241">
        <v>45089</v>
      </c>
      <c r="B109" s="225" t="s">
        <v>387</v>
      </c>
      <c r="C109" s="242" t="s">
        <v>75</v>
      </c>
      <c r="D109" s="287"/>
      <c r="E109" s="215">
        <v>19049328</v>
      </c>
      <c r="G109" s="215">
        <f>+G108+E109-F109</f>
        <v>51561850</v>
      </c>
      <c r="H109" s="157" t="s">
        <v>148</v>
      </c>
      <c r="I109" s="221" t="s">
        <v>385</v>
      </c>
      <c r="K109" s="242"/>
      <c r="L109" s="242"/>
      <c r="M109" s="246"/>
      <c r="N109" s="242"/>
      <c r="P109" s="247"/>
    </row>
    <row r="110" spans="1:18" s="225" customFormat="1" ht="13.8" x14ac:dyDescent="0.25">
      <c r="A110" s="241">
        <v>45089</v>
      </c>
      <c r="B110" s="225" t="s">
        <v>359</v>
      </c>
      <c r="C110" s="242" t="s">
        <v>213</v>
      </c>
      <c r="D110" s="225" t="s">
        <v>302</v>
      </c>
      <c r="E110" s="215"/>
      <c r="F110" s="215">
        <v>6000</v>
      </c>
      <c r="G110" s="215">
        <f>+G109+E110-F110</f>
        <v>51555850</v>
      </c>
      <c r="H110" s="225" t="s">
        <v>25</v>
      </c>
      <c r="I110" s="225" t="s">
        <v>307</v>
      </c>
      <c r="J110" s="225" t="s">
        <v>102</v>
      </c>
      <c r="K110" s="225" t="s">
        <v>199</v>
      </c>
      <c r="L110" s="225" t="s">
        <v>536</v>
      </c>
      <c r="M110" s="225" t="s">
        <v>606</v>
      </c>
      <c r="N110" s="225" t="s">
        <v>537</v>
      </c>
      <c r="P110" s="247"/>
    </row>
    <row r="111" spans="1:18" s="225" customFormat="1" ht="13.8" x14ac:dyDescent="0.25">
      <c r="A111" s="241">
        <v>45089</v>
      </c>
      <c r="B111" s="225" t="s">
        <v>669</v>
      </c>
      <c r="C111" s="242" t="s">
        <v>230</v>
      </c>
      <c r="D111" s="242" t="s">
        <v>155</v>
      </c>
      <c r="F111" s="288">
        <v>22000</v>
      </c>
      <c r="G111" s="215">
        <f>+G110+E111-F111</f>
        <v>51533850</v>
      </c>
      <c r="H111" s="225" t="s">
        <v>25</v>
      </c>
      <c r="I111" s="225" t="s">
        <v>309</v>
      </c>
      <c r="J111" s="225" t="s">
        <v>290</v>
      </c>
      <c r="K111" s="248" t="s">
        <v>198</v>
      </c>
      <c r="L111" s="225" t="s">
        <v>536</v>
      </c>
      <c r="M111" s="246"/>
      <c r="N111" s="215"/>
      <c r="O111" s="215"/>
      <c r="P111" s="247"/>
    </row>
    <row r="112" spans="1:18" s="225" customFormat="1" ht="13.8" x14ac:dyDescent="0.25">
      <c r="A112" s="249">
        <v>45089</v>
      </c>
      <c r="B112" s="225" t="s">
        <v>546</v>
      </c>
      <c r="C112" s="242" t="s">
        <v>239</v>
      </c>
      <c r="D112" s="225" t="s">
        <v>302</v>
      </c>
      <c r="F112" s="288">
        <v>40000</v>
      </c>
      <c r="G112" s="215">
        <f>+G111+E112-F112</f>
        <v>51493850</v>
      </c>
      <c r="H112" s="248" t="s">
        <v>25</v>
      </c>
      <c r="I112" s="225" t="s">
        <v>307</v>
      </c>
      <c r="J112" s="225" t="s">
        <v>290</v>
      </c>
      <c r="K112" s="225" t="s">
        <v>198</v>
      </c>
      <c r="L112" s="242" t="s">
        <v>536</v>
      </c>
      <c r="M112" s="246"/>
      <c r="P112" s="247"/>
    </row>
    <row r="113" spans="1:16" s="225" customFormat="1" ht="13.8" x14ac:dyDescent="0.25">
      <c r="A113" s="241">
        <v>45089</v>
      </c>
      <c r="B113" s="250" t="s">
        <v>545</v>
      </c>
      <c r="C113" s="242" t="s">
        <v>239</v>
      </c>
      <c r="D113" s="225" t="s">
        <v>302</v>
      </c>
      <c r="E113" s="193"/>
      <c r="F113" s="287">
        <v>9000</v>
      </c>
      <c r="G113" s="215">
        <f>+G112+E113-F113</f>
        <v>51484850</v>
      </c>
      <c r="H113" s="215" t="s">
        <v>25</v>
      </c>
      <c r="I113" s="225" t="s">
        <v>307</v>
      </c>
      <c r="J113" s="225" t="s">
        <v>102</v>
      </c>
      <c r="K113" s="225" t="s">
        <v>199</v>
      </c>
      <c r="L113" s="225" t="s">
        <v>536</v>
      </c>
      <c r="M113" s="225" t="s">
        <v>607</v>
      </c>
      <c r="N113" s="225" t="s">
        <v>542</v>
      </c>
      <c r="P113" s="247"/>
    </row>
    <row r="114" spans="1:16" s="225" customFormat="1" ht="13.8" x14ac:dyDescent="0.25">
      <c r="A114" s="241">
        <v>45089</v>
      </c>
      <c r="B114" s="225" t="s">
        <v>306</v>
      </c>
      <c r="C114" s="403" t="s">
        <v>735</v>
      </c>
      <c r="D114" s="287" t="s">
        <v>2</v>
      </c>
      <c r="E114" s="215"/>
      <c r="F114" s="287">
        <v>10000</v>
      </c>
      <c r="G114" s="215">
        <f>+G113+E114-F114</f>
        <v>51474850</v>
      </c>
      <c r="H114" s="225" t="s">
        <v>25</v>
      </c>
      <c r="I114" s="225" t="s">
        <v>307</v>
      </c>
      <c r="J114" s="225" t="s">
        <v>290</v>
      </c>
      <c r="K114" s="248" t="s">
        <v>198</v>
      </c>
      <c r="L114" s="225" t="s">
        <v>536</v>
      </c>
      <c r="P114" s="247"/>
    </row>
    <row r="115" spans="1:16" s="225" customFormat="1" ht="13.8" x14ac:dyDescent="0.25">
      <c r="A115" s="245">
        <v>45089</v>
      </c>
      <c r="B115" s="225" t="s">
        <v>269</v>
      </c>
      <c r="C115" s="242" t="s">
        <v>75</v>
      </c>
      <c r="D115" s="232"/>
      <c r="E115" s="292"/>
      <c r="F115" s="292">
        <v>100000</v>
      </c>
      <c r="G115" s="215">
        <f>+G114+E115-F115</f>
        <v>51374850</v>
      </c>
      <c r="H115" s="225" t="s">
        <v>25</v>
      </c>
      <c r="I115" s="221"/>
      <c r="M115" s="246"/>
      <c r="N115" s="242"/>
      <c r="P115" s="247"/>
    </row>
    <row r="116" spans="1:16" s="225" customFormat="1" ht="13.8" x14ac:dyDescent="0.25">
      <c r="A116" s="241">
        <v>45089</v>
      </c>
      <c r="B116" s="215" t="s">
        <v>29</v>
      </c>
      <c r="C116" s="242" t="s">
        <v>75</v>
      </c>
      <c r="D116" s="232"/>
      <c r="F116" s="221">
        <v>100000</v>
      </c>
      <c r="G116" s="215">
        <f>+G115+E116-F116</f>
        <v>51274850</v>
      </c>
      <c r="H116" s="225" t="s">
        <v>25</v>
      </c>
      <c r="I116" s="221"/>
      <c r="J116" s="242"/>
      <c r="M116" s="246"/>
      <c r="P116" s="247"/>
    </row>
    <row r="117" spans="1:16" s="225" customFormat="1" ht="13.8" x14ac:dyDescent="0.25">
      <c r="A117" s="241">
        <v>45089</v>
      </c>
      <c r="B117" s="242" t="s">
        <v>47</v>
      </c>
      <c r="C117" s="242" t="s">
        <v>75</v>
      </c>
      <c r="E117" s="242"/>
      <c r="F117" s="288">
        <v>35000</v>
      </c>
      <c r="G117" s="215">
        <f>+G116+E117-F117</f>
        <v>51239850</v>
      </c>
      <c r="H117" s="242" t="s">
        <v>25</v>
      </c>
      <c r="N117" s="242"/>
      <c r="O117" s="242"/>
      <c r="P117" s="247"/>
    </row>
    <row r="118" spans="1:16" s="225" customFormat="1" ht="13.8" x14ac:dyDescent="0.25">
      <c r="A118" s="255">
        <v>45089</v>
      </c>
      <c r="B118" s="225" t="s">
        <v>303</v>
      </c>
      <c r="C118" s="242" t="s">
        <v>75</v>
      </c>
      <c r="E118" s="215"/>
      <c r="F118" s="287">
        <v>172000</v>
      </c>
      <c r="G118" s="215">
        <f>+G117+E118-F118</f>
        <v>51067850</v>
      </c>
      <c r="H118" s="225" t="s">
        <v>25</v>
      </c>
      <c r="K118" s="242"/>
      <c r="L118" s="242"/>
      <c r="N118" s="242"/>
      <c r="P118" s="247"/>
    </row>
    <row r="119" spans="1:16" s="225" customFormat="1" ht="13.8" x14ac:dyDescent="0.25">
      <c r="A119" s="241">
        <v>45089</v>
      </c>
      <c r="B119" s="225" t="s">
        <v>671</v>
      </c>
      <c r="C119" s="242" t="s">
        <v>75</v>
      </c>
      <c r="D119" s="287"/>
      <c r="F119" s="225">
        <v>19049328</v>
      </c>
      <c r="G119" s="215">
        <f>+G118+E119-F119</f>
        <v>32018522</v>
      </c>
      <c r="H119" s="157" t="s">
        <v>24</v>
      </c>
      <c r="I119" s="221" t="s">
        <v>385</v>
      </c>
      <c r="J119" s="242"/>
      <c r="K119" s="242"/>
      <c r="L119" s="242"/>
      <c r="N119" s="242"/>
      <c r="P119" s="247"/>
    </row>
    <row r="120" spans="1:16" s="225" customFormat="1" ht="13.8" x14ac:dyDescent="0.25">
      <c r="A120" s="241">
        <v>45089</v>
      </c>
      <c r="B120" s="225" t="s">
        <v>538</v>
      </c>
      <c r="C120" s="225" t="s">
        <v>388</v>
      </c>
      <c r="D120" s="225" t="s">
        <v>302</v>
      </c>
      <c r="F120" s="225">
        <v>440000</v>
      </c>
      <c r="G120" s="215">
        <f>+G119+E120-F120</f>
        <v>31578522</v>
      </c>
      <c r="H120" s="157" t="s">
        <v>148</v>
      </c>
      <c r="I120" s="221">
        <v>3667348</v>
      </c>
      <c r="J120" s="225" t="s">
        <v>102</v>
      </c>
      <c r="K120" s="242" t="s">
        <v>199</v>
      </c>
      <c r="L120" s="242" t="s">
        <v>536</v>
      </c>
      <c r="M120" s="225" t="s">
        <v>608</v>
      </c>
      <c r="N120" s="225" t="s">
        <v>539</v>
      </c>
      <c r="P120" s="247"/>
    </row>
    <row r="121" spans="1:16" s="225" customFormat="1" ht="13.8" x14ac:dyDescent="0.25">
      <c r="A121" s="241">
        <v>45089</v>
      </c>
      <c r="B121" s="225" t="s">
        <v>321</v>
      </c>
      <c r="C121" s="242" t="s">
        <v>75</v>
      </c>
      <c r="E121" s="225">
        <v>35000</v>
      </c>
      <c r="F121" s="287"/>
      <c r="G121" s="215">
        <f>+G120+E121-F121</f>
        <v>31613522</v>
      </c>
      <c r="H121" s="215" t="s">
        <v>47</v>
      </c>
      <c r="K121" s="248"/>
      <c r="N121" s="242"/>
      <c r="P121" s="247"/>
    </row>
    <row r="122" spans="1:16" s="225" customFormat="1" ht="13.8" x14ac:dyDescent="0.25">
      <c r="A122" s="255">
        <v>45089</v>
      </c>
      <c r="B122" s="225" t="s">
        <v>316</v>
      </c>
      <c r="C122" s="242" t="s">
        <v>75</v>
      </c>
      <c r="E122" s="215">
        <v>100000</v>
      </c>
      <c r="F122" s="251"/>
      <c r="G122" s="215">
        <f>+G121+E122-F122</f>
        <v>31713522</v>
      </c>
      <c r="H122" s="225" t="s">
        <v>269</v>
      </c>
      <c r="K122" s="248"/>
      <c r="M122" s="246"/>
      <c r="N122" s="242"/>
      <c r="P122" s="247"/>
    </row>
    <row r="123" spans="1:16" s="225" customFormat="1" ht="13.8" x14ac:dyDescent="0.25">
      <c r="A123" s="241">
        <v>45089</v>
      </c>
      <c r="B123" s="225" t="s">
        <v>319</v>
      </c>
      <c r="C123" s="242" t="s">
        <v>75</v>
      </c>
      <c r="E123" s="215">
        <v>172000</v>
      </c>
      <c r="F123" s="251"/>
      <c r="G123" s="215">
        <f>+G122+E123-F123</f>
        <v>31885522</v>
      </c>
      <c r="H123" s="248" t="s">
        <v>303</v>
      </c>
      <c r="M123" s="246"/>
      <c r="N123" s="242"/>
      <c r="P123" s="247"/>
    </row>
    <row r="124" spans="1:16" s="225" customFormat="1" ht="13.8" x14ac:dyDescent="0.25">
      <c r="A124" s="220">
        <v>45089</v>
      </c>
      <c r="B124" s="231" t="s">
        <v>499</v>
      </c>
      <c r="C124" s="242" t="s">
        <v>75</v>
      </c>
      <c r="D124" s="227"/>
      <c r="E124" s="227">
        <v>100000</v>
      </c>
      <c r="F124" s="213"/>
      <c r="G124" s="215">
        <f>+G123+E124-F124</f>
        <v>31985522</v>
      </c>
      <c r="H124" s="227" t="s">
        <v>29</v>
      </c>
      <c r="I124" s="227"/>
      <c r="J124" s="227"/>
      <c r="K124" s="227"/>
      <c r="L124" s="227"/>
      <c r="M124" s="227"/>
      <c r="N124" s="227"/>
      <c r="O124" s="227"/>
      <c r="P124" s="247"/>
    </row>
    <row r="125" spans="1:16" s="400" customFormat="1" ht="17.25" customHeight="1" x14ac:dyDescent="0.25">
      <c r="A125" s="404">
        <v>45089</v>
      </c>
      <c r="B125" s="405" t="s">
        <v>736</v>
      </c>
      <c r="C125" s="400" t="s">
        <v>388</v>
      </c>
      <c r="D125" s="400" t="s">
        <v>2</v>
      </c>
      <c r="F125" s="400">
        <v>300000</v>
      </c>
      <c r="G125" s="402">
        <f t="shared" ref="G125:G128" si="0">+G122+E125-F125</f>
        <v>31413522</v>
      </c>
      <c r="H125" s="201" t="s">
        <v>148</v>
      </c>
      <c r="I125" s="406">
        <v>3667348</v>
      </c>
      <c r="J125" s="400" t="s">
        <v>102</v>
      </c>
      <c r="K125" s="403" t="s">
        <v>199</v>
      </c>
      <c r="L125" s="403" t="s">
        <v>536</v>
      </c>
      <c r="M125" s="400" t="s">
        <v>609</v>
      </c>
      <c r="N125" s="400" t="s">
        <v>539</v>
      </c>
      <c r="P125" s="229"/>
    </row>
    <row r="126" spans="1:16" s="400" customFormat="1" ht="17.25" customHeight="1" x14ac:dyDescent="0.25">
      <c r="A126" s="404">
        <v>45089</v>
      </c>
      <c r="B126" s="405" t="s">
        <v>738</v>
      </c>
      <c r="C126" s="400" t="s">
        <v>388</v>
      </c>
      <c r="D126" s="400" t="s">
        <v>154</v>
      </c>
      <c r="F126" s="400">
        <v>600000</v>
      </c>
      <c r="G126" s="402">
        <f t="shared" si="0"/>
        <v>31285522</v>
      </c>
      <c r="H126" s="201" t="s">
        <v>148</v>
      </c>
      <c r="I126" s="406">
        <v>3667348</v>
      </c>
      <c r="J126" s="400" t="s">
        <v>102</v>
      </c>
      <c r="K126" s="403" t="s">
        <v>199</v>
      </c>
      <c r="L126" s="403" t="s">
        <v>536</v>
      </c>
      <c r="M126" s="400" t="s">
        <v>737</v>
      </c>
      <c r="N126" s="400" t="s">
        <v>539</v>
      </c>
      <c r="P126" s="229"/>
    </row>
    <row r="127" spans="1:16" s="225" customFormat="1" ht="17.25" customHeight="1" x14ac:dyDescent="0.25">
      <c r="A127" s="249">
        <v>45089</v>
      </c>
      <c r="B127" s="225" t="s">
        <v>534</v>
      </c>
      <c r="C127" s="225" t="s">
        <v>386</v>
      </c>
      <c r="D127" s="225" t="s">
        <v>302</v>
      </c>
      <c r="F127" s="225">
        <v>26591</v>
      </c>
      <c r="G127" s="402">
        <f t="shared" si="0"/>
        <v>31958931</v>
      </c>
      <c r="H127" s="157" t="s">
        <v>148</v>
      </c>
      <c r="I127" s="250" t="s">
        <v>308</v>
      </c>
      <c r="J127" s="225" t="s">
        <v>102</v>
      </c>
      <c r="K127" s="225" t="s">
        <v>199</v>
      </c>
      <c r="L127" s="225" t="s">
        <v>536</v>
      </c>
      <c r="M127" s="225" t="s">
        <v>610</v>
      </c>
      <c r="N127" s="242" t="s">
        <v>537</v>
      </c>
      <c r="O127" s="242"/>
      <c r="P127" s="247"/>
    </row>
    <row r="128" spans="1:16" s="225" customFormat="1" ht="17.25" customHeight="1" x14ac:dyDescent="0.25">
      <c r="A128" s="241">
        <v>45089</v>
      </c>
      <c r="B128" s="288" t="s">
        <v>417</v>
      </c>
      <c r="C128" s="225" t="s">
        <v>34</v>
      </c>
      <c r="D128" s="225" t="s">
        <v>4</v>
      </c>
      <c r="F128" s="225">
        <v>15000</v>
      </c>
      <c r="G128" s="402">
        <f t="shared" si="0"/>
        <v>31398522</v>
      </c>
      <c r="H128" s="225" t="s">
        <v>270</v>
      </c>
      <c r="I128" s="225" t="s">
        <v>307</v>
      </c>
      <c r="J128" s="242" t="s">
        <v>290</v>
      </c>
      <c r="K128" s="320" t="s">
        <v>199</v>
      </c>
      <c r="L128" s="320" t="s">
        <v>536</v>
      </c>
      <c r="M128" s="225" t="s">
        <v>611</v>
      </c>
      <c r="N128" s="242" t="s">
        <v>554</v>
      </c>
      <c r="P128" s="247"/>
    </row>
    <row r="129" spans="1:16" s="225" customFormat="1" ht="17.25" customHeight="1" x14ac:dyDescent="0.25">
      <c r="A129" s="255">
        <v>45089</v>
      </c>
      <c r="B129" s="225" t="s">
        <v>436</v>
      </c>
      <c r="C129" s="232" t="s">
        <v>34</v>
      </c>
      <c r="D129" s="225" t="s">
        <v>154</v>
      </c>
      <c r="E129" s="215"/>
      <c r="F129" s="215">
        <v>10300</v>
      </c>
      <c r="G129" s="215">
        <f>+G128+E129-F129</f>
        <v>31388222</v>
      </c>
      <c r="H129" s="225" t="s">
        <v>197</v>
      </c>
      <c r="I129" s="225" t="s">
        <v>309</v>
      </c>
      <c r="J129" s="242" t="s">
        <v>290</v>
      </c>
      <c r="K129" s="320" t="s">
        <v>199</v>
      </c>
      <c r="L129" s="320" t="s">
        <v>536</v>
      </c>
      <c r="M129" s="225" t="s">
        <v>612</v>
      </c>
      <c r="N129" s="242" t="s">
        <v>554</v>
      </c>
      <c r="P129" s="247"/>
    </row>
    <row r="130" spans="1:16" s="225" customFormat="1" ht="17.25" customHeight="1" x14ac:dyDescent="0.25">
      <c r="A130" s="241">
        <v>45089</v>
      </c>
      <c r="B130" s="250" t="s">
        <v>672</v>
      </c>
      <c r="C130" s="242" t="s">
        <v>34</v>
      </c>
      <c r="D130" s="225" t="s">
        <v>154</v>
      </c>
      <c r="F130" s="288">
        <v>10000</v>
      </c>
      <c r="G130" s="215">
        <f>+G129+E130-F130</f>
        <v>31378222</v>
      </c>
      <c r="H130" s="248" t="s">
        <v>303</v>
      </c>
      <c r="I130" s="225" t="s">
        <v>307</v>
      </c>
      <c r="J130" s="242" t="s">
        <v>290</v>
      </c>
      <c r="K130" s="320" t="s">
        <v>199</v>
      </c>
      <c r="L130" s="320" t="s">
        <v>536</v>
      </c>
      <c r="M130" s="225" t="s">
        <v>613</v>
      </c>
      <c r="N130" s="242" t="s">
        <v>554</v>
      </c>
      <c r="O130" s="234"/>
      <c r="P130" s="247"/>
    </row>
    <row r="131" spans="1:16" s="225" customFormat="1" ht="17.25" customHeight="1" x14ac:dyDescent="0.25">
      <c r="A131" s="245">
        <v>45090</v>
      </c>
      <c r="B131" s="225" t="s">
        <v>306</v>
      </c>
      <c r="C131" s="403" t="s">
        <v>735</v>
      </c>
      <c r="D131" s="287" t="s">
        <v>2</v>
      </c>
      <c r="E131" s="215"/>
      <c r="F131" s="215">
        <v>30000</v>
      </c>
      <c r="G131" s="215">
        <f>+G130+E131-F131</f>
        <v>31348222</v>
      </c>
      <c r="H131" s="225" t="s">
        <v>25</v>
      </c>
      <c r="I131" s="225" t="s">
        <v>307</v>
      </c>
      <c r="J131" s="225" t="s">
        <v>290</v>
      </c>
      <c r="K131" s="248" t="s">
        <v>198</v>
      </c>
      <c r="L131" s="225" t="s">
        <v>536</v>
      </c>
      <c r="P131" s="247"/>
    </row>
    <row r="132" spans="1:16" s="225" customFormat="1" ht="17.25" customHeight="1" x14ac:dyDescent="0.25">
      <c r="A132" s="241">
        <v>45090</v>
      </c>
      <c r="B132" s="242" t="s">
        <v>360</v>
      </c>
      <c r="C132" s="242" t="s">
        <v>281</v>
      </c>
      <c r="D132" s="225" t="s">
        <v>154</v>
      </c>
      <c r="E132" s="242"/>
      <c r="F132" s="242">
        <v>76000</v>
      </c>
      <c r="G132" s="215">
        <f>+G131+E132-F132</f>
        <v>31272222</v>
      </c>
      <c r="H132" s="242" t="s">
        <v>25</v>
      </c>
      <c r="I132" s="225" t="s">
        <v>307</v>
      </c>
      <c r="J132" s="225" t="s">
        <v>102</v>
      </c>
      <c r="K132" s="225" t="s">
        <v>199</v>
      </c>
      <c r="L132" s="225" t="s">
        <v>536</v>
      </c>
      <c r="M132" s="225" t="s">
        <v>614</v>
      </c>
      <c r="N132" s="225" t="s">
        <v>541</v>
      </c>
      <c r="O132" s="242"/>
      <c r="P132" s="247"/>
    </row>
    <row r="133" spans="1:16" s="225" customFormat="1" ht="17.25" customHeight="1" x14ac:dyDescent="0.25">
      <c r="A133" s="241">
        <v>45090</v>
      </c>
      <c r="B133" s="242" t="s">
        <v>533</v>
      </c>
      <c r="C133" s="225" t="s">
        <v>386</v>
      </c>
      <c r="D133" s="225" t="s">
        <v>302</v>
      </c>
      <c r="F133" s="225">
        <v>35235</v>
      </c>
      <c r="G133" s="215">
        <f>+G132+E133-F133</f>
        <v>31236987</v>
      </c>
      <c r="H133" s="157" t="s">
        <v>24</v>
      </c>
      <c r="I133" s="250" t="s">
        <v>308</v>
      </c>
      <c r="J133" s="242" t="s">
        <v>290</v>
      </c>
      <c r="K133" s="242" t="s">
        <v>198</v>
      </c>
      <c r="L133" s="242" t="s">
        <v>536</v>
      </c>
      <c r="N133" s="242"/>
      <c r="O133" s="242"/>
      <c r="P133" s="247"/>
    </row>
    <row r="134" spans="1:16" s="225" customFormat="1" ht="17.25" customHeight="1" x14ac:dyDescent="0.25">
      <c r="A134" s="241">
        <v>45090</v>
      </c>
      <c r="B134" s="232" t="s">
        <v>389</v>
      </c>
      <c r="C134" s="225" t="s">
        <v>281</v>
      </c>
      <c r="D134" s="225" t="s">
        <v>154</v>
      </c>
      <c r="E134" s="252"/>
      <c r="F134" s="225">
        <v>200000</v>
      </c>
      <c r="G134" s="215">
        <f>+G133+E134-F134</f>
        <v>31036987</v>
      </c>
      <c r="H134" s="157" t="s">
        <v>148</v>
      </c>
      <c r="I134" s="221">
        <v>3667349</v>
      </c>
      <c r="J134" s="225" t="s">
        <v>102</v>
      </c>
      <c r="K134" s="225" t="s">
        <v>199</v>
      </c>
      <c r="L134" s="225" t="s">
        <v>536</v>
      </c>
      <c r="M134" s="225" t="s">
        <v>615</v>
      </c>
      <c r="N134" s="225" t="s">
        <v>541</v>
      </c>
      <c r="P134" s="247"/>
    </row>
    <row r="135" spans="1:16" s="225" customFormat="1" ht="17.25" customHeight="1" x14ac:dyDescent="0.25">
      <c r="A135" s="241">
        <v>45090</v>
      </c>
      <c r="B135" s="288" t="s">
        <v>734</v>
      </c>
      <c r="C135" s="225" t="s">
        <v>413</v>
      </c>
      <c r="D135" s="225" t="s">
        <v>4</v>
      </c>
      <c r="F135" s="225">
        <v>75000</v>
      </c>
      <c r="G135" s="215">
        <f>+G134+E135-F135</f>
        <v>30961987</v>
      </c>
      <c r="H135" s="225" t="s">
        <v>270</v>
      </c>
      <c r="I135" s="225" t="s">
        <v>307</v>
      </c>
      <c r="J135" s="242" t="s">
        <v>102</v>
      </c>
      <c r="K135" s="242" t="s">
        <v>199</v>
      </c>
      <c r="L135" s="242" t="s">
        <v>536</v>
      </c>
      <c r="M135" s="225" t="s">
        <v>616</v>
      </c>
      <c r="N135" s="242" t="s">
        <v>558</v>
      </c>
      <c r="P135" s="247"/>
    </row>
    <row r="136" spans="1:16" s="225" customFormat="1" ht="17.25" customHeight="1" x14ac:dyDescent="0.25">
      <c r="A136" s="241">
        <v>45090</v>
      </c>
      <c r="B136" s="221" t="s">
        <v>555</v>
      </c>
      <c r="C136" s="259" t="s">
        <v>313</v>
      </c>
      <c r="D136" s="225" t="s">
        <v>154</v>
      </c>
      <c r="F136" s="288">
        <v>30000</v>
      </c>
      <c r="G136" s="215">
        <f>+G135+E136-F136</f>
        <v>30931987</v>
      </c>
      <c r="H136" s="248" t="s">
        <v>303</v>
      </c>
      <c r="I136" s="225" t="s">
        <v>309</v>
      </c>
      <c r="J136" s="242" t="s">
        <v>102</v>
      </c>
      <c r="K136" s="242" t="s">
        <v>199</v>
      </c>
      <c r="L136" s="242" t="s">
        <v>536</v>
      </c>
      <c r="M136" s="225" t="s">
        <v>617</v>
      </c>
      <c r="N136" s="242" t="s">
        <v>558</v>
      </c>
      <c r="O136" s="234"/>
      <c r="P136" s="247"/>
    </row>
    <row r="137" spans="1:16" s="225" customFormat="1" ht="17.25" customHeight="1" x14ac:dyDescent="0.25">
      <c r="A137" s="241">
        <v>45090</v>
      </c>
      <c r="B137" s="250" t="s">
        <v>661</v>
      </c>
      <c r="C137" s="242" t="s">
        <v>313</v>
      </c>
      <c r="D137" s="225" t="s">
        <v>4</v>
      </c>
      <c r="E137" s="193"/>
      <c r="F137" s="215">
        <v>60000</v>
      </c>
      <c r="G137" s="215">
        <f>+G136+E137-F137</f>
        <v>30871987</v>
      </c>
      <c r="H137" s="215" t="s">
        <v>29</v>
      </c>
      <c r="I137" s="225" t="s">
        <v>307</v>
      </c>
      <c r="J137" s="242" t="s">
        <v>102</v>
      </c>
      <c r="K137" s="242" t="s">
        <v>199</v>
      </c>
      <c r="L137" s="242" t="s">
        <v>536</v>
      </c>
      <c r="M137" s="225" t="s">
        <v>618</v>
      </c>
      <c r="N137" s="242" t="s">
        <v>558</v>
      </c>
      <c r="P137" s="247"/>
    </row>
    <row r="138" spans="1:16" s="225" customFormat="1" ht="17.25" customHeight="1" x14ac:dyDescent="0.25">
      <c r="A138" s="241">
        <v>45090</v>
      </c>
      <c r="B138" s="225" t="s">
        <v>502</v>
      </c>
      <c r="C138" s="242" t="s">
        <v>34</v>
      </c>
      <c r="D138" s="225" t="s">
        <v>4</v>
      </c>
      <c r="E138" s="242"/>
      <c r="F138" s="292">
        <v>3000</v>
      </c>
      <c r="G138" s="215">
        <f>+G137+E138-F138</f>
        <v>30868987</v>
      </c>
      <c r="H138" s="225" t="s">
        <v>29</v>
      </c>
      <c r="I138" s="225" t="s">
        <v>307</v>
      </c>
      <c r="J138" s="242" t="s">
        <v>290</v>
      </c>
      <c r="K138" s="320" t="s">
        <v>199</v>
      </c>
      <c r="L138" s="320" t="s">
        <v>536</v>
      </c>
      <c r="M138" s="225" t="s">
        <v>619</v>
      </c>
      <c r="N138" s="242" t="s">
        <v>554</v>
      </c>
      <c r="P138" s="247"/>
    </row>
    <row r="139" spans="1:16" s="225" customFormat="1" ht="17.25" customHeight="1" x14ac:dyDescent="0.25">
      <c r="A139" s="249">
        <v>45091</v>
      </c>
      <c r="B139" s="225" t="s">
        <v>691</v>
      </c>
      <c r="C139" s="403" t="s">
        <v>735</v>
      </c>
      <c r="D139" s="287" t="s">
        <v>2</v>
      </c>
      <c r="F139" s="225">
        <v>40000</v>
      </c>
      <c r="G139" s="215">
        <f>+G138+E139-F139</f>
        <v>30828987</v>
      </c>
      <c r="H139" s="248" t="s">
        <v>25</v>
      </c>
      <c r="I139" s="225" t="s">
        <v>307</v>
      </c>
      <c r="J139" s="225" t="s">
        <v>290</v>
      </c>
      <c r="K139" s="248" t="s">
        <v>198</v>
      </c>
      <c r="L139" s="225" t="s">
        <v>536</v>
      </c>
      <c r="N139" s="242"/>
      <c r="O139" s="234"/>
      <c r="P139" s="247"/>
    </row>
    <row r="140" spans="1:16" s="225" customFormat="1" ht="13.8" x14ac:dyDescent="0.25">
      <c r="A140" s="241">
        <v>45091</v>
      </c>
      <c r="B140" s="242" t="s">
        <v>457</v>
      </c>
      <c r="C140" s="242" t="s">
        <v>413</v>
      </c>
      <c r="D140" s="225" t="s">
        <v>4</v>
      </c>
      <c r="E140" s="242"/>
      <c r="F140" s="242">
        <v>45000</v>
      </c>
      <c r="G140" s="215">
        <f>+G139+E140-F140</f>
        <v>30783987</v>
      </c>
      <c r="H140" s="225" t="s">
        <v>269</v>
      </c>
      <c r="I140" s="225" t="s">
        <v>307</v>
      </c>
      <c r="J140" s="242" t="s">
        <v>102</v>
      </c>
      <c r="K140" s="242" t="s">
        <v>199</v>
      </c>
      <c r="L140" s="242" t="s">
        <v>536</v>
      </c>
      <c r="M140" s="225" t="s">
        <v>620</v>
      </c>
      <c r="N140" s="242" t="s">
        <v>558</v>
      </c>
      <c r="O140" s="242"/>
      <c r="P140" s="247"/>
    </row>
    <row r="141" spans="1:16" s="225" customFormat="1" ht="13.8" x14ac:dyDescent="0.25">
      <c r="A141" s="260">
        <v>45091</v>
      </c>
      <c r="B141" s="225" t="s">
        <v>458</v>
      </c>
      <c r="C141" s="261" t="s">
        <v>34</v>
      </c>
      <c r="D141" s="225" t="s">
        <v>4</v>
      </c>
      <c r="F141" s="262">
        <v>3000</v>
      </c>
      <c r="G141" s="215">
        <f>+G140+E141-F141</f>
        <v>30780987</v>
      </c>
      <c r="H141" s="225" t="s">
        <v>269</v>
      </c>
      <c r="I141" s="225" t="s">
        <v>307</v>
      </c>
      <c r="J141" s="242" t="s">
        <v>290</v>
      </c>
      <c r="K141" s="320" t="s">
        <v>199</v>
      </c>
      <c r="L141" s="320" t="s">
        <v>536</v>
      </c>
      <c r="M141" s="225" t="s">
        <v>621</v>
      </c>
      <c r="N141" s="242" t="s">
        <v>554</v>
      </c>
      <c r="P141" s="247"/>
    </row>
    <row r="142" spans="1:16" s="225" customFormat="1" ht="13.8" x14ac:dyDescent="0.25">
      <c r="A142" s="404">
        <v>45091</v>
      </c>
      <c r="B142" s="242" t="s">
        <v>561</v>
      </c>
      <c r="C142" s="225" t="s">
        <v>318</v>
      </c>
      <c r="D142" s="225" t="s">
        <v>154</v>
      </c>
      <c r="E142" s="242"/>
      <c r="F142" s="252">
        <v>48855</v>
      </c>
      <c r="G142" s="215">
        <f>+G141+E142-F142</f>
        <v>30732132</v>
      </c>
      <c r="H142" s="248" t="s">
        <v>303</v>
      </c>
      <c r="I142" s="225" t="s">
        <v>309</v>
      </c>
      <c r="J142" s="225" t="s">
        <v>290</v>
      </c>
      <c r="K142" s="225" t="s">
        <v>198</v>
      </c>
      <c r="L142" s="225" t="s">
        <v>536</v>
      </c>
      <c r="O142" s="242"/>
      <c r="P142" s="247"/>
    </row>
    <row r="143" spans="1:16" s="225" customFormat="1" ht="13.8" x14ac:dyDescent="0.25">
      <c r="A143" s="245">
        <v>45092</v>
      </c>
      <c r="B143" s="242" t="s">
        <v>361</v>
      </c>
      <c r="C143" s="242" t="s">
        <v>171</v>
      </c>
      <c r="D143" s="401" t="s">
        <v>302</v>
      </c>
      <c r="E143" s="242"/>
      <c r="F143" s="256">
        <v>10000</v>
      </c>
      <c r="G143" s="215">
        <f>+G142+E143-F143</f>
        <v>30722132</v>
      </c>
      <c r="H143" s="242" t="s">
        <v>25</v>
      </c>
      <c r="I143" s="225" t="s">
        <v>307</v>
      </c>
      <c r="J143" s="225" t="s">
        <v>102</v>
      </c>
      <c r="K143" s="242" t="s">
        <v>199</v>
      </c>
      <c r="L143" s="242" t="s">
        <v>536</v>
      </c>
      <c r="M143" s="225" t="s">
        <v>622</v>
      </c>
      <c r="N143" s="242" t="s">
        <v>553</v>
      </c>
      <c r="O143" s="242"/>
      <c r="P143" s="247"/>
    </row>
    <row r="144" spans="1:16" s="225" customFormat="1" ht="13.8" x14ac:dyDescent="0.25">
      <c r="A144" s="245">
        <v>45092</v>
      </c>
      <c r="B144" s="242" t="s">
        <v>362</v>
      </c>
      <c r="C144" s="242" t="s">
        <v>171</v>
      </c>
      <c r="D144" s="225" t="s">
        <v>154</v>
      </c>
      <c r="E144" s="242"/>
      <c r="F144" s="292">
        <v>20000</v>
      </c>
      <c r="G144" s="215">
        <f>+G143+E144-F144</f>
        <v>30702132</v>
      </c>
      <c r="H144" s="225" t="s">
        <v>25</v>
      </c>
      <c r="I144" s="225" t="s">
        <v>307</v>
      </c>
      <c r="J144" s="225" t="s">
        <v>102</v>
      </c>
      <c r="K144" s="242" t="s">
        <v>199</v>
      </c>
      <c r="L144" s="242" t="s">
        <v>536</v>
      </c>
      <c r="M144" s="225" t="s">
        <v>623</v>
      </c>
      <c r="N144" s="242" t="s">
        <v>553</v>
      </c>
      <c r="O144" s="242"/>
      <c r="P144" s="247"/>
    </row>
    <row r="145" spans="1:18" s="225" customFormat="1" ht="13.8" x14ac:dyDescent="0.25">
      <c r="A145" s="241">
        <v>45092</v>
      </c>
      <c r="B145" s="250" t="s">
        <v>363</v>
      </c>
      <c r="C145" s="242" t="s">
        <v>171</v>
      </c>
      <c r="D145" s="225" t="s">
        <v>4</v>
      </c>
      <c r="E145" s="193"/>
      <c r="F145" s="251">
        <v>40000</v>
      </c>
      <c r="G145" s="215">
        <f>+G144+E145-F145</f>
        <v>30662132</v>
      </c>
      <c r="H145" s="215" t="s">
        <v>25</v>
      </c>
      <c r="I145" s="225" t="s">
        <v>307</v>
      </c>
      <c r="J145" s="225" t="s">
        <v>102</v>
      </c>
      <c r="K145" s="242" t="s">
        <v>199</v>
      </c>
      <c r="L145" s="242" t="s">
        <v>536</v>
      </c>
      <c r="M145" s="225" t="s">
        <v>624</v>
      </c>
      <c r="N145" s="242" t="s">
        <v>553</v>
      </c>
      <c r="P145" s="247"/>
    </row>
    <row r="146" spans="1:18" s="225" customFormat="1" ht="13.8" x14ac:dyDescent="0.25">
      <c r="A146" s="260">
        <v>45092</v>
      </c>
      <c r="B146" s="225" t="s">
        <v>364</v>
      </c>
      <c r="C146" s="261" t="s">
        <v>171</v>
      </c>
      <c r="D146" s="242" t="s">
        <v>155</v>
      </c>
      <c r="F146" s="262">
        <v>10000</v>
      </c>
      <c r="G146" s="215">
        <f>+G145+E146-F146</f>
        <v>30652132</v>
      </c>
      <c r="H146" s="263" t="s">
        <v>25</v>
      </c>
      <c r="I146" s="225" t="s">
        <v>307</v>
      </c>
      <c r="J146" s="225" t="s">
        <v>102</v>
      </c>
      <c r="K146" s="242" t="s">
        <v>199</v>
      </c>
      <c r="L146" s="242" t="s">
        <v>536</v>
      </c>
      <c r="M146" s="225" t="s">
        <v>625</v>
      </c>
      <c r="N146" s="242" t="s">
        <v>553</v>
      </c>
      <c r="P146" s="247"/>
    </row>
    <row r="147" spans="1:18" s="225" customFormat="1" ht="13.8" x14ac:dyDescent="0.25">
      <c r="A147" s="241">
        <v>45092</v>
      </c>
      <c r="B147" s="225" t="s">
        <v>365</v>
      </c>
      <c r="C147" s="242" t="s">
        <v>171</v>
      </c>
      <c r="D147" s="287" t="s">
        <v>2</v>
      </c>
      <c r="F147" s="225">
        <v>10000</v>
      </c>
      <c r="G147" s="215">
        <f>+G146+E147-F147</f>
        <v>30642132</v>
      </c>
      <c r="H147" s="225" t="s">
        <v>25</v>
      </c>
      <c r="I147" s="225" t="s">
        <v>307</v>
      </c>
      <c r="J147" s="225" t="s">
        <v>102</v>
      </c>
      <c r="K147" s="242" t="s">
        <v>199</v>
      </c>
      <c r="L147" s="242" t="s">
        <v>536</v>
      </c>
      <c r="M147" s="225" t="s">
        <v>626</v>
      </c>
      <c r="N147" s="242" t="s">
        <v>553</v>
      </c>
      <c r="P147" s="264"/>
      <c r="Q147" s="242"/>
      <c r="R147" s="242"/>
    </row>
    <row r="148" spans="1:18" s="225" customFormat="1" ht="13.8" x14ac:dyDescent="0.25">
      <c r="A148" s="241">
        <v>45092</v>
      </c>
      <c r="B148" s="242" t="s">
        <v>366</v>
      </c>
      <c r="C148" s="242" t="s">
        <v>171</v>
      </c>
      <c r="D148" s="225" t="s">
        <v>154</v>
      </c>
      <c r="E148" s="242"/>
      <c r="F148" s="242">
        <v>10000</v>
      </c>
      <c r="G148" s="215">
        <f>+G147+E148-F148</f>
        <v>30632132</v>
      </c>
      <c r="H148" s="242" t="s">
        <v>25</v>
      </c>
      <c r="I148" s="225" t="s">
        <v>307</v>
      </c>
      <c r="J148" s="225" t="s">
        <v>102</v>
      </c>
      <c r="K148" s="242" t="s">
        <v>199</v>
      </c>
      <c r="L148" s="242" t="s">
        <v>536</v>
      </c>
      <c r="M148" s="225" t="s">
        <v>627</v>
      </c>
      <c r="N148" s="242" t="s">
        <v>553</v>
      </c>
      <c r="O148" s="242"/>
      <c r="P148" s="264"/>
      <c r="Q148" s="242"/>
      <c r="R148" s="242"/>
    </row>
    <row r="149" spans="1:18" s="225" customFormat="1" ht="13.8" x14ac:dyDescent="0.25">
      <c r="A149" s="245">
        <v>45092</v>
      </c>
      <c r="B149" s="225" t="s">
        <v>367</v>
      </c>
      <c r="C149" s="242" t="s">
        <v>171</v>
      </c>
      <c r="D149" s="225" t="s">
        <v>154</v>
      </c>
      <c r="F149" s="242">
        <v>10000</v>
      </c>
      <c r="G149" s="215">
        <f>+G148+E149-F149</f>
        <v>30622132</v>
      </c>
      <c r="H149" s="225" t="s">
        <v>25</v>
      </c>
      <c r="I149" s="225" t="s">
        <v>307</v>
      </c>
      <c r="J149" s="225" t="s">
        <v>290</v>
      </c>
      <c r="K149" s="248" t="s">
        <v>198</v>
      </c>
      <c r="L149" s="225" t="s">
        <v>536</v>
      </c>
      <c r="M149" s="246"/>
      <c r="N149" s="242"/>
      <c r="O149" s="242"/>
      <c r="P149" s="264"/>
      <c r="Q149" s="242"/>
      <c r="R149" s="242"/>
    </row>
    <row r="150" spans="1:18" s="225" customFormat="1" ht="13.8" x14ac:dyDescent="0.25">
      <c r="A150" s="241">
        <v>45092</v>
      </c>
      <c r="B150" s="232" t="s">
        <v>368</v>
      </c>
      <c r="C150" s="242" t="s">
        <v>171</v>
      </c>
      <c r="D150" s="225" t="s">
        <v>4</v>
      </c>
      <c r="E150" s="293"/>
      <c r="F150" s="256">
        <v>5000</v>
      </c>
      <c r="G150" s="215">
        <f>+G149+E150-F150</f>
        <v>30617132</v>
      </c>
      <c r="H150" s="225" t="s">
        <v>25</v>
      </c>
      <c r="I150" s="225" t="s">
        <v>307</v>
      </c>
      <c r="J150" s="225" t="s">
        <v>102</v>
      </c>
      <c r="K150" s="242" t="s">
        <v>199</v>
      </c>
      <c r="L150" s="242" t="s">
        <v>536</v>
      </c>
      <c r="M150" s="225" t="s">
        <v>628</v>
      </c>
      <c r="N150" s="242" t="s">
        <v>553</v>
      </c>
      <c r="P150" s="264"/>
      <c r="Q150" s="242"/>
      <c r="R150" s="242"/>
    </row>
    <row r="151" spans="1:18" s="325" customFormat="1" ht="17.25" customHeight="1" x14ac:dyDescent="0.25">
      <c r="A151" s="241">
        <v>45092</v>
      </c>
      <c r="B151" s="225" t="s">
        <v>333</v>
      </c>
      <c r="C151" s="242" t="s">
        <v>230</v>
      </c>
      <c r="D151" s="242" t="s">
        <v>155</v>
      </c>
      <c r="E151" s="215"/>
      <c r="F151" s="215">
        <v>42000</v>
      </c>
      <c r="G151" s="215">
        <f>+G150+E151-F151</f>
        <v>30575132</v>
      </c>
      <c r="H151" s="225" t="s">
        <v>25</v>
      </c>
      <c r="I151" s="225" t="s">
        <v>309</v>
      </c>
      <c r="J151" s="225" t="s">
        <v>290</v>
      </c>
      <c r="K151" s="248" t="s">
        <v>198</v>
      </c>
      <c r="L151" s="225" t="s">
        <v>536</v>
      </c>
      <c r="M151" s="246"/>
      <c r="N151" s="242"/>
      <c r="O151" s="399"/>
    </row>
    <row r="152" spans="1:18" s="225" customFormat="1" ht="13.8" x14ac:dyDescent="0.25">
      <c r="A152" s="245">
        <v>45092</v>
      </c>
      <c r="B152" s="225" t="s">
        <v>569</v>
      </c>
      <c r="C152" s="225" t="s">
        <v>313</v>
      </c>
      <c r="D152" s="225" t="s">
        <v>4</v>
      </c>
      <c r="E152" s="215"/>
      <c r="F152" s="251">
        <v>30000</v>
      </c>
      <c r="G152" s="215">
        <f>+G151+E152-F152</f>
        <v>30545132</v>
      </c>
      <c r="H152" s="225" t="s">
        <v>29</v>
      </c>
      <c r="I152" s="225" t="s">
        <v>307</v>
      </c>
      <c r="J152" s="242" t="s">
        <v>102</v>
      </c>
      <c r="K152" s="242" t="s">
        <v>199</v>
      </c>
      <c r="L152" s="242" t="s">
        <v>536</v>
      </c>
      <c r="M152" s="225" t="s">
        <v>629</v>
      </c>
      <c r="N152" s="242" t="s">
        <v>558</v>
      </c>
      <c r="P152" s="264"/>
      <c r="Q152" s="242"/>
      <c r="R152" s="242"/>
    </row>
    <row r="153" spans="1:18" s="225" customFormat="1" ht="13.8" x14ac:dyDescent="0.25">
      <c r="A153" s="245">
        <v>45092</v>
      </c>
      <c r="B153" s="242" t="s">
        <v>478</v>
      </c>
      <c r="C153" s="242" t="s">
        <v>239</v>
      </c>
      <c r="D153" s="242" t="s">
        <v>302</v>
      </c>
      <c r="E153" s="242"/>
      <c r="F153" s="256">
        <v>400</v>
      </c>
      <c r="G153" s="215">
        <f>+G152+E153-F153</f>
        <v>30544732</v>
      </c>
      <c r="H153" s="242" t="s">
        <v>31</v>
      </c>
      <c r="I153" s="225" t="s">
        <v>307</v>
      </c>
      <c r="J153" s="225" t="s">
        <v>290</v>
      </c>
      <c r="K153" s="225" t="s">
        <v>198</v>
      </c>
      <c r="L153" s="242" t="s">
        <v>536</v>
      </c>
      <c r="M153" s="246"/>
      <c r="O153" s="242"/>
      <c r="P153" s="264"/>
      <c r="Q153" s="242"/>
      <c r="R153" s="242"/>
    </row>
    <row r="154" spans="1:18" s="225" customFormat="1" ht="13.8" x14ac:dyDescent="0.25">
      <c r="A154" s="245">
        <v>45092</v>
      </c>
      <c r="B154" s="225" t="s">
        <v>503</v>
      </c>
      <c r="C154" s="225" t="s">
        <v>34</v>
      </c>
      <c r="D154" s="225" t="s">
        <v>4</v>
      </c>
      <c r="E154" s="215"/>
      <c r="F154" s="251">
        <v>8000</v>
      </c>
      <c r="G154" s="215">
        <f>+G153+E154-F154</f>
        <v>30536732</v>
      </c>
      <c r="H154" s="225" t="s">
        <v>29</v>
      </c>
      <c r="I154" s="225" t="s">
        <v>307</v>
      </c>
      <c r="J154" s="242" t="s">
        <v>290</v>
      </c>
      <c r="K154" s="320" t="s">
        <v>199</v>
      </c>
      <c r="L154" s="320" t="s">
        <v>536</v>
      </c>
      <c r="M154" s="225" t="s">
        <v>630</v>
      </c>
      <c r="N154" s="242" t="s">
        <v>554</v>
      </c>
      <c r="P154" s="264"/>
      <c r="Q154" s="242"/>
      <c r="R154" s="242"/>
    </row>
    <row r="155" spans="1:18" s="225" customFormat="1" ht="13.8" x14ac:dyDescent="0.25">
      <c r="A155" s="241">
        <v>45093</v>
      </c>
      <c r="B155" s="225" t="s">
        <v>320</v>
      </c>
      <c r="C155" s="242" t="s">
        <v>34</v>
      </c>
      <c r="D155" s="225" t="s">
        <v>154</v>
      </c>
      <c r="E155" s="242"/>
      <c r="F155" s="288">
        <v>10000</v>
      </c>
      <c r="G155" s="215">
        <f>+G154+E155-F155</f>
        <v>30526732</v>
      </c>
      <c r="H155" s="248" t="s">
        <v>303</v>
      </c>
      <c r="I155" s="225" t="s">
        <v>307</v>
      </c>
      <c r="J155" s="242" t="s">
        <v>290</v>
      </c>
      <c r="K155" s="320" t="s">
        <v>199</v>
      </c>
      <c r="L155" s="320" t="s">
        <v>536</v>
      </c>
      <c r="M155" s="225" t="s">
        <v>631</v>
      </c>
      <c r="N155" s="242" t="s">
        <v>554</v>
      </c>
      <c r="P155" s="264"/>
      <c r="Q155" s="242"/>
      <c r="R155" s="242"/>
    </row>
    <row r="156" spans="1:18" s="225" customFormat="1" ht="13.8" x14ac:dyDescent="0.25">
      <c r="A156" s="241">
        <v>45093</v>
      </c>
      <c r="B156" s="225" t="s">
        <v>369</v>
      </c>
      <c r="C156" s="242" t="s">
        <v>3</v>
      </c>
      <c r="D156" s="225" t="s">
        <v>302</v>
      </c>
      <c r="E156" s="215"/>
      <c r="F156" s="251">
        <v>15000</v>
      </c>
      <c r="G156" s="215">
        <f>+G155+E156-F156</f>
        <v>30511732</v>
      </c>
      <c r="H156" s="225" t="s">
        <v>25</v>
      </c>
      <c r="I156" s="225" t="s">
        <v>307</v>
      </c>
      <c r="J156" s="242" t="s">
        <v>290</v>
      </c>
      <c r="K156" s="225" t="s">
        <v>198</v>
      </c>
      <c r="L156" s="225" t="s">
        <v>536</v>
      </c>
      <c r="M156" s="246"/>
      <c r="P156" s="264"/>
      <c r="Q156" s="242"/>
      <c r="R156" s="242"/>
    </row>
    <row r="157" spans="1:18" s="225" customFormat="1" ht="13.8" x14ac:dyDescent="0.25">
      <c r="A157" s="241">
        <v>45093</v>
      </c>
      <c r="B157" s="250" t="s">
        <v>370</v>
      </c>
      <c r="C157" s="242" t="s">
        <v>3</v>
      </c>
      <c r="D157" s="225" t="s">
        <v>302</v>
      </c>
      <c r="F157" s="252">
        <v>15000</v>
      </c>
      <c r="G157" s="215">
        <f>+G156+E157-F157</f>
        <v>30496732</v>
      </c>
      <c r="H157" s="225" t="s">
        <v>25</v>
      </c>
      <c r="I157" s="225" t="s">
        <v>307</v>
      </c>
      <c r="J157" s="242" t="s">
        <v>290</v>
      </c>
      <c r="K157" s="225" t="s">
        <v>198</v>
      </c>
      <c r="L157" s="225" t="s">
        <v>536</v>
      </c>
      <c r="M157" s="246"/>
      <c r="P157" s="264"/>
      <c r="Q157" s="242"/>
      <c r="R157" s="242"/>
    </row>
    <row r="158" spans="1:18" s="225" customFormat="1" ht="13.8" x14ac:dyDescent="0.25">
      <c r="A158" s="249">
        <v>45093</v>
      </c>
      <c r="B158" s="225" t="s">
        <v>673</v>
      </c>
      <c r="C158" s="242" t="s">
        <v>239</v>
      </c>
      <c r="D158" s="225" t="s">
        <v>302</v>
      </c>
      <c r="F158" s="225">
        <v>18000</v>
      </c>
      <c r="G158" s="215">
        <f>+G157+E158-F158</f>
        <v>30478732</v>
      </c>
      <c r="H158" s="248" t="s">
        <v>25</v>
      </c>
      <c r="I158" s="225" t="s">
        <v>307</v>
      </c>
      <c r="J158" s="225" t="s">
        <v>102</v>
      </c>
      <c r="K158" s="225" t="s">
        <v>199</v>
      </c>
      <c r="L158" s="225" t="s">
        <v>536</v>
      </c>
      <c r="M158" s="225" t="s">
        <v>632</v>
      </c>
      <c r="N158" s="225" t="s">
        <v>542</v>
      </c>
      <c r="P158" s="264"/>
      <c r="Q158" s="242"/>
      <c r="R158" s="242"/>
    </row>
    <row r="159" spans="1:18" s="225" customFormat="1" ht="13.8" x14ac:dyDescent="0.25">
      <c r="A159" s="249">
        <v>45093</v>
      </c>
      <c r="B159" s="215" t="s">
        <v>459</v>
      </c>
      <c r="C159" s="215" t="s">
        <v>34</v>
      </c>
      <c r="D159" s="225" t="s">
        <v>4</v>
      </c>
      <c r="F159" s="288">
        <v>8000</v>
      </c>
      <c r="G159" s="215">
        <f>+G158+E159-F159</f>
        <v>30470732</v>
      </c>
      <c r="H159" s="225" t="s">
        <v>269</v>
      </c>
      <c r="I159" s="225" t="s">
        <v>307</v>
      </c>
      <c r="J159" s="242" t="s">
        <v>290</v>
      </c>
      <c r="K159" s="320" t="s">
        <v>199</v>
      </c>
      <c r="L159" s="320" t="s">
        <v>536</v>
      </c>
      <c r="M159" s="225" t="s">
        <v>633</v>
      </c>
      <c r="N159" s="242" t="s">
        <v>554</v>
      </c>
      <c r="O159" s="234"/>
      <c r="P159" s="264"/>
      <c r="Q159" s="242"/>
      <c r="R159" s="242"/>
    </row>
    <row r="160" spans="1:18" s="225" customFormat="1" ht="13.8" x14ac:dyDescent="0.25">
      <c r="A160" s="255">
        <v>45093</v>
      </c>
      <c r="B160" s="250" t="s">
        <v>675</v>
      </c>
      <c r="C160" s="225" t="s">
        <v>313</v>
      </c>
      <c r="D160" s="225" t="s">
        <v>154</v>
      </c>
      <c r="F160" s="287">
        <v>45000</v>
      </c>
      <c r="G160" s="215">
        <f>+G159+E160-F160</f>
        <v>30425732</v>
      </c>
      <c r="H160" s="248" t="s">
        <v>303</v>
      </c>
      <c r="I160" s="225" t="s">
        <v>307</v>
      </c>
      <c r="J160" s="242" t="s">
        <v>102</v>
      </c>
      <c r="K160" s="242" t="s">
        <v>199</v>
      </c>
      <c r="L160" s="242" t="s">
        <v>536</v>
      </c>
      <c r="M160" s="225" t="s">
        <v>634</v>
      </c>
      <c r="N160" s="242" t="s">
        <v>558</v>
      </c>
      <c r="P160" s="264"/>
      <c r="Q160" s="242"/>
      <c r="R160" s="242"/>
    </row>
    <row r="161" spans="1:18" s="225" customFormat="1" ht="13.8" x14ac:dyDescent="0.25">
      <c r="A161" s="241">
        <v>45094</v>
      </c>
      <c r="B161" s="225" t="s">
        <v>460</v>
      </c>
      <c r="C161" s="242" t="s">
        <v>413</v>
      </c>
      <c r="D161" s="225" t="s">
        <v>4</v>
      </c>
      <c r="F161" s="288">
        <v>45000</v>
      </c>
      <c r="G161" s="215">
        <f>+G160+E161-F161</f>
        <v>30380732</v>
      </c>
      <c r="H161" s="225" t="s">
        <v>269</v>
      </c>
      <c r="I161" s="225" t="s">
        <v>307</v>
      </c>
      <c r="J161" s="242" t="s">
        <v>102</v>
      </c>
      <c r="K161" s="242" t="s">
        <v>199</v>
      </c>
      <c r="L161" s="242" t="s">
        <v>536</v>
      </c>
      <c r="M161" s="225" t="s">
        <v>635</v>
      </c>
      <c r="N161" s="242" t="s">
        <v>558</v>
      </c>
      <c r="O161" s="242"/>
      <c r="P161" s="264"/>
      <c r="Q161" s="242"/>
      <c r="R161" s="242"/>
    </row>
    <row r="162" spans="1:18" s="225" customFormat="1" ht="13.8" x14ac:dyDescent="0.25">
      <c r="A162" s="241">
        <v>45094</v>
      </c>
      <c r="B162" s="225" t="s">
        <v>676</v>
      </c>
      <c r="C162" s="242" t="s">
        <v>313</v>
      </c>
      <c r="D162" s="225" t="s">
        <v>4</v>
      </c>
      <c r="F162" s="215">
        <v>20000</v>
      </c>
      <c r="G162" s="215">
        <f>+G161+E162-F162</f>
        <v>30360732</v>
      </c>
      <c r="H162" s="215" t="s">
        <v>29</v>
      </c>
      <c r="I162" s="225" t="s">
        <v>307</v>
      </c>
      <c r="J162" s="242" t="s">
        <v>290</v>
      </c>
      <c r="K162" s="242" t="s">
        <v>199</v>
      </c>
      <c r="L162" s="242" t="s">
        <v>536</v>
      </c>
      <c r="M162" s="225" t="s">
        <v>636</v>
      </c>
      <c r="N162" s="242" t="s">
        <v>558</v>
      </c>
      <c r="P162" s="264"/>
      <c r="Q162" s="242"/>
      <c r="R162" s="242"/>
    </row>
    <row r="163" spans="1:18" s="225" customFormat="1" ht="13.8" x14ac:dyDescent="0.25">
      <c r="A163" s="249">
        <v>45094</v>
      </c>
      <c r="B163" s="242" t="s">
        <v>504</v>
      </c>
      <c r="C163" s="242" t="s">
        <v>34</v>
      </c>
      <c r="D163" s="225" t="s">
        <v>4</v>
      </c>
      <c r="F163" s="242">
        <v>8000</v>
      </c>
      <c r="G163" s="215">
        <f>+G162+E163-F163</f>
        <v>30352732</v>
      </c>
      <c r="H163" s="225" t="s">
        <v>29</v>
      </c>
      <c r="I163" s="225" t="s">
        <v>307</v>
      </c>
      <c r="J163" s="242" t="s">
        <v>290</v>
      </c>
      <c r="K163" s="320" t="s">
        <v>199</v>
      </c>
      <c r="L163" s="320" t="s">
        <v>536</v>
      </c>
      <c r="M163" s="225" t="s">
        <v>637</v>
      </c>
      <c r="N163" s="242" t="s">
        <v>554</v>
      </c>
      <c r="O163" s="242"/>
      <c r="P163" s="264"/>
      <c r="Q163" s="242"/>
      <c r="R163" s="242"/>
    </row>
    <row r="164" spans="1:18" s="225" customFormat="1" ht="13.8" x14ac:dyDescent="0.25">
      <c r="A164" s="245">
        <v>45096</v>
      </c>
      <c r="B164" s="225" t="s">
        <v>669</v>
      </c>
      <c r="C164" s="242" t="s">
        <v>230</v>
      </c>
      <c r="D164" s="242" t="s">
        <v>155</v>
      </c>
      <c r="E164" s="292"/>
      <c r="F164" s="288">
        <v>16000</v>
      </c>
      <c r="G164" s="215">
        <f>+G163+E164-F164</f>
        <v>30336732</v>
      </c>
      <c r="H164" s="225" t="s">
        <v>25</v>
      </c>
      <c r="I164" s="225" t="s">
        <v>309</v>
      </c>
      <c r="J164" s="225" t="s">
        <v>290</v>
      </c>
      <c r="K164" s="248" t="s">
        <v>198</v>
      </c>
      <c r="L164" s="225" t="s">
        <v>536</v>
      </c>
      <c r="N164" s="242"/>
      <c r="P164" s="264"/>
      <c r="Q164" s="242"/>
      <c r="R164" s="242"/>
    </row>
    <row r="165" spans="1:18" s="225" customFormat="1" ht="13.8" x14ac:dyDescent="0.25">
      <c r="A165" s="245">
        <v>45096</v>
      </c>
      <c r="B165" s="242" t="s">
        <v>544</v>
      </c>
      <c r="C165" s="242" t="s">
        <v>239</v>
      </c>
      <c r="D165" s="225" t="s">
        <v>302</v>
      </c>
      <c r="E165" s="242"/>
      <c r="F165" s="288">
        <v>55850</v>
      </c>
      <c r="G165" s="215">
        <f>+G164+E165-F165</f>
        <v>30280882</v>
      </c>
      <c r="H165" s="242" t="s">
        <v>25</v>
      </c>
      <c r="I165" s="225" t="s">
        <v>307</v>
      </c>
      <c r="J165" s="225" t="s">
        <v>102</v>
      </c>
      <c r="K165" s="225" t="s">
        <v>199</v>
      </c>
      <c r="L165" s="225" t="s">
        <v>536</v>
      </c>
      <c r="M165" s="225" t="s">
        <v>638</v>
      </c>
      <c r="N165" s="225" t="s">
        <v>542</v>
      </c>
      <c r="O165" s="242"/>
      <c r="P165" s="264"/>
      <c r="Q165" s="242"/>
      <c r="R165" s="242"/>
    </row>
    <row r="166" spans="1:18" s="225" customFormat="1" ht="13.8" x14ac:dyDescent="0.25">
      <c r="A166" s="245">
        <v>45096</v>
      </c>
      <c r="B166" s="225" t="s">
        <v>692</v>
      </c>
      <c r="C166" s="242" t="s">
        <v>171</v>
      </c>
      <c r="D166" s="287" t="s">
        <v>2</v>
      </c>
      <c r="E166" s="215"/>
      <c r="F166" s="287">
        <v>10000</v>
      </c>
      <c r="G166" s="215">
        <f>+G165+E166-F166</f>
        <v>30270882</v>
      </c>
      <c r="H166" s="225" t="s">
        <v>25</v>
      </c>
      <c r="I166" s="225" t="s">
        <v>307</v>
      </c>
      <c r="J166" s="225" t="s">
        <v>102</v>
      </c>
      <c r="K166" s="242" t="s">
        <v>199</v>
      </c>
      <c r="L166" s="242" t="s">
        <v>536</v>
      </c>
      <c r="M166" s="225" t="s">
        <v>639</v>
      </c>
      <c r="N166" s="242" t="s">
        <v>553</v>
      </c>
      <c r="P166" s="264"/>
      <c r="Q166" s="242"/>
      <c r="R166" s="242"/>
    </row>
    <row r="167" spans="1:18" s="225" customFormat="1" ht="17.25" customHeight="1" x14ac:dyDescent="0.25">
      <c r="A167" s="241">
        <v>45096</v>
      </c>
      <c r="B167" s="225" t="s">
        <v>371</v>
      </c>
      <c r="C167" s="242" t="s">
        <v>170</v>
      </c>
      <c r="D167" s="225" t="s">
        <v>350</v>
      </c>
      <c r="E167" s="215"/>
      <c r="F167" s="287">
        <v>30000</v>
      </c>
      <c r="G167" s="215">
        <f>+G166+E167-F167</f>
        <v>30240882</v>
      </c>
      <c r="H167" s="225" t="s">
        <v>25</v>
      </c>
      <c r="I167" s="225" t="s">
        <v>307</v>
      </c>
      <c r="J167" s="225" t="s">
        <v>290</v>
      </c>
      <c r="K167" s="248" t="s">
        <v>198</v>
      </c>
      <c r="L167" s="225" t="s">
        <v>536</v>
      </c>
      <c r="M167" s="246"/>
      <c r="P167" s="264"/>
      <c r="Q167" s="242"/>
      <c r="R167" s="242"/>
    </row>
    <row r="168" spans="1:18" s="225" customFormat="1" ht="17.25" customHeight="1" x14ac:dyDescent="0.25">
      <c r="A168" s="241">
        <v>45096</v>
      </c>
      <c r="B168" s="225" t="s">
        <v>29</v>
      </c>
      <c r="C168" s="242" t="s">
        <v>75</v>
      </c>
      <c r="F168" s="288">
        <v>150000</v>
      </c>
      <c r="G168" s="215">
        <f>+G167+E168-F168</f>
        <v>30090882</v>
      </c>
      <c r="H168" s="242" t="s">
        <v>25</v>
      </c>
      <c r="K168" s="248"/>
      <c r="M168" s="246"/>
      <c r="P168" s="264"/>
      <c r="Q168" s="242"/>
      <c r="R168" s="242"/>
    </row>
    <row r="169" spans="1:18" s="225" customFormat="1" ht="17.25" customHeight="1" x14ac:dyDescent="0.25">
      <c r="A169" s="245">
        <v>45096</v>
      </c>
      <c r="B169" s="250" t="s">
        <v>269</v>
      </c>
      <c r="C169" s="242" t="s">
        <v>75</v>
      </c>
      <c r="D169" s="232"/>
      <c r="E169" s="193"/>
      <c r="F169" s="287">
        <v>155000</v>
      </c>
      <c r="G169" s="215">
        <f>+G168+E169-F169</f>
        <v>29935882</v>
      </c>
      <c r="H169" s="225" t="s">
        <v>25</v>
      </c>
      <c r="K169" s="248"/>
      <c r="M169" s="246"/>
      <c r="P169" s="264"/>
      <c r="Q169" s="242"/>
      <c r="R169" s="242"/>
    </row>
    <row r="170" spans="1:18" s="225" customFormat="1" ht="17.25" customHeight="1" x14ac:dyDescent="0.25">
      <c r="A170" s="245">
        <v>45096</v>
      </c>
      <c r="B170" s="242" t="s">
        <v>31</v>
      </c>
      <c r="C170" s="242" t="s">
        <v>75</v>
      </c>
      <c r="F170" s="288">
        <v>15000</v>
      </c>
      <c r="G170" s="215">
        <f>+G169+E170-F170</f>
        <v>29920882</v>
      </c>
      <c r="H170" s="225" t="s">
        <v>25</v>
      </c>
      <c r="K170" s="248"/>
      <c r="M170" s="246"/>
      <c r="P170" s="264"/>
      <c r="Q170" s="242"/>
      <c r="R170" s="242"/>
    </row>
    <row r="171" spans="1:18" s="225" customFormat="1" ht="17.25" customHeight="1" x14ac:dyDescent="0.25">
      <c r="A171" s="255">
        <v>45096</v>
      </c>
      <c r="B171" s="263" t="s">
        <v>479</v>
      </c>
      <c r="C171" s="242" t="s">
        <v>75</v>
      </c>
      <c r="E171" s="291">
        <v>15000</v>
      </c>
      <c r="F171" s="262"/>
      <c r="G171" s="215">
        <f>+G170+E171-F171</f>
        <v>29935882</v>
      </c>
      <c r="H171" s="294" t="s">
        <v>31</v>
      </c>
      <c r="M171" s="246"/>
      <c r="N171" s="242"/>
      <c r="P171" s="264"/>
      <c r="Q171" s="242"/>
      <c r="R171" s="242"/>
    </row>
    <row r="172" spans="1:18" s="225" customFormat="1" ht="17.25" customHeight="1" x14ac:dyDescent="0.25">
      <c r="A172" s="220">
        <v>45096</v>
      </c>
      <c r="B172" s="227" t="s">
        <v>499</v>
      </c>
      <c r="C172" s="242" t="s">
        <v>75</v>
      </c>
      <c r="D172" s="227"/>
      <c r="E172" s="196">
        <v>150000</v>
      </c>
      <c r="F172" s="196"/>
      <c r="G172" s="215">
        <f>+G171+E172-F172</f>
        <v>30085882</v>
      </c>
      <c r="H172" s="227" t="s">
        <v>29</v>
      </c>
      <c r="I172" s="227"/>
      <c r="J172" s="227"/>
      <c r="K172" s="227"/>
      <c r="L172" s="227"/>
      <c r="M172" s="227"/>
      <c r="N172" s="196"/>
      <c r="O172" s="238"/>
      <c r="P172" s="247"/>
    </row>
    <row r="173" spans="1:18" s="225" customFormat="1" ht="17.25" customHeight="1" x14ac:dyDescent="0.25">
      <c r="A173" s="241">
        <v>45096</v>
      </c>
      <c r="B173" s="242" t="s">
        <v>461</v>
      </c>
      <c r="C173" s="242" t="s">
        <v>34</v>
      </c>
      <c r="D173" s="225" t="s">
        <v>4</v>
      </c>
      <c r="E173" s="242"/>
      <c r="F173" s="288">
        <v>15000</v>
      </c>
      <c r="G173" s="215">
        <f>+G172+E173-F173</f>
        <v>30070882</v>
      </c>
      <c r="H173" s="225" t="s">
        <v>269</v>
      </c>
      <c r="I173" s="225" t="s">
        <v>307</v>
      </c>
      <c r="J173" s="242" t="s">
        <v>290</v>
      </c>
      <c r="K173" s="320" t="s">
        <v>199</v>
      </c>
      <c r="L173" s="320" t="s">
        <v>536</v>
      </c>
      <c r="M173" s="225" t="s">
        <v>640</v>
      </c>
      <c r="N173" s="242" t="s">
        <v>554</v>
      </c>
      <c r="O173" s="242"/>
      <c r="P173" s="264"/>
      <c r="Q173" s="242"/>
      <c r="R173" s="242"/>
    </row>
    <row r="174" spans="1:18" s="225" customFormat="1" ht="17.25" customHeight="1" x14ac:dyDescent="0.25">
      <c r="A174" s="241">
        <v>45096</v>
      </c>
      <c r="B174" s="357" t="s">
        <v>505</v>
      </c>
      <c r="C174" s="242" t="s">
        <v>34</v>
      </c>
      <c r="D174" s="225" t="s">
        <v>4</v>
      </c>
      <c r="E174" s="248"/>
      <c r="F174" s="256">
        <v>15000</v>
      </c>
      <c r="G174" s="215">
        <f>+G173+E174-F174</f>
        <v>30055882</v>
      </c>
      <c r="H174" s="225" t="s">
        <v>29</v>
      </c>
      <c r="I174" s="225" t="s">
        <v>307</v>
      </c>
      <c r="J174" s="242" t="s">
        <v>290</v>
      </c>
      <c r="K174" s="320" t="s">
        <v>199</v>
      </c>
      <c r="L174" s="320" t="s">
        <v>536</v>
      </c>
      <c r="M174" s="225" t="s">
        <v>641</v>
      </c>
      <c r="N174" s="242" t="s">
        <v>554</v>
      </c>
      <c r="P174" s="247"/>
    </row>
    <row r="175" spans="1:18" s="225" customFormat="1" ht="17.25" customHeight="1" x14ac:dyDescent="0.25">
      <c r="A175" s="241">
        <v>45097</v>
      </c>
      <c r="B175" s="225" t="s">
        <v>316</v>
      </c>
      <c r="C175" s="242" t="s">
        <v>75</v>
      </c>
      <c r="E175" s="215">
        <v>155000</v>
      </c>
      <c r="F175" s="287"/>
      <c r="G175" s="215">
        <f>+G174+E175-F175</f>
        <v>30210882</v>
      </c>
      <c r="H175" s="225" t="s">
        <v>269</v>
      </c>
      <c r="K175" s="248"/>
      <c r="M175" s="246"/>
      <c r="P175" s="247"/>
    </row>
    <row r="176" spans="1:18" s="225" customFormat="1" ht="15" customHeight="1" x14ac:dyDescent="0.25">
      <c r="A176" s="245">
        <v>45097</v>
      </c>
      <c r="B176" s="225" t="s">
        <v>462</v>
      </c>
      <c r="C176" s="242" t="s">
        <v>413</v>
      </c>
      <c r="D176" s="225" t="s">
        <v>4</v>
      </c>
      <c r="F176" s="288">
        <v>90000</v>
      </c>
      <c r="G176" s="215">
        <f>+G175+E176-F176</f>
        <v>30120882</v>
      </c>
      <c r="H176" s="225" t="s">
        <v>269</v>
      </c>
      <c r="I176" s="225" t="s">
        <v>309</v>
      </c>
      <c r="J176" s="242" t="s">
        <v>290</v>
      </c>
      <c r="K176" s="242" t="s">
        <v>199</v>
      </c>
      <c r="L176" s="242" t="s">
        <v>536</v>
      </c>
      <c r="M176" s="225" t="s">
        <v>642</v>
      </c>
      <c r="N176" s="242" t="s">
        <v>558</v>
      </c>
      <c r="O176" s="234"/>
      <c r="P176" s="247"/>
    </row>
    <row r="177" spans="1:16" s="225" customFormat="1" ht="15" customHeight="1" x14ac:dyDescent="0.25">
      <c r="A177" s="241">
        <v>45097</v>
      </c>
      <c r="B177" s="225" t="s">
        <v>674</v>
      </c>
      <c r="C177" s="225" t="s">
        <v>313</v>
      </c>
      <c r="D177" s="225" t="s">
        <v>4</v>
      </c>
      <c r="F177" s="292">
        <v>90000</v>
      </c>
      <c r="G177" s="215">
        <f>+G176+E177-F177</f>
        <v>30030882</v>
      </c>
      <c r="H177" s="225" t="s">
        <v>29</v>
      </c>
      <c r="I177" s="225" t="s">
        <v>309</v>
      </c>
      <c r="J177" s="242" t="s">
        <v>290</v>
      </c>
      <c r="K177" s="242" t="s">
        <v>199</v>
      </c>
      <c r="L177" s="242" t="s">
        <v>536</v>
      </c>
      <c r="M177" s="225" t="s">
        <v>643</v>
      </c>
      <c r="N177" s="242" t="s">
        <v>558</v>
      </c>
      <c r="P177" s="247"/>
    </row>
    <row r="178" spans="1:16" s="225" customFormat="1" ht="15" customHeight="1" x14ac:dyDescent="0.25">
      <c r="A178" s="241">
        <v>45098</v>
      </c>
      <c r="B178" s="225" t="s">
        <v>677</v>
      </c>
      <c r="C178" s="242" t="s">
        <v>239</v>
      </c>
      <c r="D178" s="225" t="s">
        <v>302</v>
      </c>
      <c r="E178" s="215"/>
      <c r="F178" s="287">
        <v>103500</v>
      </c>
      <c r="G178" s="215">
        <f>+G177+E178-F178</f>
        <v>29927382</v>
      </c>
      <c r="H178" s="225" t="s">
        <v>25</v>
      </c>
      <c r="I178" s="225" t="s">
        <v>307</v>
      </c>
      <c r="J178" s="225" t="s">
        <v>102</v>
      </c>
      <c r="K178" s="225" t="s">
        <v>199</v>
      </c>
      <c r="L178" s="225" t="s">
        <v>536</v>
      </c>
      <c r="M178" s="225" t="s">
        <v>644</v>
      </c>
      <c r="N178" s="225" t="s">
        <v>542</v>
      </c>
      <c r="P178" s="247"/>
    </row>
    <row r="179" spans="1:16" s="225" customFormat="1" ht="13.8" x14ac:dyDescent="0.25">
      <c r="A179" s="249">
        <v>45098</v>
      </c>
      <c r="B179" s="250" t="s">
        <v>543</v>
      </c>
      <c r="C179" s="242" t="s">
        <v>239</v>
      </c>
      <c r="D179" s="225" t="s">
        <v>302</v>
      </c>
      <c r="F179" s="251">
        <v>20000</v>
      </c>
      <c r="G179" s="215">
        <f>+G178+E179-F179</f>
        <v>29907382</v>
      </c>
      <c r="H179" s="225" t="s">
        <v>25</v>
      </c>
      <c r="I179" s="225" t="s">
        <v>307</v>
      </c>
      <c r="J179" s="225" t="s">
        <v>102</v>
      </c>
      <c r="K179" s="225" t="s">
        <v>199</v>
      </c>
      <c r="L179" s="225" t="s">
        <v>536</v>
      </c>
      <c r="M179" s="225" t="s">
        <v>645</v>
      </c>
      <c r="N179" s="225" t="s">
        <v>542</v>
      </c>
      <c r="P179" s="247"/>
    </row>
    <row r="180" spans="1:16" s="225" customFormat="1" ht="15" customHeight="1" x14ac:dyDescent="0.25">
      <c r="A180" s="241">
        <v>45098</v>
      </c>
      <c r="B180" s="242" t="s">
        <v>270</v>
      </c>
      <c r="C180" s="242" t="s">
        <v>75</v>
      </c>
      <c r="F180" s="288">
        <v>166000</v>
      </c>
      <c r="G180" s="215">
        <f>+G179+E180-F180</f>
        <v>29741382</v>
      </c>
      <c r="H180" s="225" t="s">
        <v>25</v>
      </c>
      <c r="K180" s="248"/>
      <c r="M180" s="246"/>
      <c r="O180" s="234"/>
      <c r="P180" s="247"/>
    </row>
    <row r="181" spans="1:16" s="225" customFormat="1" ht="13.8" x14ac:dyDescent="0.25">
      <c r="A181" s="255">
        <v>45098</v>
      </c>
      <c r="B181" s="215" t="s">
        <v>304</v>
      </c>
      <c r="C181" s="242" t="s">
        <v>75</v>
      </c>
      <c r="D181" s="232"/>
      <c r="E181" s="292"/>
      <c r="F181" s="288">
        <v>15000</v>
      </c>
      <c r="G181" s="215">
        <f>+G180+E181-F181</f>
        <v>29726382</v>
      </c>
      <c r="H181" s="225" t="s">
        <v>25</v>
      </c>
      <c r="K181" s="248"/>
      <c r="M181" s="246"/>
      <c r="P181" s="247"/>
    </row>
    <row r="182" spans="1:16" s="225" customFormat="1" ht="13.8" x14ac:dyDescent="0.25">
      <c r="A182" s="241">
        <v>45098</v>
      </c>
      <c r="B182" s="242" t="s">
        <v>532</v>
      </c>
      <c r="C182" s="242" t="s">
        <v>75</v>
      </c>
      <c r="D182" s="232"/>
      <c r="E182" s="242"/>
      <c r="F182" s="242">
        <v>160000</v>
      </c>
      <c r="G182" s="215">
        <f>+G181+E182-F182</f>
        <v>29566382</v>
      </c>
      <c r="H182" s="242" t="s">
        <v>25</v>
      </c>
      <c r="M182" s="246"/>
      <c r="N182" s="242"/>
      <c r="O182" s="242"/>
      <c r="P182" s="247"/>
    </row>
    <row r="183" spans="1:16" s="225" customFormat="1" ht="13.8" x14ac:dyDescent="0.25">
      <c r="A183" s="255">
        <v>45098</v>
      </c>
      <c r="B183" s="225" t="s">
        <v>315</v>
      </c>
      <c r="C183" s="242" t="s">
        <v>75</v>
      </c>
      <c r="E183" s="225">
        <v>166000</v>
      </c>
      <c r="F183" s="242"/>
      <c r="G183" s="215">
        <f>+G182+E183-F183</f>
        <v>29732382</v>
      </c>
      <c r="H183" s="225" t="s">
        <v>270</v>
      </c>
      <c r="M183" s="246"/>
      <c r="N183" s="242"/>
      <c r="P183" s="247"/>
    </row>
    <row r="184" spans="1:16" s="225" customFormat="1" ht="13.8" x14ac:dyDescent="0.25">
      <c r="A184" s="249">
        <v>45098</v>
      </c>
      <c r="B184" s="250" t="s">
        <v>418</v>
      </c>
      <c r="C184" s="242" t="s">
        <v>34</v>
      </c>
      <c r="D184" s="225" t="s">
        <v>4</v>
      </c>
      <c r="F184" s="225">
        <v>9000</v>
      </c>
      <c r="G184" s="215">
        <f>+G183+E184-F184</f>
        <v>29723382</v>
      </c>
      <c r="H184" s="225" t="s">
        <v>270</v>
      </c>
      <c r="I184" s="225" t="s">
        <v>307</v>
      </c>
      <c r="J184" s="242" t="s">
        <v>290</v>
      </c>
      <c r="K184" s="320" t="s">
        <v>199</v>
      </c>
      <c r="L184" s="320" t="s">
        <v>536</v>
      </c>
      <c r="M184" s="225" t="s">
        <v>646</v>
      </c>
      <c r="N184" s="242" t="s">
        <v>554</v>
      </c>
      <c r="P184" s="247"/>
    </row>
    <row r="185" spans="1:16" s="225" customFormat="1" ht="13.8" x14ac:dyDescent="0.25">
      <c r="A185" s="220">
        <v>45098</v>
      </c>
      <c r="B185" s="320" t="s">
        <v>512</v>
      </c>
      <c r="C185" s="321" t="s">
        <v>75</v>
      </c>
      <c r="D185" s="321"/>
      <c r="E185" s="322">
        <v>15000</v>
      </c>
      <c r="F185" s="323"/>
      <c r="G185" s="215">
        <f>+G184+E185-F185</f>
        <v>29738382</v>
      </c>
      <c r="H185" s="320" t="s">
        <v>304</v>
      </c>
      <c r="I185" s="320"/>
      <c r="J185" s="320"/>
      <c r="K185" s="320"/>
      <c r="L185" s="320"/>
      <c r="M185" s="320"/>
      <c r="N185" s="320"/>
      <c r="O185" s="190"/>
      <c r="P185" s="247"/>
    </row>
    <row r="186" spans="1:16" s="225" customFormat="1" ht="13.8" x14ac:dyDescent="0.25">
      <c r="A186" s="241">
        <v>45098</v>
      </c>
      <c r="B186" s="225" t="s">
        <v>446</v>
      </c>
      <c r="C186" s="242" t="s">
        <v>75</v>
      </c>
      <c r="D186" s="232"/>
      <c r="E186" s="242">
        <v>160000</v>
      </c>
      <c r="F186" s="242"/>
      <c r="G186" s="215">
        <f>+G185+E186-F186</f>
        <v>29898382</v>
      </c>
      <c r="H186" s="242" t="s">
        <v>93</v>
      </c>
      <c r="M186" s="246"/>
      <c r="N186" s="242"/>
      <c r="O186" s="242"/>
      <c r="P186" s="247"/>
    </row>
    <row r="187" spans="1:16" s="225" customFormat="1" ht="13.8" x14ac:dyDescent="0.25">
      <c r="A187" s="241">
        <v>45099</v>
      </c>
      <c r="B187" s="225" t="s">
        <v>305</v>
      </c>
      <c r="C187" s="225" t="s">
        <v>213</v>
      </c>
      <c r="D187" s="225" t="s">
        <v>302</v>
      </c>
      <c r="E187" s="215"/>
      <c r="F187" s="215">
        <v>6000</v>
      </c>
      <c r="G187" s="215">
        <f>+G186+E187-F187</f>
        <v>29892382</v>
      </c>
      <c r="H187" s="225" t="s">
        <v>25</v>
      </c>
      <c r="I187" s="225" t="s">
        <v>307</v>
      </c>
      <c r="J187" s="225" t="s">
        <v>102</v>
      </c>
      <c r="K187" s="225" t="s">
        <v>199</v>
      </c>
      <c r="L187" s="225" t="s">
        <v>536</v>
      </c>
      <c r="M187" s="225" t="s">
        <v>647</v>
      </c>
      <c r="N187" s="225" t="s">
        <v>537</v>
      </c>
      <c r="P187" s="247"/>
    </row>
    <row r="188" spans="1:16" s="225" customFormat="1" ht="13.8" x14ac:dyDescent="0.25">
      <c r="A188" s="241">
        <v>45099</v>
      </c>
      <c r="B188" s="242" t="s">
        <v>372</v>
      </c>
      <c r="C188" s="242" t="s">
        <v>75</v>
      </c>
      <c r="D188" s="232"/>
      <c r="E188" s="215">
        <v>2000000</v>
      </c>
      <c r="F188" s="215"/>
      <c r="G188" s="215">
        <f>+G187+E188-F188</f>
        <v>31892382</v>
      </c>
      <c r="H188" s="225" t="s">
        <v>25</v>
      </c>
      <c r="J188" s="242"/>
      <c r="M188" s="246"/>
      <c r="P188" s="247"/>
    </row>
    <row r="189" spans="1:16" s="225" customFormat="1" ht="13.8" x14ac:dyDescent="0.25">
      <c r="A189" s="260">
        <v>45099</v>
      </c>
      <c r="B189" s="225" t="s">
        <v>29</v>
      </c>
      <c r="C189" s="242" t="s">
        <v>75</v>
      </c>
      <c r="D189" s="232"/>
      <c r="F189" s="262">
        <v>100000</v>
      </c>
      <c r="G189" s="215">
        <f>+G188+E189-F189</f>
        <v>31792382</v>
      </c>
      <c r="H189" s="263" t="s">
        <v>25</v>
      </c>
      <c r="I189" s="263"/>
      <c r="M189" s="246"/>
      <c r="N189" s="242"/>
      <c r="P189" s="247"/>
    </row>
    <row r="190" spans="1:16" s="225" customFormat="1" ht="13.8" x14ac:dyDescent="0.25">
      <c r="A190" s="241">
        <v>45099</v>
      </c>
      <c r="B190" s="242" t="s">
        <v>269</v>
      </c>
      <c r="C190" s="242" t="s">
        <v>75</v>
      </c>
      <c r="E190" s="242"/>
      <c r="F190" s="256">
        <v>100000</v>
      </c>
      <c r="G190" s="215">
        <f>+G189+E190-F190</f>
        <v>31692382</v>
      </c>
      <c r="H190" s="242" t="s">
        <v>25</v>
      </c>
      <c r="M190" s="246"/>
      <c r="N190" s="242"/>
      <c r="O190" s="242"/>
      <c r="P190" s="247"/>
    </row>
    <row r="191" spans="1:16" s="225" customFormat="1" ht="13.8" x14ac:dyDescent="0.25">
      <c r="A191" s="241">
        <v>45099</v>
      </c>
      <c r="B191" s="232" t="s">
        <v>678</v>
      </c>
      <c r="C191" s="242" t="s">
        <v>75</v>
      </c>
      <c r="D191" s="289"/>
      <c r="E191" s="248"/>
      <c r="F191" s="225">
        <v>2000000</v>
      </c>
      <c r="G191" s="215">
        <f>+G190+E191-F191</f>
        <v>29692382</v>
      </c>
      <c r="H191" s="157" t="s">
        <v>24</v>
      </c>
      <c r="I191" s="221">
        <v>3654554</v>
      </c>
      <c r="K191" s="248"/>
      <c r="M191" s="246"/>
      <c r="P191" s="247"/>
    </row>
    <row r="192" spans="1:16" s="225" customFormat="1" ht="13.8" x14ac:dyDescent="0.25">
      <c r="A192" s="241">
        <v>45099</v>
      </c>
      <c r="B192" s="225" t="s">
        <v>435</v>
      </c>
      <c r="C192" s="242" t="s">
        <v>75</v>
      </c>
      <c r="E192" s="215"/>
      <c r="F192" s="251">
        <v>18805</v>
      </c>
      <c r="G192" s="215">
        <f>+G191+E192-F192</f>
        <v>29673577</v>
      </c>
      <c r="H192" s="225" t="s">
        <v>197</v>
      </c>
      <c r="P192" s="247"/>
    </row>
    <row r="193" spans="1:16" s="225" customFormat="1" ht="13.8" x14ac:dyDescent="0.25">
      <c r="A193" s="241">
        <v>45099</v>
      </c>
      <c r="B193" s="225" t="s">
        <v>420</v>
      </c>
      <c r="C193" s="242" t="s">
        <v>34</v>
      </c>
      <c r="D193" s="225" t="s">
        <v>4</v>
      </c>
      <c r="E193" s="215"/>
      <c r="F193" s="215">
        <v>3500</v>
      </c>
      <c r="G193" s="215">
        <f>+G192+E193-F193</f>
        <v>29670077</v>
      </c>
      <c r="H193" s="225" t="s">
        <v>270</v>
      </c>
      <c r="I193" s="225" t="s">
        <v>307</v>
      </c>
      <c r="J193" s="242" t="s">
        <v>290</v>
      </c>
      <c r="K193" s="320" t="s">
        <v>199</v>
      </c>
      <c r="L193" s="320" t="s">
        <v>536</v>
      </c>
      <c r="M193" s="225" t="s">
        <v>648</v>
      </c>
      <c r="N193" s="242" t="s">
        <v>554</v>
      </c>
      <c r="P193" s="247"/>
    </row>
    <row r="194" spans="1:16" s="225" customFormat="1" ht="13.8" x14ac:dyDescent="0.25">
      <c r="A194" s="241">
        <v>45099</v>
      </c>
      <c r="B194" s="250" t="s">
        <v>422</v>
      </c>
      <c r="C194" s="242" t="s">
        <v>413</v>
      </c>
      <c r="D194" s="225" t="s">
        <v>4</v>
      </c>
      <c r="E194" s="252"/>
      <c r="F194" s="215">
        <v>30000</v>
      </c>
      <c r="G194" s="215">
        <f>+G193+E194-F194</f>
        <v>29640077</v>
      </c>
      <c r="H194" s="248" t="s">
        <v>270</v>
      </c>
      <c r="I194" s="225" t="s">
        <v>309</v>
      </c>
      <c r="J194" s="242" t="s">
        <v>290</v>
      </c>
      <c r="K194" s="242" t="s">
        <v>199</v>
      </c>
      <c r="L194" s="242" t="s">
        <v>536</v>
      </c>
      <c r="M194" s="225" t="s">
        <v>649</v>
      </c>
      <c r="N194" s="242" t="s">
        <v>558</v>
      </c>
      <c r="P194" s="247"/>
    </row>
    <row r="195" spans="1:16" s="225" customFormat="1" ht="13.8" x14ac:dyDescent="0.25">
      <c r="A195" s="241">
        <v>45099</v>
      </c>
      <c r="B195" s="225" t="s">
        <v>463</v>
      </c>
      <c r="C195" s="242" t="s">
        <v>75</v>
      </c>
      <c r="E195" s="215">
        <v>100000</v>
      </c>
      <c r="F195" s="287"/>
      <c r="G195" s="215">
        <f>+G194+E195-F195</f>
        <v>29740077</v>
      </c>
      <c r="H195" s="225" t="s">
        <v>269</v>
      </c>
      <c r="P195" s="247"/>
    </row>
    <row r="196" spans="1:16" s="225" customFormat="1" ht="13.8" x14ac:dyDescent="0.25">
      <c r="A196" s="226">
        <v>45099</v>
      </c>
      <c r="B196" s="227" t="s">
        <v>499</v>
      </c>
      <c r="C196" s="242" t="s">
        <v>75</v>
      </c>
      <c r="D196" s="227"/>
      <c r="E196" s="227">
        <v>100000</v>
      </c>
      <c r="F196" s="239"/>
      <c r="G196" s="215">
        <f>+G195+E196-F196</f>
        <v>29840077</v>
      </c>
      <c r="H196" s="227" t="s">
        <v>29</v>
      </c>
      <c r="I196" s="227"/>
      <c r="J196" s="227"/>
      <c r="K196" s="227"/>
      <c r="L196" s="227"/>
      <c r="M196" s="227"/>
      <c r="N196" s="227"/>
      <c r="O196" s="227"/>
      <c r="P196" s="247"/>
    </row>
    <row r="197" spans="1:16" s="225" customFormat="1" ht="13.8" x14ac:dyDescent="0.25">
      <c r="A197" s="255">
        <v>45100</v>
      </c>
      <c r="B197" s="225" t="s">
        <v>391</v>
      </c>
      <c r="C197" s="242" t="s">
        <v>170</v>
      </c>
      <c r="D197" s="225" t="s">
        <v>154</v>
      </c>
      <c r="E197" s="248"/>
      <c r="F197" s="225">
        <v>359500</v>
      </c>
      <c r="G197" s="215">
        <f>+G196+E197-F197</f>
        <v>29480577</v>
      </c>
      <c r="H197" s="157" t="s">
        <v>148</v>
      </c>
      <c r="I197" s="221">
        <v>3667350</v>
      </c>
      <c r="J197" s="225" t="s">
        <v>102</v>
      </c>
      <c r="K197" s="242" t="s">
        <v>199</v>
      </c>
      <c r="L197" s="242" t="s">
        <v>536</v>
      </c>
      <c r="M197" s="225" t="s">
        <v>650</v>
      </c>
      <c r="N197" s="242" t="s">
        <v>549</v>
      </c>
      <c r="O197" s="242"/>
      <c r="P197" s="247"/>
    </row>
    <row r="198" spans="1:16" s="225" customFormat="1" ht="13.8" x14ac:dyDescent="0.25">
      <c r="A198" s="241">
        <v>45100</v>
      </c>
      <c r="B198" s="225" t="s">
        <v>392</v>
      </c>
      <c r="C198" s="242" t="s">
        <v>170</v>
      </c>
      <c r="D198" s="225" t="s">
        <v>154</v>
      </c>
      <c r="F198" s="225">
        <v>289733</v>
      </c>
      <c r="G198" s="215">
        <f>+G197+E198-F198</f>
        <v>29190844</v>
      </c>
      <c r="H198" s="157" t="s">
        <v>148</v>
      </c>
      <c r="I198" s="250">
        <v>3667351</v>
      </c>
      <c r="J198" s="225" t="s">
        <v>102</v>
      </c>
      <c r="K198" s="242" t="s">
        <v>199</v>
      </c>
      <c r="L198" s="242" t="s">
        <v>536</v>
      </c>
      <c r="M198" s="225" t="s">
        <v>651</v>
      </c>
      <c r="N198" s="242" t="s">
        <v>549</v>
      </c>
      <c r="P198" s="247"/>
    </row>
    <row r="199" spans="1:16" s="225" customFormat="1" ht="13.8" x14ac:dyDescent="0.25">
      <c r="A199" s="241">
        <v>45100</v>
      </c>
      <c r="B199" s="225" t="s">
        <v>393</v>
      </c>
      <c r="C199" s="242" t="s">
        <v>170</v>
      </c>
      <c r="D199" s="225" t="s">
        <v>154</v>
      </c>
      <c r="F199" s="225">
        <v>200000</v>
      </c>
      <c r="G199" s="215">
        <f>+G198+E199-F199</f>
        <v>28990844</v>
      </c>
      <c r="H199" s="157" t="s">
        <v>148</v>
      </c>
      <c r="I199" s="221">
        <v>3667352</v>
      </c>
      <c r="J199" s="225" t="s">
        <v>102</v>
      </c>
      <c r="K199" s="242" t="s">
        <v>199</v>
      </c>
      <c r="L199" s="242" t="s">
        <v>536</v>
      </c>
      <c r="M199" s="225" t="s">
        <v>652</v>
      </c>
      <c r="N199" s="242" t="s">
        <v>549</v>
      </c>
      <c r="P199" s="247"/>
    </row>
    <row r="200" spans="1:16" s="225" customFormat="1" ht="13.8" x14ac:dyDescent="0.25">
      <c r="A200" s="241">
        <v>45100</v>
      </c>
      <c r="B200" s="225" t="s">
        <v>394</v>
      </c>
      <c r="C200" s="242" t="s">
        <v>170</v>
      </c>
      <c r="D200" s="242" t="s">
        <v>155</v>
      </c>
      <c r="F200" s="225">
        <v>235600</v>
      </c>
      <c r="G200" s="215">
        <f>+G199+E200-F200</f>
        <v>28755244</v>
      </c>
      <c r="H200" s="157" t="s">
        <v>148</v>
      </c>
      <c r="I200" s="221">
        <v>3667356</v>
      </c>
      <c r="J200" s="225" t="s">
        <v>102</v>
      </c>
      <c r="K200" s="242" t="s">
        <v>199</v>
      </c>
      <c r="L200" s="242" t="s">
        <v>536</v>
      </c>
      <c r="M200" s="225" t="s">
        <v>653</v>
      </c>
      <c r="N200" s="242" t="s">
        <v>550</v>
      </c>
      <c r="P200" s="247"/>
    </row>
    <row r="201" spans="1:16" s="225" customFormat="1" ht="13.8" x14ac:dyDescent="0.25">
      <c r="A201" s="241">
        <v>45100</v>
      </c>
      <c r="B201" s="225" t="s">
        <v>395</v>
      </c>
      <c r="C201" s="242" t="s">
        <v>170</v>
      </c>
      <c r="D201" s="225" t="s">
        <v>302</v>
      </c>
      <c r="F201" s="225">
        <v>300000</v>
      </c>
      <c r="G201" s="215">
        <f>+G200+E201-F201</f>
        <v>28455244</v>
      </c>
      <c r="H201" s="157" t="s">
        <v>148</v>
      </c>
      <c r="I201" s="221">
        <v>3667354</v>
      </c>
      <c r="J201" s="225" t="s">
        <v>102</v>
      </c>
      <c r="K201" s="242" t="s">
        <v>199</v>
      </c>
      <c r="L201" s="242" t="s">
        <v>536</v>
      </c>
      <c r="M201" s="225" t="s">
        <v>654</v>
      </c>
      <c r="N201" s="242" t="s">
        <v>551</v>
      </c>
      <c r="P201" s="247"/>
    </row>
    <row r="202" spans="1:16" s="225" customFormat="1" ht="13.8" x14ac:dyDescent="0.25">
      <c r="A202" s="249">
        <v>45100</v>
      </c>
      <c r="B202" s="215" t="s">
        <v>396</v>
      </c>
      <c r="C202" s="242" t="s">
        <v>170</v>
      </c>
      <c r="D202" s="287" t="s">
        <v>2</v>
      </c>
      <c r="E202" s="242"/>
      <c r="F202" s="225">
        <v>350000</v>
      </c>
      <c r="G202" s="215">
        <f>+G201+E202-F202</f>
        <v>28105244</v>
      </c>
      <c r="H202" s="157" t="s">
        <v>148</v>
      </c>
      <c r="I202" s="250">
        <v>3667353</v>
      </c>
      <c r="J202" s="225" t="s">
        <v>102</v>
      </c>
      <c r="K202" s="242" t="s">
        <v>199</v>
      </c>
      <c r="L202" s="242" t="s">
        <v>536</v>
      </c>
      <c r="M202" s="225" t="s">
        <v>655</v>
      </c>
      <c r="N202" s="242" t="s">
        <v>551</v>
      </c>
      <c r="P202" s="247"/>
    </row>
    <row r="203" spans="1:16" s="225" customFormat="1" ht="13.8" x14ac:dyDescent="0.25">
      <c r="A203" s="241">
        <v>45100</v>
      </c>
      <c r="B203" s="225" t="s">
        <v>403</v>
      </c>
      <c r="C203" s="225" t="s">
        <v>34</v>
      </c>
      <c r="D203" s="287" t="s">
        <v>2</v>
      </c>
      <c r="E203" s="215"/>
      <c r="F203" s="287">
        <v>15000</v>
      </c>
      <c r="G203" s="215">
        <f>+G202+E203-F203</f>
        <v>28090244</v>
      </c>
      <c r="H203" s="225" t="s">
        <v>47</v>
      </c>
      <c r="I203" s="225" t="s">
        <v>307</v>
      </c>
      <c r="J203" s="242" t="s">
        <v>290</v>
      </c>
      <c r="K203" s="320" t="s">
        <v>199</v>
      </c>
      <c r="L203" s="320" t="s">
        <v>536</v>
      </c>
      <c r="M203" s="225" t="s">
        <v>662</v>
      </c>
      <c r="N203" s="242" t="s">
        <v>554</v>
      </c>
      <c r="P203" s="247"/>
    </row>
    <row r="204" spans="1:16" s="225" customFormat="1" ht="13.8" x14ac:dyDescent="0.25">
      <c r="A204" s="241">
        <v>45100</v>
      </c>
      <c r="B204" s="242" t="s">
        <v>680</v>
      </c>
      <c r="C204" s="242" t="s">
        <v>34</v>
      </c>
      <c r="D204" s="287" t="s">
        <v>2</v>
      </c>
      <c r="E204" s="242"/>
      <c r="F204" s="252">
        <v>15000</v>
      </c>
      <c r="G204" s="215">
        <f>+G203+E204-F204</f>
        <v>28075244</v>
      </c>
      <c r="H204" s="242" t="s">
        <v>427</v>
      </c>
      <c r="I204" s="225" t="s">
        <v>307</v>
      </c>
      <c r="J204" s="242" t="s">
        <v>290</v>
      </c>
      <c r="K204" s="320" t="s">
        <v>199</v>
      </c>
      <c r="L204" s="320" t="s">
        <v>536</v>
      </c>
      <c r="M204" s="225" t="s">
        <v>663</v>
      </c>
      <c r="N204" s="242" t="s">
        <v>554</v>
      </c>
      <c r="O204" s="242"/>
      <c r="P204" s="247"/>
    </row>
    <row r="205" spans="1:16" s="225" customFormat="1" ht="13.8" x14ac:dyDescent="0.25">
      <c r="A205" s="241">
        <v>45100</v>
      </c>
      <c r="B205" s="250" t="s">
        <v>679</v>
      </c>
      <c r="C205" s="242" t="s">
        <v>75</v>
      </c>
      <c r="D205" s="232"/>
      <c r="E205" s="215">
        <v>18805</v>
      </c>
      <c r="F205" s="215"/>
      <c r="G205" s="215">
        <f>+G204+E205-F205</f>
        <v>28094049</v>
      </c>
      <c r="H205" s="225" t="s">
        <v>25</v>
      </c>
      <c r="J205" s="242"/>
      <c r="M205" s="246"/>
      <c r="P205" s="247"/>
    </row>
    <row r="206" spans="1:16" s="225" customFormat="1" ht="13.8" x14ac:dyDescent="0.25">
      <c r="A206" s="241">
        <v>45100</v>
      </c>
      <c r="B206" s="263" t="s">
        <v>660</v>
      </c>
      <c r="C206" s="242" t="s">
        <v>75</v>
      </c>
      <c r="D206" s="263"/>
      <c r="E206" s="291">
        <v>2000000</v>
      </c>
      <c r="F206" s="262"/>
      <c r="G206" s="215">
        <f>+G205+E206-F206</f>
        <v>30094049</v>
      </c>
      <c r="H206" s="294" t="s">
        <v>25</v>
      </c>
      <c r="J206" s="242"/>
      <c r="P206" s="247"/>
    </row>
    <row r="207" spans="1:16" s="225" customFormat="1" ht="13.8" x14ac:dyDescent="0.25">
      <c r="A207" s="241">
        <v>45100</v>
      </c>
      <c r="B207" s="225" t="s">
        <v>47</v>
      </c>
      <c r="C207" s="242" t="s">
        <v>75</v>
      </c>
      <c r="E207" s="256"/>
      <c r="F207" s="256">
        <v>384000</v>
      </c>
      <c r="G207" s="215">
        <f>+G206+E207-F207</f>
        <v>29710049</v>
      </c>
      <c r="H207" s="225" t="s">
        <v>25</v>
      </c>
      <c r="I207" s="221"/>
      <c r="J207" s="242"/>
      <c r="L207" s="242"/>
      <c r="N207" s="242"/>
      <c r="O207" s="242"/>
      <c r="P207" s="247"/>
    </row>
    <row r="208" spans="1:16" s="225" customFormat="1" ht="13.8" x14ac:dyDescent="0.25">
      <c r="A208" s="255">
        <v>45100</v>
      </c>
      <c r="B208" s="225" t="s">
        <v>373</v>
      </c>
      <c r="C208" s="242" t="s">
        <v>75</v>
      </c>
      <c r="E208" s="256"/>
      <c r="F208" s="292">
        <v>179000</v>
      </c>
      <c r="G208" s="215">
        <f>+G207+E208-F208</f>
        <v>29531049</v>
      </c>
      <c r="H208" s="225" t="s">
        <v>25</v>
      </c>
      <c r="I208" s="221"/>
      <c r="J208" s="242"/>
      <c r="L208" s="242"/>
      <c r="N208" s="242"/>
      <c r="P208" s="247"/>
    </row>
    <row r="209" spans="1:16" s="225" customFormat="1" ht="13.8" x14ac:dyDescent="0.25">
      <c r="A209" s="245">
        <v>45100</v>
      </c>
      <c r="B209" s="242" t="s">
        <v>303</v>
      </c>
      <c r="C209" s="242" t="s">
        <v>75</v>
      </c>
      <c r="E209" s="242"/>
      <c r="F209" s="288">
        <v>234000</v>
      </c>
      <c r="G209" s="215">
        <f>+G208+E209-F209</f>
        <v>29297049</v>
      </c>
      <c r="H209" s="242" t="s">
        <v>25</v>
      </c>
      <c r="J209" s="242"/>
      <c r="K209" s="242"/>
      <c r="L209" s="242"/>
      <c r="N209" s="242"/>
      <c r="O209" s="242"/>
      <c r="P209" s="247"/>
    </row>
    <row r="210" spans="1:16" s="225" customFormat="1" ht="13.8" x14ac:dyDescent="0.25">
      <c r="A210" s="241">
        <v>45100</v>
      </c>
      <c r="B210" s="242" t="s">
        <v>143</v>
      </c>
      <c r="C210" s="242" t="s">
        <v>75</v>
      </c>
      <c r="E210" s="242"/>
      <c r="F210" s="288">
        <v>664000</v>
      </c>
      <c r="G210" s="215">
        <f>+G209+E210-F210</f>
        <v>28633049</v>
      </c>
      <c r="H210" s="242" t="s">
        <v>25</v>
      </c>
      <c r="K210" s="248"/>
      <c r="M210" s="246"/>
      <c r="O210" s="242"/>
      <c r="P210" s="247"/>
    </row>
    <row r="211" spans="1:16" s="225" customFormat="1" ht="13.8" x14ac:dyDescent="0.25">
      <c r="A211" s="245">
        <v>45100</v>
      </c>
      <c r="B211" s="225" t="s">
        <v>93</v>
      </c>
      <c r="C211" s="242" t="s">
        <v>75</v>
      </c>
      <c r="F211" s="288">
        <v>224000</v>
      </c>
      <c r="G211" s="215">
        <f>+G210+E211-F211</f>
        <v>28409049</v>
      </c>
      <c r="H211" s="242" t="s">
        <v>25</v>
      </c>
      <c r="M211" s="246"/>
      <c r="P211" s="247"/>
    </row>
    <row r="212" spans="1:16" s="225" customFormat="1" ht="13.8" x14ac:dyDescent="0.25">
      <c r="A212" s="255">
        <v>45100</v>
      </c>
      <c r="B212" s="225" t="s">
        <v>437</v>
      </c>
      <c r="C212" s="242" t="s">
        <v>34</v>
      </c>
      <c r="D212" s="225" t="s">
        <v>302</v>
      </c>
      <c r="F212" s="225">
        <v>15000</v>
      </c>
      <c r="G212" s="215">
        <f>+G211+E212-F212</f>
        <v>28394049</v>
      </c>
      <c r="H212" s="242" t="s">
        <v>93</v>
      </c>
      <c r="I212" s="225" t="s">
        <v>307</v>
      </c>
      <c r="J212" s="242" t="s">
        <v>290</v>
      </c>
      <c r="K212" s="320" t="s">
        <v>199</v>
      </c>
      <c r="L212" s="320" t="s">
        <v>536</v>
      </c>
      <c r="M212" s="225" t="s">
        <v>664</v>
      </c>
      <c r="N212" s="242" t="s">
        <v>554</v>
      </c>
      <c r="P212" s="247"/>
    </row>
    <row r="213" spans="1:16" s="225" customFormat="1" ht="13.8" x14ac:dyDescent="0.25">
      <c r="A213" s="241">
        <v>45100</v>
      </c>
      <c r="B213" s="242" t="s">
        <v>269</v>
      </c>
      <c r="C213" s="242" t="s">
        <v>75</v>
      </c>
      <c r="E213" s="242"/>
      <c r="F213" s="289">
        <v>68000</v>
      </c>
      <c r="G213" s="215">
        <f>+G212+E213-F213</f>
        <v>28326049</v>
      </c>
      <c r="H213" s="242" t="s">
        <v>25</v>
      </c>
      <c r="O213" s="242"/>
      <c r="P213" s="247"/>
    </row>
    <row r="214" spans="1:16" s="225" customFormat="1" ht="13.8" x14ac:dyDescent="0.25">
      <c r="A214" s="241">
        <v>45100</v>
      </c>
      <c r="B214" s="225" t="s">
        <v>29</v>
      </c>
      <c r="C214" s="242" t="s">
        <v>75</v>
      </c>
      <c r="E214" s="215"/>
      <c r="F214" s="287">
        <v>278000</v>
      </c>
      <c r="G214" s="215">
        <f>+G213+E214-F214</f>
        <v>28048049</v>
      </c>
      <c r="H214" s="225" t="s">
        <v>25</v>
      </c>
      <c r="P214" s="247"/>
    </row>
    <row r="215" spans="1:16" s="225" customFormat="1" ht="13.8" x14ac:dyDescent="0.25">
      <c r="A215" s="241">
        <v>45100</v>
      </c>
      <c r="B215" s="225" t="s">
        <v>31</v>
      </c>
      <c r="C215" s="242" t="s">
        <v>75</v>
      </c>
      <c r="D215" s="215"/>
      <c r="E215" s="215"/>
      <c r="F215" s="251">
        <v>214000</v>
      </c>
      <c r="G215" s="215">
        <f>+G214+E215-F215</f>
        <v>27834049</v>
      </c>
      <c r="H215" s="225" t="s">
        <v>25</v>
      </c>
      <c r="P215" s="247"/>
    </row>
    <row r="216" spans="1:16" s="225" customFormat="1" ht="13.8" x14ac:dyDescent="0.25">
      <c r="A216" s="241">
        <v>45100</v>
      </c>
      <c r="B216" s="225" t="s">
        <v>373</v>
      </c>
      <c r="C216" s="242" t="s">
        <v>75</v>
      </c>
      <c r="E216" s="215"/>
      <c r="F216" s="215">
        <v>30000</v>
      </c>
      <c r="G216" s="215">
        <f>+G215+E216-F216</f>
        <v>27804049</v>
      </c>
      <c r="H216" s="225" t="s">
        <v>25</v>
      </c>
      <c r="K216" s="248"/>
      <c r="N216" s="242"/>
      <c r="P216" s="247"/>
    </row>
    <row r="217" spans="1:16" s="242" customFormat="1" ht="13.8" x14ac:dyDescent="0.25">
      <c r="A217" s="255">
        <v>45100</v>
      </c>
      <c r="B217" s="232" t="s">
        <v>304</v>
      </c>
      <c r="C217" s="242" t="s">
        <v>75</v>
      </c>
      <c r="D217" s="295"/>
      <c r="E217" s="293"/>
      <c r="F217" s="256">
        <v>10000</v>
      </c>
      <c r="G217" s="215">
        <f>+G216+E217-F217</f>
        <v>27794049</v>
      </c>
      <c r="H217" s="225" t="s">
        <v>25</v>
      </c>
      <c r="I217" s="221"/>
      <c r="K217" s="225"/>
      <c r="L217" s="225"/>
      <c r="M217" s="246"/>
      <c r="N217" s="225"/>
      <c r="O217" s="225"/>
      <c r="P217" s="264"/>
    </row>
    <row r="218" spans="1:16" s="242" customFormat="1" ht="13.8" x14ac:dyDescent="0.25">
      <c r="A218" s="241">
        <v>45100</v>
      </c>
      <c r="B218" s="232" t="s">
        <v>390</v>
      </c>
      <c r="C218" s="242" t="s">
        <v>75</v>
      </c>
      <c r="D218" s="252"/>
      <c r="E218" s="252"/>
      <c r="F218" s="225">
        <v>2000000</v>
      </c>
      <c r="G218" s="215">
        <f>+G217+E218-F218</f>
        <v>25794049</v>
      </c>
      <c r="H218" s="157" t="s">
        <v>148</v>
      </c>
      <c r="I218" s="221">
        <v>3667357</v>
      </c>
      <c r="J218" s="225"/>
      <c r="K218" s="225"/>
      <c r="L218" s="225"/>
      <c r="M218" s="246"/>
      <c r="O218" s="225"/>
      <c r="P218" s="264"/>
    </row>
    <row r="219" spans="1:16" s="242" customFormat="1" ht="13.8" x14ac:dyDescent="0.25">
      <c r="A219" s="241">
        <v>45100</v>
      </c>
      <c r="B219" s="225" t="s">
        <v>321</v>
      </c>
      <c r="C219" s="242" t="s">
        <v>75</v>
      </c>
      <c r="D219" s="225"/>
      <c r="E219" s="215">
        <v>384000</v>
      </c>
      <c r="F219" s="287"/>
      <c r="G219" s="215">
        <f>+G218+E219-F219</f>
        <v>26178049</v>
      </c>
      <c r="H219" s="225" t="s">
        <v>47</v>
      </c>
      <c r="I219" s="225"/>
      <c r="J219" s="225"/>
      <c r="K219" s="225"/>
      <c r="L219" s="225"/>
      <c r="M219" s="225"/>
      <c r="N219" s="225"/>
      <c r="O219" s="225"/>
      <c r="P219" s="264"/>
    </row>
    <row r="220" spans="1:16" s="242" customFormat="1" ht="13.8" x14ac:dyDescent="0.25">
      <c r="A220" s="245">
        <v>45100</v>
      </c>
      <c r="B220" s="242" t="s">
        <v>426</v>
      </c>
      <c r="C220" s="242" t="s">
        <v>75</v>
      </c>
      <c r="D220" s="225"/>
      <c r="E220" s="242">
        <v>179000</v>
      </c>
      <c r="F220" s="252"/>
      <c r="G220" s="215">
        <f>+G219+E220-F220</f>
        <v>26357049</v>
      </c>
      <c r="H220" s="242" t="s">
        <v>427</v>
      </c>
      <c r="I220" s="225"/>
      <c r="J220" s="225"/>
      <c r="K220" s="225"/>
      <c r="L220" s="225"/>
      <c r="M220" s="246"/>
      <c r="P220" s="264"/>
    </row>
    <row r="221" spans="1:16" s="242" customFormat="1" ht="13.8" x14ac:dyDescent="0.25">
      <c r="A221" s="255">
        <v>45100</v>
      </c>
      <c r="B221" s="263" t="s">
        <v>426</v>
      </c>
      <c r="C221" s="242" t="s">
        <v>75</v>
      </c>
      <c r="D221" s="215"/>
      <c r="E221" s="225">
        <v>30000</v>
      </c>
      <c r="F221" s="296"/>
      <c r="G221" s="215">
        <f>+G220+E221-F221</f>
        <v>26387049</v>
      </c>
      <c r="H221" s="248" t="s">
        <v>427</v>
      </c>
      <c r="I221" s="225"/>
      <c r="K221" s="225"/>
      <c r="L221" s="225"/>
      <c r="M221" s="246"/>
      <c r="N221" s="225"/>
      <c r="O221" s="225"/>
      <c r="P221" s="264"/>
    </row>
    <row r="222" spans="1:16" s="242" customFormat="1" ht="13.8" x14ac:dyDescent="0.25">
      <c r="A222" s="241">
        <v>45100</v>
      </c>
      <c r="B222" s="225" t="s">
        <v>429</v>
      </c>
      <c r="C222" s="242" t="s">
        <v>75</v>
      </c>
      <c r="D222" s="225"/>
      <c r="E222" s="292">
        <v>25000</v>
      </c>
      <c r="F222" s="292"/>
      <c r="G222" s="215">
        <f>+G221+E222-F222</f>
        <v>26412049</v>
      </c>
      <c r="H222" s="225" t="s">
        <v>427</v>
      </c>
      <c r="I222" s="221"/>
      <c r="J222" s="225"/>
      <c r="K222" s="225"/>
      <c r="L222" s="225"/>
      <c r="M222" s="246"/>
      <c r="O222" s="225"/>
      <c r="P222" s="264"/>
    </row>
    <row r="223" spans="1:16" s="242" customFormat="1" ht="13.8" x14ac:dyDescent="0.25">
      <c r="A223" s="241">
        <v>45100</v>
      </c>
      <c r="B223" s="225" t="s">
        <v>314</v>
      </c>
      <c r="C223" s="242" t="s">
        <v>75</v>
      </c>
      <c r="D223" s="225"/>
      <c r="E223" s="215">
        <v>224000</v>
      </c>
      <c r="F223" s="215"/>
      <c r="G223" s="215">
        <f>+G222+E223-F223</f>
        <v>26636049</v>
      </c>
      <c r="H223" s="225" t="s">
        <v>93</v>
      </c>
      <c r="I223" s="225"/>
      <c r="M223" s="225"/>
      <c r="O223" s="225"/>
      <c r="P223" s="264"/>
    </row>
    <row r="224" spans="1:16" s="242" customFormat="1" ht="13.8" x14ac:dyDescent="0.25">
      <c r="A224" s="255">
        <v>45100</v>
      </c>
      <c r="B224" s="250" t="s">
        <v>319</v>
      </c>
      <c r="C224" s="242" t="s">
        <v>75</v>
      </c>
      <c r="D224" s="225"/>
      <c r="E224" s="252">
        <v>234000</v>
      </c>
      <c r="F224" s="287"/>
      <c r="G224" s="215">
        <f>+G223+E224-F224</f>
        <v>26870049</v>
      </c>
      <c r="H224" s="248" t="s">
        <v>303</v>
      </c>
      <c r="I224" s="225"/>
      <c r="J224" s="225"/>
      <c r="K224" s="225"/>
      <c r="L224" s="225"/>
      <c r="M224" s="246"/>
      <c r="N224" s="225"/>
      <c r="O224" s="225"/>
      <c r="P224" s="264"/>
    </row>
    <row r="225" spans="1:16" s="242" customFormat="1" ht="13.8" x14ac:dyDescent="0.25">
      <c r="A225" s="241">
        <v>45100</v>
      </c>
      <c r="B225" s="242" t="s">
        <v>479</v>
      </c>
      <c r="C225" s="242" t="s">
        <v>75</v>
      </c>
      <c r="D225" s="232"/>
      <c r="E225" s="242">
        <v>214000</v>
      </c>
      <c r="F225" s="252"/>
      <c r="G225" s="215">
        <f>+G224+E225-F225</f>
        <v>27084049</v>
      </c>
      <c r="H225" s="242" t="s">
        <v>31</v>
      </c>
      <c r="I225" s="225"/>
      <c r="M225" s="225"/>
      <c r="N225" s="225"/>
      <c r="P225" s="264"/>
    </row>
    <row r="226" spans="1:16" s="242" customFormat="1" ht="13.8" x14ac:dyDescent="0.25">
      <c r="A226" s="245">
        <v>45100</v>
      </c>
      <c r="B226" s="242" t="s">
        <v>486</v>
      </c>
      <c r="C226" s="242" t="s">
        <v>75</v>
      </c>
      <c r="E226" s="242">
        <v>664000</v>
      </c>
      <c r="F226" s="256"/>
      <c r="G226" s="215">
        <f>+G225+E226-F226</f>
        <v>27748049</v>
      </c>
      <c r="H226" s="242" t="s">
        <v>143</v>
      </c>
      <c r="I226" s="225"/>
      <c r="K226" s="225"/>
      <c r="L226" s="225"/>
      <c r="M226" s="246"/>
      <c r="N226" s="225"/>
      <c r="P226" s="264"/>
    </row>
    <row r="227" spans="1:16" s="242" customFormat="1" ht="13.8" x14ac:dyDescent="0.25">
      <c r="A227" s="241">
        <v>45100</v>
      </c>
      <c r="B227" s="225" t="s">
        <v>473</v>
      </c>
      <c r="C227" s="225" t="s">
        <v>34</v>
      </c>
      <c r="D227" s="225" t="s">
        <v>154</v>
      </c>
      <c r="E227" s="215"/>
      <c r="F227" s="287">
        <v>15000</v>
      </c>
      <c r="G227" s="215">
        <f>+G226+E227-F227</f>
        <v>27733049</v>
      </c>
      <c r="H227" s="248" t="s">
        <v>303</v>
      </c>
      <c r="I227" s="225" t="s">
        <v>307</v>
      </c>
      <c r="J227" s="242" t="s">
        <v>290</v>
      </c>
      <c r="K227" s="320" t="s">
        <v>199</v>
      </c>
      <c r="L227" s="320" t="s">
        <v>536</v>
      </c>
      <c r="M227" s="225" t="s">
        <v>665</v>
      </c>
      <c r="N227" s="242" t="s">
        <v>554</v>
      </c>
      <c r="O227" s="225"/>
      <c r="P227" s="264"/>
    </row>
    <row r="228" spans="1:16" s="242" customFormat="1" ht="13.8" x14ac:dyDescent="0.25">
      <c r="A228" s="241">
        <v>45100</v>
      </c>
      <c r="B228" s="225" t="s">
        <v>480</v>
      </c>
      <c r="C228" s="242" t="s">
        <v>34</v>
      </c>
      <c r="D228" s="242" t="s">
        <v>155</v>
      </c>
      <c r="E228" s="215"/>
      <c r="F228" s="215">
        <v>15000</v>
      </c>
      <c r="G228" s="215">
        <f>+G227+E228-F228</f>
        <v>27718049</v>
      </c>
      <c r="H228" s="225" t="s">
        <v>31</v>
      </c>
      <c r="I228" s="225" t="s">
        <v>307</v>
      </c>
      <c r="J228" s="242" t="s">
        <v>290</v>
      </c>
      <c r="K228" s="320" t="s">
        <v>199</v>
      </c>
      <c r="L228" s="320" t="s">
        <v>536</v>
      </c>
      <c r="M228" s="225" t="s">
        <v>666</v>
      </c>
      <c r="N228" s="242" t="s">
        <v>554</v>
      </c>
      <c r="O228" s="225"/>
      <c r="P228" s="264"/>
    </row>
    <row r="229" spans="1:16" s="242" customFormat="1" ht="13.8" x14ac:dyDescent="0.25">
      <c r="A229" s="245">
        <v>45100</v>
      </c>
      <c r="B229" s="242" t="s">
        <v>487</v>
      </c>
      <c r="C229" s="242" t="s">
        <v>34</v>
      </c>
      <c r="D229" s="287" t="s">
        <v>2</v>
      </c>
      <c r="F229" s="256">
        <v>15000</v>
      </c>
      <c r="G229" s="215">
        <f>+G228+E229-F229</f>
        <v>27703049</v>
      </c>
      <c r="H229" s="242" t="s">
        <v>143</v>
      </c>
      <c r="I229" s="225" t="s">
        <v>307</v>
      </c>
      <c r="J229" s="242" t="s">
        <v>290</v>
      </c>
      <c r="K229" s="320" t="s">
        <v>199</v>
      </c>
      <c r="L229" s="320" t="s">
        <v>536</v>
      </c>
      <c r="M229" s="225" t="s">
        <v>667</v>
      </c>
      <c r="N229" s="242" t="s">
        <v>554</v>
      </c>
      <c r="P229" s="264"/>
    </row>
    <row r="230" spans="1:16" s="242" customFormat="1" ht="13.8" x14ac:dyDescent="0.25">
      <c r="A230" s="220">
        <v>45100</v>
      </c>
      <c r="B230" s="320" t="s">
        <v>512</v>
      </c>
      <c r="C230" s="321" t="s">
        <v>75</v>
      </c>
      <c r="D230" s="321"/>
      <c r="E230" s="322">
        <v>10000</v>
      </c>
      <c r="F230" s="323"/>
      <c r="G230" s="215">
        <f>+G229+E230-F230</f>
        <v>27713049</v>
      </c>
      <c r="H230" s="320" t="s">
        <v>304</v>
      </c>
      <c r="I230" s="320"/>
      <c r="J230" s="320"/>
      <c r="K230" s="320"/>
      <c r="L230" s="320"/>
      <c r="M230" s="320"/>
      <c r="N230" s="320"/>
      <c r="O230" s="190"/>
      <c r="P230" s="264"/>
    </row>
    <row r="231" spans="1:16" s="242" customFormat="1" ht="13.8" x14ac:dyDescent="0.25">
      <c r="A231" s="241">
        <v>45101</v>
      </c>
      <c r="B231" s="250" t="s">
        <v>421</v>
      </c>
      <c r="C231" s="242" t="s">
        <v>466</v>
      </c>
      <c r="D231" s="225" t="s">
        <v>4</v>
      </c>
      <c r="E231" s="225"/>
      <c r="F231" s="215">
        <v>16000</v>
      </c>
      <c r="G231" s="215">
        <f>+G230+E231-F231</f>
        <v>27697049</v>
      </c>
      <c r="H231" s="252" t="s">
        <v>270</v>
      </c>
      <c r="I231" s="225" t="s">
        <v>309</v>
      </c>
      <c r="J231" s="225" t="s">
        <v>290</v>
      </c>
      <c r="K231" s="242" t="s">
        <v>198</v>
      </c>
      <c r="L231" s="242" t="s">
        <v>536</v>
      </c>
      <c r="M231" s="246"/>
      <c r="O231" s="225"/>
      <c r="P231" s="264"/>
    </row>
    <row r="232" spans="1:16" s="225" customFormat="1" ht="13.8" x14ac:dyDescent="0.25">
      <c r="A232" s="255">
        <v>45101</v>
      </c>
      <c r="B232" s="232" t="s">
        <v>304</v>
      </c>
      <c r="C232" s="242" t="s">
        <v>75</v>
      </c>
      <c r="E232" s="293"/>
      <c r="F232" s="256">
        <v>220000</v>
      </c>
      <c r="G232" s="215">
        <f>+G231+E232-F232</f>
        <v>27477049</v>
      </c>
      <c r="H232" s="225" t="s">
        <v>25</v>
      </c>
      <c r="I232" s="221"/>
      <c r="M232" s="246"/>
      <c r="N232" s="242"/>
      <c r="P232" s="247"/>
    </row>
    <row r="233" spans="1:16" s="225" customFormat="1" ht="17.25" customHeight="1" x14ac:dyDescent="0.25">
      <c r="A233" s="220">
        <v>45101</v>
      </c>
      <c r="B233" s="320" t="s">
        <v>512</v>
      </c>
      <c r="C233" s="321" t="s">
        <v>75</v>
      </c>
      <c r="D233" s="321"/>
      <c r="E233" s="322">
        <v>220000</v>
      </c>
      <c r="F233" s="323"/>
      <c r="G233" s="215">
        <f>+G232+E233-F233</f>
        <v>27697049</v>
      </c>
      <c r="H233" s="320" t="s">
        <v>304</v>
      </c>
      <c r="I233" s="320"/>
      <c r="J233" s="320"/>
      <c r="K233" s="320"/>
      <c r="L233" s="320"/>
      <c r="M233" s="320"/>
      <c r="N233" s="320"/>
      <c r="O233" s="190"/>
      <c r="P233" s="247"/>
    </row>
    <row r="234" spans="1:16" s="225" customFormat="1" ht="17.25" customHeight="1" x14ac:dyDescent="0.25">
      <c r="A234" s="241">
        <v>45101</v>
      </c>
      <c r="B234" s="320" t="s">
        <v>521</v>
      </c>
      <c r="C234" s="321" t="s">
        <v>34</v>
      </c>
      <c r="D234" s="225" t="s">
        <v>154</v>
      </c>
      <c r="E234" s="322"/>
      <c r="F234" s="322">
        <v>9000</v>
      </c>
      <c r="G234" s="215">
        <f>+G233+E234-F234</f>
        <v>27688049</v>
      </c>
      <c r="H234" s="320" t="s">
        <v>304</v>
      </c>
      <c r="I234" s="225" t="s">
        <v>307</v>
      </c>
      <c r="J234" s="320" t="s">
        <v>290</v>
      </c>
      <c r="K234" s="320" t="s">
        <v>198</v>
      </c>
      <c r="L234" s="320" t="s">
        <v>536</v>
      </c>
      <c r="M234" s="320"/>
      <c r="N234" s="320"/>
      <c r="O234" s="190"/>
      <c r="P234" s="247"/>
    </row>
    <row r="235" spans="1:16" s="225" customFormat="1" ht="17.25" customHeight="1" x14ac:dyDescent="0.25">
      <c r="A235" s="255">
        <v>45102</v>
      </c>
      <c r="B235" s="232" t="s">
        <v>404</v>
      </c>
      <c r="C235" s="225" t="s">
        <v>313</v>
      </c>
      <c r="D235" s="287" t="s">
        <v>2</v>
      </c>
      <c r="F235" s="288">
        <v>70000</v>
      </c>
      <c r="G235" s="215">
        <f>+G234+E235-F235</f>
        <v>27618049</v>
      </c>
      <c r="H235" s="225" t="s">
        <v>47</v>
      </c>
      <c r="I235" s="225" t="s">
        <v>309</v>
      </c>
      <c r="J235" s="242" t="s">
        <v>290</v>
      </c>
      <c r="K235" s="242" t="s">
        <v>199</v>
      </c>
      <c r="L235" s="242" t="s">
        <v>536</v>
      </c>
      <c r="M235" s="225" t="s">
        <v>693</v>
      </c>
      <c r="N235" s="242" t="s">
        <v>558</v>
      </c>
      <c r="P235" s="247"/>
    </row>
    <row r="236" spans="1:16" s="225" customFormat="1" ht="17.25" customHeight="1" x14ac:dyDescent="0.25">
      <c r="A236" s="260">
        <v>45102</v>
      </c>
      <c r="B236" s="225" t="s">
        <v>419</v>
      </c>
      <c r="C236" s="242" t="s">
        <v>413</v>
      </c>
      <c r="D236" s="225" t="s">
        <v>4</v>
      </c>
      <c r="F236" s="262">
        <v>45000</v>
      </c>
      <c r="G236" s="215">
        <f>+G235+E236-F236</f>
        <v>27573049</v>
      </c>
      <c r="H236" s="263" t="s">
        <v>270</v>
      </c>
      <c r="I236" s="225" t="s">
        <v>307</v>
      </c>
      <c r="J236" s="242" t="s">
        <v>290</v>
      </c>
      <c r="K236" s="242" t="s">
        <v>199</v>
      </c>
      <c r="L236" s="242" t="s">
        <v>536</v>
      </c>
      <c r="M236" s="225" t="s">
        <v>694</v>
      </c>
      <c r="N236" s="242" t="s">
        <v>558</v>
      </c>
      <c r="P236" s="247"/>
    </row>
    <row r="237" spans="1:16" s="225" customFormat="1" ht="17.25" customHeight="1" x14ac:dyDescent="0.25">
      <c r="A237" s="241">
        <v>45102</v>
      </c>
      <c r="B237" s="225" t="s">
        <v>423</v>
      </c>
      <c r="C237" s="242" t="s">
        <v>34</v>
      </c>
      <c r="D237" s="225" t="s">
        <v>4</v>
      </c>
      <c r="E237" s="215"/>
      <c r="F237" s="215">
        <v>3500</v>
      </c>
      <c r="G237" s="215">
        <f>+G236+E237-F237</f>
        <v>27569549</v>
      </c>
      <c r="H237" s="225" t="s">
        <v>270</v>
      </c>
      <c r="I237" s="225" t="s">
        <v>307</v>
      </c>
      <c r="J237" s="242" t="s">
        <v>290</v>
      </c>
      <c r="K237" s="320" t="s">
        <v>199</v>
      </c>
      <c r="L237" s="320" t="s">
        <v>536</v>
      </c>
      <c r="M237" s="225" t="s">
        <v>695</v>
      </c>
      <c r="N237" s="242" t="s">
        <v>554</v>
      </c>
      <c r="P237" s="247"/>
    </row>
    <row r="238" spans="1:16" s="225" customFormat="1" ht="17.25" customHeight="1" x14ac:dyDescent="0.25">
      <c r="A238" s="241">
        <v>45102</v>
      </c>
      <c r="B238" s="263" t="s">
        <v>424</v>
      </c>
      <c r="C238" s="242" t="s">
        <v>34</v>
      </c>
      <c r="D238" s="225" t="s">
        <v>4</v>
      </c>
      <c r="E238" s="291"/>
      <c r="F238" s="262">
        <v>7000</v>
      </c>
      <c r="G238" s="215">
        <f>+G237+E238-F238</f>
        <v>27562549</v>
      </c>
      <c r="H238" s="294" t="s">
        <v>270</v>
      </c>
      <c r="I238" s="225" t="s">
        <v>307</v>
      </c>
      <c r="J238" s="242" t="s">
        <v>290</v>
      </c>
      <c r="K238" s="320" t="s">
        <v>199</v>
      </c>
      <c r="L238" s="320" t="s">
        <v>536</v>
      </c>
      <c r="M238" s="225" t="s">
        <v>696</v>
      </c>
      <c r="N238" s="242" t="s">
        <v>554</v>
      </c>
      <c r="P238" s="247"/>
    </row>
    <row r="239" spans="1:16" s="225" customFormat="1" ht="17.25" customHeight="1" x14ac:dyDescent="0.25">
      <c r="A239" s="241">
        <v>45102</v>
      </c>
      <c r="B239" s="225" t="s">
        <v>428</v>
      </c>
      <c r="C239" s="242" t="s">
        <v>413</v>
      </c>
      <c r="D239" s="287" t="s">
        <v>2</v>
      </c>
      <c r="F239" s="291">
        <v>40000</v>
      </c>
      <c r="G239" s="215">
        <f>+G238+E239-F239</f>
        <v>27522549</v>
      </c>
      <c r="H239" s="225" t="s">
        <v>427</v>
      </c>
      <c r="I239" s="225" t="s">
        <v>309</v>
      </c>
      <c r="J239" s="242" t="s">
        <v>290</v>
      </c>
      <c r="K239" s="242" t="s">
        <v>199</v>
      </c>
      <c r="L239" s="242" t="s">
        <v>536</v>
      </c>
      <c r="M239" s="225" t="s">
        <v>697</v>
      </c>
      <c r="N239" s="242" t="s">
        <v>558</v>
      </c>
      <c r="P239" s="247"/>
    </row>
    <row r="240" spans="1:16" s="225" customFormat="1" ht="17.25" customHeight="1" x14ac:dyDescent="0.25">
      <c r="A240" s="241">
        <v>45102</v>
      </c>
      <c r="B240" s="225" t="s">
        <v>438</v>
      </c>
      <c r="C240" s="242" t="s">
        <v>313</v>
      </c>
      <c r="D240" s="225" t="s">
        <v>302</v>
      </c>
      <c r="E240" s="215"/>
      <c r="F240" s="215">
        <v>40000</v>
      </c>
      <c r="G240" s="215">
        <f>+G239+E240-F240</f>
        <v>27482549</v>
      </c>
      <c r="H240" s="225" t="s">
        <v>93</v>
      </c>
      <c r="I240" s="225" t="s">
        <v>309</v>
      </c>
      <c r="J240" s="242" t="s">
        <v>290</v>
      </c>
      <c r="K240" s="242" t="s">
        <v>199</v>
      </c>
      <c r="L240" s="242" t="s">
        <v>536</v>
      </c>
      <c r="M240" s="225" t="s">
        <v>698</v>
      </c>
      <c r="N240" s="242" t="s">
        <v>558</v>
      </c>
      <c r="P240" s="247"/>
    </row>
    <row r="241" spans="1:16" s="225" customFormat="1" ht="17.25" customHeight="1" x14ac:dyDescent="0.25">
      <c r="A241" s="241">
        <v>45102</v>
      </c>
      <c r="B241" s="225" t="s">
        <v>557</v>
      </c>
      <c r="C241" s="242" t="s">
        <v>313</v>
      </c>
      <c r="D241" s="225" t="s">
        <v>154</v>
      </c>
      <c r="E241" s="215"/>
      <c r="F241" s="215">
        <v>120000</v>
      </c>
      <c r="G241" s="215">
        <f>+G240+E241-F241</f>
        <v>27362549</v>
      </c>
      <c r="H241" s="248" t="s">
        <v>303</v>
      </c>
      <c r="I241" s="225" t="s">
        <v>309</v>
      </c>
      <c r="J241" s="242" t="s">
        <v>290</v>
      </c>
      <c r="K241" s="242" t="s">
        <v>199</v>
      </c>
      <c r="L241" s="242" t="s">
        <v>536</v>
      </c>
      <c r="M241" s="225" t="s">
        <v>699</v>
      </c>
      <c r="N241" s="242" t="s">
        <v>558</v>
      </c>
      <c r="P241" s="247"/>
    </row>
    <row r="242" spans="1:16" s="225" customFormat="1" ht="17.25" customHeight="1" x14ac:dyDescent="0.25">
      <c r="A242" s="245">
        <v>45102</v>
      </c>
      <c r="B242" s="225" t="s">
        <v>481</v>
      </c>
      <c r="C242" s="221" t="s">
        <v>313</v>
      </c>
      <c r="D242" s="242" t="s">
        <v>155</v>
      </c>
      <c r="E242" s="215"/>
      <c r="F242" s="215">
        <v>70000</v>
      </c>
      <c r="G242" s="215">
        <f>+G241+E242-F242</f>
        <v>27292549</v>
      </c>
      <c r="H242" s="225" t="s">
        <v>31</v>
      </c>
      <c r="I242" s="225" t="s">
        <v>309</v>
      </c>
      <c r="J242" s="242" t="s">
        <v>290</v>
      </c>
      <c r="K242" s="242" t="s">
        <v>199</v>
      </c>
      <c r="L242" s="242" t="s">
        <v>536</v>
      </c>
      <c r="M242" s="225" t="s">
        <v>700</v>
      </c>
      <c r="N242" s="242" t="s">
        <v>558</v>
      </c>
      <c r="P242" s="247"/>
    </row>
    <row r="243" spans="1:16" s="225" customFormat="1" ht="17.25" customHeight="1" x14ac:dyDescent="0.25">
      <c r="A243" s="241">
        <v>45102</v>
      </c>
      <c r="B243" s="225" t="s">
        <v>488</v>
      </c>
      <c r="C243" s="215" t="s">
        <v>313</v>
      </c>
      <c r="D243" s="287" t="s">
        <v>2</v>
      </c>
      <c r="E243" s="215"/>
      <c r="F243" s="215">
        <v>40000</v>
      </c>
      <c r="G243" s="215">
        <f>+G242+E243-F243</f>
        <v>27252549</v>
      </c>
      <c r="H243" s="242" t="s">
        <v>143</v>
      </c>
      <c r="I243" s="225" t="s">
        <v>309</v>
      </c>
      <c r="J243" s="242" t="s">
        <v>290</v>
      </c>
      <c r="K243" s="242" t="s">
        <v>199</v>
      </c>
      <c r="L243" s="242" t="s">
        <v>536</v>
      </c>
      <c r="M243" s="225" t="s">
        <v>701</v>
      </c>
      <c r="N243" s="242" t="s">
        <v>558</v>
      </c>
      <c r="P243" s="247"/>
    </row>
    <row r="244" spans="1:16" s="225" customFormat="1" ht="17.25" customHeight="1" x14ac:dyDescent="0.25">
      <c r="A244" s="241">
        <v>45102</v>
      </c>
      <c r="B244" s="320" t="s">
        <v>522</v>
      </c>
      <c r="C244" s="321" t="s">
        <v>34</v>
      </c>
      <c r="D244" s="225" t="s">
        <v>154</v>
      </c>
      <c r="E244" s="322"/>
      <c r="F244" s="322">
        <v>3500</v>
      </c>
      <c r="G244" s="215">
        <f>+G243+E244-F244</f>
        <v>27249049</v>
      </c>
      <c r="H244" s="320" t="s">
        <v>304</v>
      </c>
      <c r="I244" s="225" t="s">
        <v>307</v>
      </c>
      <c r="J244" s="320" t="s">
        <v>290</v>
      </c>
      <c r="K244" s="320" t="s">
        <v>198</v>
      </c>
      <c r="L244" s="320" t="s">
        <v>536</v>
      </c>
      <c r="M244" s="320"/>
      <c r="N244" s="320"/>
      <c r="O244" s="190"/>
      <c r="P244" s="247"/>
    </row>
    <row r="245" spans="1:16" s="225" customFormat="1" ht="17.25" customHeight="1" x14ac:dyDescent="0.25">
      <c r="A245" s="241">
        <v>45102</v>
      </c>
      <c r="B245" s="320" t="s">
        <v>523</v>
      </c>
      <c r="C245" s="321" t="s">
        <v>313</v>
      </c>
      <c r="D245" s="225" t="s">
        <v>154</v>
      </c>
      <c r="E245" s="322"/>
      <c r="F245" s="322">
        <v>40000</v>
      </c>
      <c r="G245" s="215">
        <f>+G244+E245-F245</f>
        <v>27209049</v>
      </c>
      <c r="H245" s="320" t="s">
        <v>304</v>
      </c>
      <c r="I245" s="225" t="s">
        <v>309</v>
      </c>
      <c r="J245" s="320" t="s">
        <v>290</v>
      </c>
      <c r="K245" s="320" t="s">
        <v>198</v>
      </c>
      <c r="L245" s="320" t="s">
        <v>536</v>
      </c>
      <c r="M245" s="320"/>
      <c r="N245" s="320"/>
      <c r="O245" s="190"/>
      <c r="P245" s="247"/>
    </row>
    <row r="246" spans="1:16" s="225" customFormat="1" ht="17.25" customHeight="1" x14ac:dyDescent="0.25">
      <c r="A246" s="241">
        <v>45103</v>
      </c>
      <c r="B246" s="225" t="s">
        <v>474</v>
      </c>
      <c r="C246" s="242" t="s">
        <v>239</v>
      </c>
      <c r="D246" s="225" t="s">
        <v>302</v>
      </c>
      <c r="E246" s="215"/>
      <c r="F246" s="215">
        <v>26500</v>
      </c>
      <c r="G246" s="215">
        <f>+G245+E246-F246</f>
        <v>27182549</v>
      </c>
      <c r="H246" s="248" t="s">
        <v>303</v>
      </c>
      <c r="I246" s="225" t="s">
        <v>307</v>
      </c>
      <c r="J246" s="242" t="s">
        <v>290</v>
      </c>
      <c r="K246" s="242" t="s">
        <v>198</v>
      </c>
      <c r="L246" s="242" t="s">
        <v>536</v>
      </c>
      <c r="N246" s="242"/>
      <c r="P246" s="247"/>
    </row>
    <row r="247" spans="1:16" s="225" customFormat="1" ht="17.25" customHeight="1" x14ac:dyDescent="0.25">
      <c r="A247" s="220">
        <v>45103</v>
      </c>
      <c r="B247" s="228" t="s">
        <v>311</v>
      </c>
      <c r="C247" s="242" t="s">
        <v>75</v>
      </c>
      <c r="D247" s="227"/>
      <c r="E247" s="228"/>
      <c r="F247" s="236">
        <v>260000</v>
      </c>
      <c r="G247" s="215">
        <f>+G246+E247-F247</f>
        <v>26922549</v>
      </c>
      <c r="H247" s="242" t="s">
        <v>143</v>
      </c>
      <c r="I247" s="227"/>
      <c r="J247" s="227"/>
      <c r="K247" s="227"/>
      <c r="L247" s="227"/>
      <c r="M247" s="227"/>
      <c r="N247" s="227"/>
      <c r="O247" s="228"/>
      <c r="P247" s="247"/>
    </row>
    <row r="248" spans="1:16" s="225" customFormat="1" ht="17.25" customHeight="1" x14ac:dyDescent="0.25">
      <c r="A248" s="220">
        <v>45103</v>
      </c>
      <c r="B248" s="231" t="s">
        <v>499</v>
      </c>
      <c r="C248" s="242" t="s">
        <v>75</v>
      </c>
      <c r="D248" s="227"/>
      <c r="E248" s="233">
        <v>278000</v>
      </c>
      <c r="F248" s="196"/>
      <c r="G248" s="215">
        <f>+G247+E248-F248</f>
        <v>27200549</v>
      </c>
      <c r="H248" s="230" t="s">
        <v>29</v>
      </c>
      <c r="I248" s="227"/>
      <c r="J248" s="227"/>
      <c r="K248" s="227"/>
      <c r="L248" s="227"/>
      <c r="M248" s="227"/>
      <c r="N248" s="227"/>
      <c r="O248" s="227"/>
      <c r="P248" s="247"/>
    </row>
    <row r="249" spans="1:16" s="225" customFormat="1" ht="17.25" customHeight="1" x14ac:dyDescent="0.25">
      <c r="A249" s="220">
        <v>45103</v>
      </c>
      <c r="B249" s="228" t="s">
        <v>499</v>
      </c>
      <c r="C249" s="242" t="s">
        <v>75</v>
      </c>
      <c r="D249" s="227"/>
      <c r="E249" s="228">
        <v>260000</v>
      </c>
      <c r="F249" s="236"/>
      <c r="G249" s="215">
        <f>+G248+E249-F249</f>
        <v>27460549</v>
      </c>
      <c r="H249" s="228" t="s">
        <v>29</v>
      </c>
      <c r="I249" s="227"/>
      <c r="J249" s="228"/>
      <c r="K249" s="227"/>
      <c r="L249" s="227"/>
      <c r="M249" s="227"/>
      <c r="N249" s="227"/>
      <c r="O249" s="228"/>
      <c r="P249" s="247"/>
    </row>
    <row r="250" spans="1:16" s="225" customFormat="1" ht="13.8" x14ac:dyDescent="0.25">
      <c r="A250" s="241">
        <v>45103</v>
      </c>
      <c r="B250" s="263" t="s">
        <v>506</v>
      </c>
      <c r="C250" s="242" t="s">
        <v>313</v>
      </c>
      <c r="D250" s="225" t="s">
        <v>4</v>
      </c>
      <c r="E250" s="291"/>
      <c r="F250" s="262">
        <v>90000</v>
      </c>
      <c r="G250" s="215">
        <f>+G249+E250-F250</f>
        <v>27370549</v>
      </c>
      <c r="H250" s="294" t="s">
        <v>29</v>
      </c>
      <c r="I250" s="225" t="s">
        <v>307</v>
      </c>
      <c r="J250" s="242" t="s">
        <v>290</v>
      </c>
      <c r="K250" s="242" t="s">
        <v>199</v>
      </c>
      <c r="L250" s="242" t="s">
        <v>536</v>
      </c>
      <c r="M250" s="225" t="s">
        <v>702</v>
      </c>
      <c r="N250" s="242" t="s">
        <v>558</v>
      </c>
      <c r="P250" s="247"/>
    </row>
    <row r="251" spans="1:16" s="225" customFormat="1" ht="13.8" x14ac:dyDescent="0.25">
      <c r="A251" s="241">
        <v>45103</v>
      </c>
      <c r="B251" s="225" t="s">
        <v>507</v>
      </c>
      <c r="C251" s="242" t="s">
        <v>34</v>
      </c>
      <c r="D251" s="225" t="s">
        <v>4</v>
      </c>
      <c r="E251" s="215"/>
      <c r="F251" s="215">
        <v>35000</v>
      </c>
      <c r="G251" s="215">
        <f>+G250+E251-F251</f>
        <v>27335549</v>
      </c>
      <c r="H251" s="225" t="s">
        <v>29</v>
      </c>
      <c r="I251" s="225" t="s">
        <v>307</v>
      </c>
      <c r="J251" s="320" t="s">
        <v>290</v>
      </c>
      <c r="K251" s="320" t="s">
        <v>198</v>
      </c>
      <c r="L251" s="320" t="s">
        <v>536</v>
      </c>
      <c r="P251" s="247"/>
    </row>
    <row r="252" spans="1:16" s="225" customFormat="1" ht="13.8" x14ac:dyDescent="0.25">
      <c r="A252" s="241">
        <v>45103</v>
      </c>
      <c r="B252" s="320" t="s">
        <v>524</v>
      </c>
      <c r="C252" s="321" t="s">
        <v>525</v>
      </c>
      <c r="D252" s="225" t="s">
        <v>154</v>
      </c>
      <c r="E252" s="322"/>
      <c r="F252" s="322">
        <v>12275</v>
      </c>
      <c r="G252" s="215">
        <f>+G251+E252-F252</f>
        <v>27323274</v>
      </c>
      <c r="H252" s="320" t="s">
        <v>304</v>
      </c>
      <c r="I252" s="225" t="s">
        <v>307</v>
      </c>
      <c r="J252" s="225" t="s">
        <v>290</v>
      </c>
      <c r="K252" s="225" t="s">
        <v>198</v>
      </c>
      <c r="L252" s="225" t="s">
        <v>536</v>
      </c>
      <c r="M252" s="320"/>
      <c r="N252" s="320"/>
      <c r="O252" s="190"/>
      <c r="P252" s="247"/>
    </row>
    <row r="253" spans="1:16" s="225" customFormat="1" ht="13.8" x14ac:dyDescent="0.25">
      <c r="A253" s="245">
        <v>45104</v>
      </c>
      <c r="B253" s="242" t="s">
        <v>374</v>
      </c>
      <c r="C253" s="242" t="s">
        <v>171</v>
      </c>
      <c r="D253" s="287" t="s">
        <v>2</v>
      </c>
      <c r="E253" s="242"/>
      <c r="F253" s="289">
        <v>5000</v>
      </c>
      <c r="G253" s="215">
        <f>+G252+E253-F253</f>
        <v>27318274</v>
      </c>
      <c r="H253" s="242" t="s">
        <v>25</v>
      </c>
      <c r="I253" s="225" t="s">
        <v>307</v>
      </c>
      <c r="J253" s="225" t="s">
        <v>102</v>
      </c>
      <c r="K253" s="242" t="s">
        <v>199</v>
      </c>
      <c r="L253" s="242" t="s">
        <v>536</v>
      </c>
      <c r="M253" s="225" t="s">
        <v>703</v>
      </c>
      <c r="N253" s="242" t="s">
        <v>553</v>
      </c>
      <c r="O253" s="242"/>
      <c r="P253" s="247"/>
    </row>
    <row r="254" spans="1:16" s="225" customFormat="1" ht="13.8" x14ac:dyDescent="0.25">
      <c r="A254" s="241">
        <v>45104</v>
      </c>
      <c r="B254" s="225" t="s">
        <v>465</v>
      </c>
      <c r="C254" s="242" t="s">
        <v>466</v>
      </c>
      <c r="D254" s="225" t="s">
        <v>4</v>
      </c>
      <c r="F254" s="288">
        <v>45600</v>
      </c>
      <c r="G254" s="215">
        <f>+G253+E254-F254</f>
        <v>27272674</v>
      </c>
      <c r="H254" s="225" t="s">
        <v>269</v>
      </c>
      <c r="I254" s="225" t="s">
        <v>309</v>
      </c>
      <c r="J254" s="225" t="s">
        <v>290</v>
      </c>
      <c r="K254" s="242" t="s">
        <v>198</v>
      </c>
      <c r="L254" s="242" t="s">
        <v>536</v>
      </c>
      <c r="O254" s="242"/>
      <c r="P254" s="247"/>
    </row>
    <row r="255" spans="1:16" s="225" customFormat="1" ht="13.8" x14ac:dyDescent="0.25">
      <c r="A255" s="241">
        <v>45104</v>
      </c>
      <c r="B255" s="225" t="s">
        <v>405</v>
      </c>
      <c r="C255" s="242" t="s">
        <v>75</v>
      </c>
      <c r="E255" s="225">
        <v>25000</v>
      </c>
      <c r="F255" s="288"/>
      <c r="G255" s="215">
        <f>+G254+E255-F255</f>
        <v>27297674</v>
      </c>
      <c r="H255" s="225" t="s">
        <v>47</v>
      </c>
      <c r="I255" s="221"/>
      <c r="M255" s="246"/>
      <c r="N255" s="242"/>
      <c r="P255" s="247"/>
    </row>
    <row r="256" spans="1:16" s="225" customFormat="1" ht="13.8" x14ac:dyDescent="0.25">
      <c r="A256" s="255">
        <v>45104</v>
      </c>
      <c r="B256" s="225" t="s">
        <v>439</v>
      </c>
      <c r="C256" s="242" t="s">
        <v>75</v>
      </c>
      <c r="E256" s="225">
        <v>15000</v>
      </c>
      <c r="G256" s="215">
        <f>+G255+E256-F256</f>
        <v>27312674</v>
      </c>
      <c r="H256" s="225" t="s">
        <v>93</v>
      </c>
      <c r="I256" s="221"/>
      <c r="K256" s="248"/>
      <c r="M256" s="246"/>
      <c r="N256" s="242"/>
      <c r="P256" s="247"/>
    </row>
    <row r="257" spans="1:18" s="225" customFormat="1" ht="13.8" x14ac:dyDescent="0.25">
      <c r="A257" s="241">
        <v>45104</v>
      </c>
      <c r="B257" s="225" t="s">
        <v>464</v>
      </c>
      <c r="C257" s="242" t="s">
        <v>75</v>
      </c>
      <c r="D257" s="242"/>
      <c r="E257" s="225">
        <v>68000</v>
      </c>
      <c r="F257" s="288"/>
      <c r="G257" s="215">
        <f>+G256+E257-F257</f>
        <v>27380674</v>
      </c>
      <c r="H257" s="225" t="s">
        <v>269</v>
      </c>
      <c r="I257" s="232"/>
      <c r="J257" s="242"/>
      <c r="L257" s="242"/>
      <c r="N257" s="242"/>
      <c r="O257" s="242"/>
      <c r="P257" s="247"/>
    </row>
    <row r="258" spans="1:18" s="225" customFormat="1" ht="13.8" x14ac:dyDescent="0.25">
      <c r="A258" s="241">
        <v>45104</v>
      </c>
      <c r="B258" s="250" t="s">
        <v>475</v>
      </c>
      <c r="C258" s="242" t="s">
        <v>75</v>
      </c>
      <c r="D258" s="232"/>
      <c r="E258" s="225">
        <v>25000</v>
      </c>
      <c r="F258" s="215"/>
      <c r="G258" s="215">
        <f>+G257+E258-F258</f>
        <v>27405674</v>
      </c>
      <c r="H258" s="248" t="s">
        <v>303</v>
      </c>
      <c r="J258" s="242"/>
      <c r="P258" s="247"/>
    </row>
    <row r="259" spans="1:18" s="225" customFormat="1" ht="13.8" x14ac:dyDescent="0.25">
      <c r="A259" s="245">
        <v>45104</v>
      </c>
      <c r="B259" s="242" t="s">
        <v>482</v>
      </c>
      <c r="C259" s="242" t="s">
        <v>75</v>
      </c>
      <c r="E259" s="242">
        <v>25000</v>
      </c>
      <c r="F259" s="252"/>
      <c r="G259" s="215">
        <f>+G258+E259-F259</f>
        <v>27430674</v>
      </c>
      <c r="H259" s="242" t="s">
        <v>31</v>
      </c>
      <c r="K259" s="248"/>
      <c r="M259" s="246"/>
      <c r="N259" s="242"/>
      <c r="O259" s="242"/>
      <c r="P259" s="247"/>
    </row>
    <row r="260" spans="1:18" s="225" customFormat="1" ht="13.8" x14ac:dyDescent="0.25">
      <c r="A260" s="235">
        <v>45104</v>
      </c>
      <c r="B260" s="228" t="s">
        <v>489</v>
      </c>
      <c r="C260" s="242" t="s">
        <v>75</v>
      </c>
      <c r="D260" s="227"/>
      <c r="E260" s="228"/>
      <c r="F260" s="228">
        <v>25000</v>
      </c>
      <c r="G260" s="215">
        <f>+G259+E260-F260</f>
        <v>27405674</v>
      </c>
      <c r="H260" s="242" t="s">
        <v>143</v>
      </c>
      <c r="I260" s="227"/>
      <c r="J260" s="228"/>
      <c r="K260" s="228"/>
      <c r="L260" s="228"/>
      <c r="M260" s="227"/>
      <c r="N260" s="228"/>
      <c r="O260" s="228"/>
      <c r="P260" s="247"/>
    </row>
    <row r="261" spans="1:18" s="225" customFormat="1" ht="13.8" x14ac:dyDescent="0.25">
      <c r="A261" s="220">
        <v>45104</v>
      </c>
      <c r="B261" s="227" t="s">
        <v>490</v>
      </c>
      <c r="C261" s="242" t="s">
        <v>75</v>
      </c>
      <c r="D261" s="227"/>
      <c r="E261" s="196"/>
      <c r="F261" s="196">
        <v>15000</v>
      </c>
      <c r="G261" s="215">
        <f>+G260+E261-F261</f>
        <v>27390674</v>
      </c>
      <c r="H261" s="242" t="s">
        <v>143</v>
      </c>
      <c r="I261" s="227"/>
      <c r="J261" s="227"/>
      <c r="K261" s="227"/>
      <c r="L261" s="227"/>
      <c r="M261" s="227"/>
      <c r="N261" s="228"/>
      <c r="O261" s="227"/>
      <c r="P261" s="247"/>
    </row>
    <row r="262" spans="1:18" s="225" customFormat="1" ht="13.8" x14ac:dyDescent="0.25">
      <c r="A262" s="220">
        <v>45104</v>
      </c>
      <c r="B262" s="227" t="s">
        <v>310</v>
      </c>
      <c r="C262" s="242" t="s">
        <v>75</v>
      </c>
      <c r="D262" s="227"/>
      <c r="E262" s="196"/>
      <c r="F262" s="213">
        <v>25000</v>
      </c>
      <c r="G262" s="215">
        <f>+G261+E262-F262</f>
        <v>27365674</v>
      </c>
      <c r="H262" s="242" t="s">
        <v>143</v>
      </c>
      <c r="I262" s="227"/>
      <c r="J262" s="227"/>
      <c r="K262" s="227"/>
      <c r="L262" s="227"/>
      <c r="M262" s="227"/>
      <c r="N262" s="227"/>
      <c r="O262" s="227"/>
      <c r="P262" s="247"/>
    </row>
    <row r="263" spans="1:18" s="227" customFormat="1" ht="13.8" x14ac:dyDescent="0.25">
      <c r="A263" s="220">
        <v>45104</v>
      </c>
      <c r="B263" s="227" t="s">
        <v>491</v>
      </c>
      <c r="C263" s="242" t="s">
        <v>75</v>
      </c>
      <c r="F263" s="240">
        <v>25000</v>
      </c>
      <c r="G263" s="215">
        <f>+G262+E263-F263</f>
        <v>27340674</v>
      </c>
      <c r="H263" s="242" t="s">
        <v>143</v>
      </c>
      <c r="P263" s="229"/>
    </row>
    <row r="264" spans="1:18" s="227" customFormat="1" ht="13.8" x14ac:dyDescent="0.25">
      <c r="A264" s="220">
        <v>45104</v>
      </c>
      <c r="B264" s="227" t="s">
        <v>492</v>
      </c>
      <c r="C264" s="242" t="s">
        <v>75</v>
      </c>
      <c r="E264" s="196"/>
      <c r="F264" s="196">
        <v>25000</v>
      </c>
      <c r="G264" s="215">
        <f>+G263+E264-F264</f>
        <v>27315674</v>
      </c>
      <c r="H264" s="242" t="s">
        <v>143</v>
      </c>
      <c r="P264" s="229"/>
    </row>
    <row r="265" spans="1:18" s="225" customFormat="1" ht="13.8" x14ac:dyDescent="0.25">
      <c r="A265" s="249">
        <v>45105</v>
      </c>
      <c r="B265" s="225" t="s">
        <v>686</v>
      </c>
      <c r="C265" s="225" t="s">
        <v>313</v>
      </c>
      <c r="D265" s="225" t="s">
        <v>312</v>
      </c>
      <c r="F265" s="288">
        <v>9850</v>
      </c>
      <c r="G265" s="215">
        <f>+G264+E265-F265</f>
        <v>27305824</v>
      </c>
      <c r="H265" s="225" t="s">
        <v>47</v>
      </c>
      <c r="I265" s="225" t="s">
        <v>307</v>
      </c>
      <c r="J265" s="320" t="s">
        <v>290</v>
      </c>
      <c r="K265" s="320" t="s">
        <v>198</v>
      </c>
      <c r="L265" s="320" t="s">
        <v>536</v>
      </c>
      <c r="M265" s="246"/>
      <c r="N265" s="242"/>
      <c r="P265" s="247"/>
    </row>
    <row r="266" spans="1:18" s="225" customFormat="1" ht="13.8" x14ac:dyDescent="0.25">
      <c r="A266" s="241">
        <v>45105</v>
      </c>
      <c r="B266" s="225" t="s">
        <v>425</v>
      </c>
      <c r="C266" s="242" t="s">
        <v>34</v>
      </c>
      <c r="D266" s="225" t="s">
        <v>4</v>
      </c>
      <c r="E266" s="215"/>
      <c r="F266" s="251">
        <v>46400</v>
      </c>
      <c r="G266" s="215">
        <f>+G265+E266-F266</f>
        <v>27259424</v>
      </c>
      <c r="H266" s="225" t="s">
        <v>270</v>
      </c>
      <c r="I266" s="225" t="s">
        <v>309</v>
      </c>
      <c r="J266" s="242" t="s">
        <v>290</v>
      </c>
      <c r="K266" s="320" t="s">
        <v>199</v>
      </c>
      <c r="L266" s="320" t="s">
        <v>536</v>
      </c>
      <c r="M266" s="225" t="s">
        <v>704</v>
      </c>
      <c r="N266" s="242" t="s">
        <v>554</v>
      </c>
      <c r="P266" s="247"/>
    </row>
    <row r="267" spans="1:18" s="225" customFormat="1" ht="13.8" x14ac:dyDescent="0.25">
      <c r="A267" s="241">
        <v>45105</v>
      </c>
      <c r="B267" s="242" t="s">
        <v>559</v>
      </c>
      <c r="C267" s="242" t="s">
        <v>313</v>
      </c>
      <c r="D267" s="225" t="s">
        <v>312</v>
      </c>
      <c r="E267" s="242"/>
      <c r="F267" s="242">
        <v>7300</v>
      </c>
      <c r="G267" s="215">
        <f>+G266+E267-F267</f>
        <v>27252124</v>
      </c>
      <c r="H267" s="242" t="s">
        <v>93</v>
      </c>
      <c r="I267" s="225" t="s">
        <v>307</v>
      </c>
      <c r="J267" s="320" t="s">
        <v>290</v>
      </c>
      <c r="K267" s="320" t="s">
        <v>198</v>
      </c>
      <c r="L267" s="320" t="s">
        <v>536</v>
      </c>
      <c r="N267" s="242"/>
      <c r="O267" s="242"/>
      <c r="P267" s="264"/>
      <c r="Q267" s="242"/>
      <c r="R267" s="242"/>
    </row>
    <row r="268" spans="1:18" s="225" customFormat="1" ht="13.8" x14ac:dyDescent="0.25">
      <c r="A268" s="249">
        <v>45105</v>
      </c>
      <c r="B268" s="297" t="s">
        <v>440</v>
      </c>
      <c r="C268" s="242" t="s">
        <v>34</v>
      </c>
      <c r="D268" s="400" t="s">
        <v>312</v>
      </c>
      <c r="F268" s="262">
        <v>80000</v>
      </c>
      <c r="G268" s="215">
        <f>+G267+E268-F268</f>
        <v>27172124</v>
      </c>
      <c r="H268" s="263" t="s">
        <v>93</v>
      </c>
      <c r="I268" s="225" t="s">
        <v>307</v>
      </c>
      <c r="J268" s="320" t="s">
        <v>290</v>
      </c>
      <c r="K268" s="320" t="s">
        <v>198</v>
      </c>
      <c r="L268" s="320" t="s">
        <v>536</v>
      </c>
      <c r="M268" s="246"/>
      <c r="N268" s="242"/>
      <c r="P268" s="264"/>
      <c r="Q268" s="242"/>
      <c r="R268" s="242"/>
    </row>
    <row r="269" spans="1:18" s="225" customFormat="1" ht="13.8" x14ac:dyDescent="0.25">
      <c r="A269" s="241">
        <v>45105</v>
      </c>
      <c r="B269" s="225" t="s">
        <v>442</v>
      </c>
      <c r="C269" s="242" t="s">
        <v>313</v>
      </c>
      <c r="D269" s="225" t="s">
        <v>302</v>
      </c>
      <c r="E269" s="215"/>
      <c r="F269" s="215">
        <v>60000</v>
      </c>
      <c r="G269" s="215">
        <f>+G268+E269-F269</f>
        <v>27112124</v>
      </c>
      <c r="H269" s="225" t="s">
        <v>93</v>
      </c>
      <c r="I269" s="225" t="s">
        <v>307</v>
      </c>
      <c r="J269" s="242" t="s">
        <v>290</v>
      </c>
      <c r="K269" s="242" t="s">
        <v>199</v>
      </c>
      <c r="L269" s="242" t="s">
        <v>536</v>
      </c>
      <c r="M269" s="225" t="s">
        <v>705</v>
      </c>
      <c r="N269" s="242" t="s">
        <v>558</v>
      </c>
      <c r="P269" s="264"/>
      <c r="Q269" s="242"/>
      <c r="R269" s="242"/>
    </row>
    <row r="270" spans="1:18" s="225" customFormat="1" ht="13.8" x14ac:dyDescent="0.25">
      <c r="A270" s="241">
        <v>45105</v>
      </c>
      <c r="B270" s="225" t="s">
        <v>560</v>
      </c>
      <c r="C270" s="242" t="s">
        <v>313</v>
      </c>
      <c r="D270" s="225" t="s">
        <v>312</v>
      </c>
      <c r="F270" s="225">
        <v>5000</v>
      </c>
      <c r="G270" s="215">
        <f>+G269+E270-F270</f>
        <v>27107124</v>
      </c>
      <c r="H270" s="248" t="s">
        <v>303</v>
      </c>
      <c r="I270" s="225" t="s">
        <v>307</v>
      </c>
      <c r="J270" s="242" t="s">
        <v>290</v>
      </c>
      <c r="K270" s="242" t="s">
        <v>198</v>
      </c>
      <c r="L270" s="242" t="s">
        <v>536</v>
      </c>
      <c r="M270" s="246"/>
      <c r="N270" s="242"/>
      <c r="P270" s="264"/>
      <c r="Q270" s="242"/>
      <c r="R270" s="242"/>
    </row>
    <row r="271" spans="1:18" s="225" customFormat="1" ht="13.8" x14ac:dyDescent="0.25">
      <c r="A271" s="241">
        <v>45105</v>
      </c>
      <c r="B271" s="225" t="s">
        <v>688</v>
      </c>
      <c r="C271" s="225" t="s">
        <v>313</v>
      </c>
      <c r="D271" s="225" t="s">
        <v>312</v>
      </c>
      <c r="E271" s="215"/>
      <c r="F271" s="215">
        <v>10000</v>
      </c>
      <c r="G271" s="215">
        <f>+G270+E271-F271</f>
        <v>27097124</v>
      </c>
      <c r="H271" s="225" t="s">
        <v>31</v>
      </c>
      <c r="I271" s="225" t="s">
        <v>307</v>
      </c>
      <c r="J271" s="320" t="s">
        <v>290</v>
      </c>
      <c r="K271" s="320" t="s">
        <v>198</v>
      </c>
      <c r="L271" s="320" t="s">
        <v>536</v>
      </c>
      <c r="M271" s="246"/>
      <c r="N271" s="242"/>
      <c r="P271" s="264"/>
      <c r="Q271" s="242"/>
      <c r="R271" s="242"/>
    </row>
    <row r="272" spans="1:18" s="225" customFormat="1" ht="13.8" x14ac:dyDescent="0.25">
      <c r="A272" s="245">
        <v>45105</v>
      </c>
      <c r="B272" s="242" t="s">
        <v>483</v>
      </c>
      <c r="C272" s="232" t="s">
        <v>34</v>
      </c>
      <c r="D272" s="242" t="s">
        <v>312</v>
      </c>
      <c r="E272" s="242"/>
      <c r="F272" s="242">
        <v>25000</v>
      </c>
      <c r="G272" s="215">
        <f>+G271+E272-F272</f>
        <v>27072124</v>
      </c>
      <c r="H272" s="242" t="s">
        <v>31</v>
      </c>
      <c r="I272" s="225" t="s">
        <v>307</v>
      </c>
      <c r="J272" s="320" t="s">
        <v>290</v>
      </c>
      <c r="K272" s="320" t="s">
        <v>198</v>
      </c>
      <c r="L272" s="320" t="s">
        <v>536</v>
      </c>
      <c r="N272" s="242"/>
      <c r="O272" s="242"/>
      <c r="P272" s="264"/>
      <c r="Q272" s="242"/>
      <c r="R272" s="242"/>
    </row>
    <row r="273" spans="1:18" s="225" customFormat="1" ht="13.8" x14ac:dyDescent="0.25">
      <c r="A273" s="245">
        <v>45105</v>
      </c>
      <c r="B273" s="242" t="s">
        <v>493</v>
      </c>
      <c r="C273" s="242" t="s">
        <v>313</v>
      </c>
      <c r="D273" s="225" t="s">
        <v>312</v>
      </c>
      <c r="E273" s="242"/>
      <c r="F273" s="242">
        <v>14400</v>
      </c>
      <c r="G273" s="215">
        <f>+G272+E273-F273</f>
        <v>27057724</v>
      </c>
      <c r="H273" s="242" t="s">
        <v>143</v>
      </c>
      <c r="I273" s="225" t="s">
        <v>307</v>
      </c>
      <c r="J273" s="320" t="s">
        <v>290</v>
      </c>
      <c r="K273" s="320" t="s">
        <v>198</v>
      </c>
      <c r="L273" s="320" t="s">
        <v>536</v>
      </c>
      <c r="M273" s="242"/>
      <c r="N273" s="242"/>
      <c r="O273" s="242"/>
      <c r="P273" s="264"/>
      <c r="Q273" s="242"/>
      <c r="R273" s="242"/>
    </row>
    <row r="274" spans="1:18" s="225" customFormat="1" ht="13.8" x14ac:dyDescent="0.25">
      <c r="A274" s="241">
        <v>45105</v>
      </c>
      <c r="B274" s="225" t="s">
        <v>494</v>
      </c>
      <c r="C274" s="242" t="s">
        <v>34</v>
      </c>
      <c r="D274" s="287" t="s">
        <v>2</v>
      </c>
      <c r="E274" s="215"/>
      <c r="F274" s="215">
        <v>15000</v>
      </c>
      <c r="G274" s="215">
        <f>+G273+E274-F274</f>
        <v>27042724</v>
      </c>
      <c r="H274" s="242" t="s">
        <v>143</v>
      </c>
      <c r="I274" s="225" t="s">
        <v>307</v>
      </c>
      <c r="J274" s="242" t="s">
        <v>290</v>
      </c>
      <c r="K274" s="320" t="s">
        <v>199</v>
      </c>
      <c r="L274" s="320" t="s">
        <v>536</v>
      </c>
      <c r="M274" s="225" t="s">
        <v>706</v>
      </c>
      <c r="N274" s="242" t="s">
        <v>554</v>
      </c>
      <c r="P274" s="264"/>
      <c r="Q274" s="242"/>
      <c r="R274" s="242"/>
    </row>
    <row r="275" spans="1:18" s="227" customFormat="1" ht="13.8" x14ac:dyDescent="0.25">
      <c r="A275" s="241">
        <v>45105</v>
      </c>
      <c r="B275" s="225" t="s">
        <v>441</v>
      </c>
      <c r="C275" s="242" t="s">
        <v>75</v>
      </c>
      <c r="D275" s="225"/>
      <c r="E275" s="215">
        <v>35000</v>
      </c>
      <c r="F275" s="215"/>
      <c r="G275" s="215">
        <f>+G274+E275-F275</f>
        <v>27077724</v>
      </c>
      <c r="H275" s="225" t="s">
        <v>93</v>
      </c>
      <c r="I275" s="225"/>
      <c r="J275" s="225"/>
      <c r="K275" s="248"/>
      <c r="L275" s="225"/>
      <c r="M275" s="246"/>
      <c r="N275" s="242"/>
      <c r="O275" s="225"/>
      <c r="P275" s="243"/>
      <c r="Q275" s="228"/>
      <c r="R275" s="228"/>
    </row>
    <row r="276" spans="1:18" s="227" customFormat="1" ht="13.8" x14ac:dyDescent="0.25">
      <c r="A276" s="220">
        <v>45105</v>
      </c>
      <c r="B276" s="227" t="s">
        <v>508</v>
      </c>
      <c r="C276" s="242" t="s">
        <v>75</v>
      </c>
      <c r="E276" s="196"/>
      <c r="F276" s="196">
        <v>35000</v>
      </c>
      <c r="G276" s="215">
        <f>+G275+E276-F276</f>
        <v>27042724</v>
      </c>
      <c r="H276" s="227" t="s">
        <v>29</v>
      </c>
      <c r="O276" s="196"/>
      <c r="P276" s="243"/>
      <c r="Q276" s="228"/>
      <c r="R276" s="228"/>
    </row>
    <row r="277" spans="1:18" s="225" customFormat="1" ht="13.8" x14ac:dyDescent="0.25">
      <c r="A277" s="255">
        <v>45105</v>
      </c>
      <c r="B277" s="225" t="s">
        <v>566</v>
      </c>
      <c r="C277" s="291" t="s">
        <v>313</v>
      </c>
      <c r="D277" s="225" t="s">
        <v>4</v>
      </c>
      <c r="F277" s="242">
        <v>120000</v>
      </c>
      <c r="G277" s="215">
        <f>+G276+E277-F277</f>
        <v>26922724</v>
      </c>
      <c r="H277" s="225" t="s">
        <v>29</v>
      </c>
      <c r="I277" s="225" t="s">
        <v>307</v>
      </c>
      <c r="J277" s="242" t="s">
        <v>290</v>
      </c>
      <c r="K277" s="242" t="s">
        <v>198</v>
      </c>
      <c r="L277" s="242" t="s">
        <v>536</v>
      </c>
      <c r="N277" s="242"/>
      <c r="P277" s="264"/>
      <c r="Q277" s="242"/>
      <c r="R277" s="242"/>
    </row>
    <row r="278" spans="1:18" s="225" customFormat="1" ht="13.8" x14ac:dyDescent="0.25">
      <c r="A278" s="241">
        <v>45105</v>
      </c>
      <c r="B278" s="242" t="s">
        <v>681</v>
      </c>
      <c r="C278" s="242" t="s">
        <v>466</v>
      </c>
      <c r="D278" s="225" t="s">
        <v>4</v>
      </c>
      <c r="E278" s="242"/>
      <c r="F278" s="252">
        <v>81000</v>
      </c>
      <c r="G278" s="215">
        <f>+G277+E278-F278</f>
        <v>26841724</v>
      </c>
      <c r="H278" s="242" t="s">
        <v>29</v>
      </c>
      <c r="I278" s="225" t="s">
        <v>309</v>
      </c>
      <c r="J278" s="225" t="s">
        <v>290</v>
      </c>
      <c r="K278" s="242" t="s">
        <v>198</v>
      </c>
      <c r="L278" s="242" t="s">
        <v>536</v>
      </c>
      <c r="N278" s="242"/>
      <c r="O278" s="242"/>
      <c r="P278" s="264"/>
      <c r="Q278" s="242"/>
      <c r="R278" s="242"/>
    </row>
    <row r="279" spans="1:18" s="225" customFormat="1" ht="13.8" x14ac:dyDescent="0.25">
      <c r="A279" s="241">
        <v>45105</v>
      </c>
      <c r="B279" s="320" t="s">
        <v>682</v>
      </c>
      <c r="C279" s="321" t="s">
        <v>525</v>
      </c>
      <c r="D279" s="225" t="s">
        <v>154</v>
      </c>
      <c r="E279" s="322"/>
      <c r="F279" s="324">
        <v>16000</v>
      </c>
      <c r="G279" s="215">
        <f>+G278+E279-F279</f>
        <v>26825724</v>
      </c>
      <c r="H279" s="320" t="s">
        <v>304</v>
      </c>
      <c r="I279" s="225" t="s">
        <v>309</v>
      </c>
      <c r="J279" s="225" t="s">
        <v>290</v>
      </c>
      <c r="K279" s="225" t="s">
        <v>198</v>
      </c>
      <c r="L279" s="225" t="s">
        <v>536</v>
      </c>
      <c r="M279" s="320"/>
      <c r="N279" s="320"/>
      <c r="O279" s="190"/>
      <c r="P279" s="264"/>
      <c r="Q279" s="242"/>
      <c r="R279" s="242"/>
    </row>
    <row r="280" spans="1:18" s="225" customFormat="1" ht="13.8" x14ac:dyDescent="0.25">
      <c r="A280" s="241">
        <v>45106</v>
      </c>
      <c r="B280" s="225" t="s">
        <v>406</v>
      </c>
      <c r="C280" s="242" t="s">
        <v>230</v>
      </c>
      <c r="D280" s="225" t="s">
        <v>312</v>
      </c>
      <c r="F280" s="288">
        <v>180000</v>
      </c>
      <c r="G280" s="215">
        <f>+G279+E280-F280</f>
        <v>26645724</v>
      </c>
      <c r="H280" s="248" t="s">
        <v>47</v>
      </c>
      <c r="I280" s="225" t="s">
        <v>307</v>
      </c>
      <c r="J280" s="225" t="s">
        <v>290</v>
      </c>
      <c r="K280" s="248" t="s">
        <v>198</v>
      </c>
      <c r="L280" s="225" t="s">
        <v>536</v>
      </c>
      <c r="M280" s="246"/>
      <c r="N280" s="242"/>
      <c r="P280" s="264"/>
      <c r="Q280" s="242"/>
      <c r="R280" s="242"/>
    </row>
    <row r="281" spans="1:18" s="225" customFormat="1" ht="13.8" x14ac:dyDescent="0.25">
      <c r="A281" s="241">
        <v>45106</v>
      </c>
      <c r="B281" s="242" t="s">
        <v>407</v>
      </c>
      <c r="C281" s="242" t="s">
        <v>230</v>
      </c>
      <c r="D281" s="225" t="s">
        <v>312</v>
      </c>
      <c r="E281" s="242"/>
      <c r="F281" s="288">
        <v>10000</v>
      </c>
      <c r="G281" s="215">
        <f>+G280+E281-F281</f>
        <v>26635724</v>
      </c>
      <c r="H281" s="242" t="s">
        <v>47</v>
      </c>
      <c r="I281" s="225" t="s">
        <v>307</v>
      </c>
      <c r="J281" s="225" t="s">
        <v>290</v>
      </c>
      <c r="K281" s="248" t="s">
        <v>198</v>
      </c>
      <c r="L281" s="225" t="s">
        <v>536</v>
      </c>
      <c r="N281" s="242"/>
      <c r="O281" s="242"/>
      <c r="P281" s="264"/>
      <c r="Q281" s="242"/>
      <c r="R281" s="242"/>
    </row>
    <row r="282" spans="1:18" s="225" customFormat="1" ht="13.8" x14ac:dyDescent="0.25">
      <c r="A282" s="241">
        <v>45106</v>
      </c>
      <c r="B282" s="225" t="s">
        <v>687</v>
      </c>
      <c r="C282" s="242" t="s">
        <v>34</v>
      </c>
      <c r="D282" s="287" t="s">
        <v>2</v>
      </c>
      <c r="E282" s="215"/>
      <c r="F282" s="215">
        <v>15000</v>
      </c>
      <c r="G282" s="215">
        <f>+G281+E282-F282</f>
        <v>26620724</v>
      </c>
      <c r="H282" s="225" t="s">
        <v>427</v>
      </c>
      <c r="I282" s="225" t="s">
        <v>307</v>
      </c>
      <c r="J282" s="242" t="s">
        <v>290</v>
      </c>
      <c r="K282" s="320" t="s">
        <v>199</v>
      </c>
      <c r="L282" s="320" t="s">
        <v>536</v>
      </c>
      <c r="M282" s="225" t="s">
        <v>707</v>
      </c>
      <c r="N282" s="242" t="s">
        <v>554</v>
      </c>
      <c r="P282" s="264"/>
      <c r="Q282" s="242"/>
      <c r="R282" s="242"/>
    </row>
    <row r="283" spans="1:18" s="225" customFormat="1" ht="13.8" x14ac:dyDescent="0.25">
      <c r="A283" s="249">
        <v>45106</v>
      </c>
      <c r="B283" s="225" t="s">
        <v>430</v>
      </c>
      <c r="C283" s="242" t="s">
        <v>34</v>
      </c>
      <c r="D283" s="287" t="s">
        <v>2</v>
      </c>
      <c r="E283" s="215"/>
      <c r="F283" s="215">
        <v>8000</v>
      </c>
      <c r="G283" s="215">
        <f>+G282+E283-F283</f>
        <v>26612724</v>
      </c>
      <c r="H283" s="225" t="s">
        <v>427</v>
      </c>
      <c r="I283" s="225" t="s">
        <v>309</v>
      </c>
      <c r="J283" s="242" t="s">
        <v>290</v>
      </c>
      <c r="K283" s="320" t="s">
        <v>199</v>
      </c>
      <c r="L283" s="320" t="s">
        <v>536</v>
      </c>
      <c r="M283" s="225" t="s">
        <v>708</v>
      </c>
      <c r="N283" s="242" t="s">
        <v>554</v>
      </c>
      <c r="P283" s="264"/>
      <c r="Q283" s="242"/>
      <c r="R283" s="242"/>
    </row>
    <row r="284" spans="1:18" s="225" customFormat="1" ht="13.8" x14ac:dyDescent="0.25">
      <c r="A284" s="241">
        <v>45106</v>
      </c>
      <c r="B284" s="250" t="s">
        <v>431</v>
      </c>
      <c r="C284" s="242" t="s">
        <v>413</v>
      </c>
      <c r="D284" s="287" t="s">
        <v>2</v>
      </c>
      <c r="F284" s="215">
        <v>80000</v>
      </c>
      <c r="G284" s="215">
        <f>+G283+E284-F284</f>
        <v>26532724</v>
      </c>
      <c r="H284" s="225" t="s">
        <v>427</v>
      </c>
      <c r="I284" s="225" t="s">
        <v>307</v>
      </c>
      <c r="J284" s="242" t="s">
        <v>290</v>
      </c>
      <c r="K284" s="242" t="s">
        <v>199</v>
      </c>
      <c r="L284" s="242" t="s">
        <v>536</v>
      </c>
      <c r="M284" s="225" t="s">
        <v>709</v>
      </c>
      <c r="N284" s="242" t="s">
        <v>558</v>
      </c>
      <c r="P284" s="264"/>
      <c r="Q284" s="242"/>
      <c r="R284" s="242"/>
    </row>
    <row r="285" spans="1:18" s="225" customFormat="1" ht="13.8" x14ac:dyDescent="0.25">
      <c r="A285" s="241">
        <v>45106</v>
      </c>
      <c r="B285" s="242" t="s">
        <v>443</v>
      </c>
      <c r="C285" s="232" t="s">
        <v>34</v>
      </c>
      <c r="D285" s="225" t="s">
        <v>302</v>
      </c>
      <c r="E285" s="242"/>
      <c r="F285" s="242">
        <v>8000</v>
      </c>
      <c r="G285" s="215">
        <f>+G284+E285-F285</f>
        <v>26524724</v>
      </c>
      <c r="H285" s="242" t="s">
        <v>93</v>
      </c>
      <c r="I285" s="225" t="s">
        <v>307</v>
      </c>
      <c r="J285" s="242" t="s">
        <v>290</v>
      </c>
      <c r="K285" s="320" t="s">
        <v>199</v>
      </c>
      <c r="L285" s="320" t="s">
        <v>536</v>
      </c>
      <c r="M285" s="225" t="s">
        <v>710</v>
      </c>
      <c r="N285" s="242" t="s">
        <v>554</v>
      </c>
      <c r="O285" s="242"/>
      <c r="P285" s="264"/>
      <c r="Q285" s="242"/>
      <c r="R285" s="242"/>
    </row>
    <row r="286" spans="1:18" s="225" customFormat="1" ht="13.8" x14ac:dyDescent="0.25">
      <c r="A286" s="245">
        <v>45106</v>
      </c>
      <c r="B286" s="242" t="s">
        <v>444</v>
      </c>
      <c r="C286" s="242" t="s">
        <v>313</v>
      </c>
      <c r="D286" s="225" t="s">
        <v>302</v>
      </c>
      <c r="E286" s="242"/>
      <c r="F286" s="256">
        <v>15000</v>
      </c>
      <c r="G286" s="215">
        <f>+G285+E286-F286</f>
        <v>26509724</v>
      </c>
      <c r="H286" s="242" t="s">
        <v>93</v>
      </c>
      <c r="I286" s="225" t="s">
        <v>307</v>
      </c>
      <c r="J286" s="242" t="s">
        <v>290</v>
      </c>
      <c r="K286" s="242" t="s">
        <v>199</v>
      </c>
      <c r="L286" s="242" t="s">
        <v>536</v>
      </c>
      <c r="M286" s="225" t="s">
        <v>711</v>
      </c>
      <c r="N286" s="242" t="s">
        <v>558</v>
      </c>
      <c r="O286" s="242"/>
      <c r="P286" s="264"/>
      <c r="Q286" s="242"/>
      <c r="R286" s="242"/>
    </row>
    <row r="287" spans="1:18" s="225" customFormat="1" ht="13.8" x14ac:dyDescent="0.25">
      <c r="A287" s="241">
        <v>45106</v>
      </c>
      <c r="B287" s="225" t="s">
        <v>467</v>
      </c>
      <c r="C287" s="225" t="s">
        <v>413</v>
      </c>
      <c r="D287" s="225" t="s">
        <v>4</v>
      </c>
      <c r="F287" s="288">
        <v>135000</v>
      </c>
      <c r="G287" s="215">
        <f>+G286+E287-F287</f>
        <v>26374724</v>
      </c>
      <c r="H287" s="225" t="s">
        <v>269</v>
      </c>
      <c r="I287" s="225" t="s">
        <v>307</v>
      </c>
      <c r="J287" s="242" t="s">
        <v>290</v>
      </c>
      <c r="K287" s="242" t="s">
        <v>199</v>
      </c>
      <c r="L287" s="242" t="s">
        <v>536</v>
      </c>
      <c r="M287" s="225" t="s">
        <v>712</v>
      </c>
      <c r="N287" s="242" t="s">
        <v>558</v>
      </c>
      <c r="P287" s="264"/>
      <c r="Q287" s="242"/>
      <c r="R287" s="242"/>
    </row>
    <row r="288" spans="1:18" s="225" customFormat="1" ht="13.8" x14ac:dyDescent="0.25">
      <c r="A288" s="241">
        <v>45106</v>
      </c>
      <c r="B288" s="250" t="s">
        <v>683</v>
      </c>
      <c r="C288" s="259" t="s">
        <v>456</v>
      </c>
      <c r="D288" s="225" t="s">
        <v>4</v>
      </c>
      <c r="F288" s="225">
        <v>15000</v>
      </c>
      <c r="G288" s="215">
        <f>+G287+E288-F288</f>
        <v>26359724</v>
      </c>
      <c r="H288" s="225" t="s">
        <v>269</v>
      </c>
      <c r="I288" s="225" t="s">
        <v>307</v>
      </c>
      <c r="J288" s="242" t="s">
        <v>290</v>
      </c>
      <c r="K288" s="320" t="s">
        <v>199</v>
      </c>
      <c r="L288" s="320" t="s">
        <v>536</v>
      </c>
      <c r="M288" s="225" t="s">
        <v>713</v>
      </c>
      <c r="N288" s="242" t="s">
        <v>554</v>
      </c>
      <c r="P288" s="264"/>
      <c r="Q288" s="242"/>
      <c r="R288" s="242"/>
    </row>
    <row r="289" spans="1:18" s="225" customFormat="1" ht="13.8" x14ac:dyDescent="0.25">
      <c r="A289" s="241">
        <v>45106</v>
      </c>
      <c r="B289" s="225" t="s">
        <v>468</v>
      </c>
      <c r="C289" s="232" t="s">
        <v>456</v>
      </c>
      <c r="D289" s="225" t="s">
        <v>4</v>
      </c>
      <c r="E289" s="215"/>
      <c r="F289" s="215">
        <v>93500</v>
      </c>
      <c r="G289" s="215">
        <f>+G288+E289-F289</f>
        <v>26266224</v>
      </c>
      <c r="H289" s="225" t="s">
        <v>269</v>
      </c>
      <c r="I289" s="225" t="s">
        <v>309</v>
      </c>
      <c r="J289" s="242" t="s">
        <v>290</v>
      </c>
      <c r="K289" s="320" t="s">
        <v>199</v>
      </c>
      <c r="L289" s="320" t="s">
        <v>536</v>
      </c>
      <c r="M289" s="225" t="s">
        <v>714</v>
      </c>
      <c r="N289" s="242" t="s">
        <v>554</v>
      </c>
      <c r="P289" s="264"/>
      <c r="Q289" s="242"/>
      <c r="R289" s="242"/>
    </row>
    <row r="290" spans="1:18" s="225" customFormat="1" ht="13.8" x14ac:dyDescent="0.25">
      <c r="A290" s="249">
        <v>45106</v>
      </c>
      <c r="B290" s="225" t="s">
        <v>495</v>
      </c>
      <c r="C290" s="242" t="s">
        <v>313</v>
      </c>
      <c r="D290" s="287" t="s">
        <v>2</v>
      </c>
      <c r="F290" s="225">
        <v>80000</v>
      </c>
      <c r="G290" s="215">
        <f>+G289+E290-F290</f>
        <v>26186224</v>
      </c>
      <c r="H290" s="242" t="s">
        <v>143</v>
      </c>
      <c r="I290" s="225" t="s">
        <v>307</v>
      </c>
      <c r="J290" s="242" t="s">
        <v>290</v>
      </c>
      <c r="K290" s="242" t="s">
        <v>199</v>
      </c>
      <c r="L290" s="242" t="s">
        <v>536</v>
      </c>
      <c r="M290" s="225" t="s">
        <v>715</v>
      </c>
      <c r="N290" s="242" t="s">
        <v>558</v>
      </c>
      <c r="P290" s="264"/>
      <c r="Q290" s="242"/>
      <c r="R290" s="242"/>
    </row>
    <row r="291" spans="1:18" s="225" customFormat="1" ht="13.8" x14ac:dyDescent="0.25">
      <c r="A291" s="249">
        <v>45106</v>
      </c>
      <c r="B291" s="225" t="s">
        <v>497</v>
      </c>
      <c r="C291" s="225" t="s">
        <v>34</v>
      </c>
      <c r="D291" s="287" t="s">
        <v>2</v>
      </c>
      <c r="E291" s="215"/>
      <c r="F291" s="215">
        <v>35500</v>
      </c>
      <c r="G291" s="215">
        <f>+G290+E291-F291</f>
        <v>26150724</v>
      </c>
      <c r="H291" s="242" t="s">
        <v>143</v>
      </c>
      <c r="I291" s="225" t="s">
        <v>309</v>
      </c>
      <c r="J291" s="242" t="s">
        <v>290</v>
      </c>
      <c r="K291" s="320" t="s">
        <v>199</v>
      </c>
      <c r="L291" s="320" t="s">
        <v>536</v>
      </c>
      <c r="M291" s="225" t="s">
        <v>716</v>
      </c>
      <c r="N291" s="242" t="s">
        <v>554</v>
      </c>
      <c r="P291" s="264"/>
      <c r="Q291" s="242"/>
      <c r="R291" s="242"/>
    </row>
    <row r="292" spans="1:18" s="225" customFormat="1" ht="13.8" x14ac:dyDescent="0.25">
      <c r="A292" s="249">
        <v>45106</v>
      </c>
      <c r="B292" s="242" t="s">
        <v>567</v>
      </c>
      <c r="C292" s="242" t="s">
        <v>313</v>
      </c>
      <c r="D292" s="225" t="s">
        <v>4</v>
      </c>
      <c r="E292" s="242"/>
      <c r="F292" s="242">
        <v>60000</v>
      </c>
      <c r="G292" s="215">
        <f>+G291+E292-F292</f>
        <v>26090724</v>
      </c>
      <c r="H292" s="242" t="s">
        <v>29</v>
      </c>
      <c r="I292" s="225" t="s">
        <v>307</v>
      </c>
      <c r="J292" s="242" t="s">
        <v>290</v>
      </c>
      <c r="K292" s="242" t="s">
        <v>198</v>
      </c>
      <c r="L292" s="242" t="s">
        <v>536</v>
      </c>
      <c r="N292" s="242"/>
      <c r="O292" s="242"/>
      <c r="P292" s="264"/>
      <c r="Q292" s="242"/>
      <c r="R292" s="242"/>
    </row>
    <row r="293" spans="1:18" s="225" customFormat="1" ht="13.8" x14ac:dyDescent="0.25">
      <c r="A293" s="245">
        <v>45106</v>
      </c>
      <c r="B293" s="242" t="s">
        <v>509</v>
      </c>
      <c r="C293" s="242" t="s">
        <v>34</v>
      </c>
      <c r="D293" s="225" t="s">
        <v>4</v>
      </c>
      <c r="E293" s="242"/>
      <c r="F293" s="252">
        <v>8000</v>
      </c>
      <c r="G293" s="215">
        <f>+G292+E293-F293</f>
        <v>26082724</v>
      </c>
      <c r="H293" s="242" t="s">
        <v>29</v>
      </c>
      <c r="I293" s="225" t="s">
        <v>307</v>
      </c>
      <c r="J293" s="242" t="s">
        <v>290</v>
      </c>
      <c r="K293" s="320" t="s">
        <v>199</v>
      </c>
      <c r="L293" s="320" t="s">
        <v>536</v>
      </c>
      <c r="M293" s="225" t="s">
        <v>717</v>
      </c>
      <c r="N293" s="242" t="s">
        <v>554</v>
      </c>
      <c r="O293" s="242"/>
      <c r="P293" s="264"/>
      <c r="Q293" s="242"/>
      <c r="R293" s="242"/>
    </row>
    <row r="294" spans="1:18" s="225" customFormat="1" ht="13.8" x14ac:dyDescent="0.25">
      <c r="A294" s="245">
        <v>45106</v>
      </c>
      <c r="B294" s="225" t="s">
        <v>510</v>
      </c>
      <c r="C294" s="242" t="s">
        <v>34</v>
      </c>
      <c r="D294" s="225" t="s">
        <v>4</v>
      </c>
      <c r="E294" s="193"/>
      <c r="F294" s="215">
        <v>79000</v>
      </c>
      <c r="G294" s="215">
        <f>+G293+E294-F294</f>
        <v>26003724</v>
      </c>
      <c r="H294" s="215" t="s">
        <v>29</v>
      </c>
      <c r="I294" s="225" t="s">
        <v>309</v>
      </c>
      <c r="J294" s="242" t="s">
        <v>290</v>
      </c>
      <c r="K294" s="320" t="s">
        <v>199</v>
      </c>
      <c r="L294" s="320" t="s">
        <v>536</v>
      </c>
      <c r="M294" s="225" t="s">
        <v>718</v>
      </c>
      <c r="N294" s="242" t="s">
        <v>554</v>
      </c>
      <c r="P294" s="264"/>
      <c r="Q294" s="242"/>
      <c r="R294" s="242"/>
    </row>
    <row r="295" spans="1:18" s="225" customFormat="1" ht="13.8" x14ac:dyDescent="0.25">
      <c r="A295" s="255">
        <v>45106</v>
      </c>
      <c r="B295" s="225" t="s">
        <v>511</v>
      </c>
      <c r="C295" s="297" t="s">
        <v>313</v>
      </c>
      <c r="D295" s="225" t="s">
        <v>4</v>
      </c>
      <c r="F295" s="262">
        <v>15000</v>
      </c>
      <c r="G295" s="215">
        <f>+G294+E295-F295</f>
        <v>25988724</v>
      </c>
      <c r="H295" s="263" t="s">
        <v>29</v>
      </c>
      <c r="I295" s="225" t="s">
        <v>307</v>
      </c>
      <c r="J295" s="242" t="s">
        <v>290</v>
      </c>
      <c r="K295" s="242" t="s">
        <v>199</v>
      </c>
      <c r="L295" s="242" t="s">
        <v>536</v>
      </c>
      <c r="M295" s="225" t="s">
        <v>719</v>
      </c>
      <c r="N295" s="242" t="s">
        <v>558</v>
      </c>
      <c r="P295" s="264"/>
      <c r="Q295" s="242"/>
      <c r="R295" s="242"/>
    </row>
    <row r="296" spans="1:18" s="225" customFormat="1" ht="13.8" x14ac:dyDescent="0.25">
      <c r="A296" s="241">
        <v>45106</v>
      </c>
      <c r="B296" s="320" t="s">
        <v>526</v>
      </c>
      <c r="C296" s="321" t="s">
        <v>313</v>
      </c>
      <c r="D296" s="225" t="s">
        <v>154</v>
      </c>
      <c r="E296" s="322"/>
      <c r="F296" s="322">
        <v>60000</v>
      </c>
      <c r="G296" s="215">
        <f>+G295+E296-F296</f>
        <v>25928724</v>
      </c>
      <c r="H296" s="320" t="s">
        <v>304</v>
      </c>
      <c r="I296" s="225" t="s">
        <v>307</v>
      </c>
      <c r="J296" s="320" t="s">
        <v>290</v>
      </c>
      <c r="K296" s="320" t="s">
        <v>198</v>
      </c>
      <c r="L296" s="320" t="s">
        <v>536</v>
      </c>
      <c r="M296" s="320"/>
      <c r="N296" s="320"/>
      <c r="O296" s="190"/>
      <c r="P296" s="264"/>
      <c r="Q296" s="242"/>
      <c r="R296" s="242"/>
    </row>
    <row r="297" spans="1:18" s="225" customFormat="1" ht="13.8" x14ac:dyDescent="0.25">
      <c r="A297" s="241">
        <v>45106</v>
      </c>
      <c r="B297" s="320" t="s">
        <v>527</v>
      </c>
      <c r="C297" s="320" t="s">
        <v>34</v>
      </c>
      <c r="D297" s="225" t="s">
        <v>154</v>
      </c>
      <c r="E297" s="322"/>
      <c r="F297" s="322">
        <v>3500</v>
      </c>
      <c r="G297" s="215">
        <f>+G296+E297-F297</f>
        <v>25925224</v>
      </c>
      <c r="H297" s="320" t="s">
        <v>304</v>
      </c>
      <c r="I297" s="225" t="s">
        <v>307</v>
      </c>
      <c r="J297" s="320" t="s">
        <v>290</v>
      </c>
      <c r="K297" s="320" t="s">
        <v>198</v>
      </c>
      <c r="L297" s="320" t="s">
        <v>536</v>
      </c>
      <c r="M297" s="320"/>
      <c r="N297" s="320"/>
      <c r="O297" s="190"/>
      <c r="P297" s="264"/>
      <c r="Q297" s="242"/>
      <c r="R297" s="242"/>
    </row>
    <row r="298" spans="1:18" s="225" customFormat="1" ht="13.8" x14ac:dyDescent="0.25">
      <c r="A298" s="241">
        <v>45106</v>
      </c>
      <c r="B298" s="320" t="s">
        <v>528</v>
      </c>
      <c r="C298" s="320" t="s">
        <v>34</v>
      </c>
      <c r="D298" s="225" t="s">
        <v>154</v>
      </c>
      <c r="E298" s="322"/>
      <c r="F298" s="322">
        <v>9000</v>
      </c>
      <c r="G298" s="215">
        <f>+G297+E298-F298</f>
        <v>25916224</v>
      </c>
      <c r="H298" s="320" t="s">
        <v>304</v>
      </c>
      <c r="I298" s="225" t="s">
        <v>307</v>
      </c>
      <c r="J298" s="320" t="s">
        <v>290</v>
      </c>
      <c r="K298" s="320" t="s">
        <v>198</v>
      </c>
      <c r="L298" s="320" t="s">
        <v>536</v>
      </c>
      <c r="M298" s="320"/>
      <c r="N298" s="320"/>
      <c r="O298" s="190"/>
      <c r="P298" s="264"/>
      <c r="Q298" s="242"/>
      <c r="R298" s="242"/>
    </row>
    <row r="299" spans="1:18" s="225" customFormat="1" ht="13.8" x14ac:dyDescent="0.25">
      <c r="A299" s="241">
        <v>45107</v>
      </c>
      <c r="B299" s="225" t="s">
        <v>690</v>
      </c>
      <c r="C299" s="242" t="s">
        <v>174</v>
      </c>
      <c r="D299" s="225" t="s">
        <v>302</v>
      </c>
      <c r="F299" s="290">
        <v>10448</v>
      </c>
      <c r="G299" s="215">
        <f>+G297+E299-F299</f>
        <v>25914776</v>
      </c>
      <c r="H299" s="225" t="s">
        <v>25</v>
      </c>
      <c r="I299" s="225" t="s">
        <v>307</v>
      </c>
      <c r="J299" s="225" t="s">
        <v>102</v>
      </c>
      <c r="K299" s="225" t="s">
        <v>199</v>
      </c>
      <c r="L299" s="225" t="s">
        <v>536</v>
      </c>
      <c r="M299" s="225" t="s">
        <v>720</v>
      </c>
      <c r="N299" s="225" t="s">
        <v>552</v>
      </c>
      <c r="P299" s="264"/>
      <c r="Q299" s="242"/>
      <c r="R299" s="242"/>
    </row>
    <row r="300" spans="1:18" s="225" customFormat="1" ht="13.8" x14ac:dyDescent="0.25">
      <c r="A300" s="241">
        <v>45107</v>
      </c>
      <c r="B300" s="225" t="s">
        <v>668</v>
      </c>
      <c r="C300" s="242" t="s">
        <v>174</v>
      </c>
      <c r="D300" s="225" t="s">
        <v>302</v>
      </c>
      <c r="F300" s="290">
        <v>2302</v>
      </c>
      <c r="G300" s="215">
        <f>+G298+E300-F300</f>
        <v>25913922</v>
      </c>
      <c r="H300" s="225" t="s">
        <v>25</v>
      </c>
      <c r="I300" s="225" t="s">
        <v>307</v>
      </c>
      <c r="J300" s="225" t="s">
        <v>290</v>
      </c>
      <c r="K300" s="225" t="s">
        <v>198</v>
      </c>
      <c r="L300" s="225" t="s">
        <v>536</v>
      </c>
      <c r="P300" s="264"/>
      <c r="Q300" s="242"/>
      <c r="R300" s="242"/>
    </row>
    <row r="301" spans="1:18" s="225" customFormat="1" ht="13.8" x14ac:dyDescent="0.25">
      <c r="A301" s="241">
        <v>45107</v>
      </c>
      <c r="B301" s="242" t="s">
        <v>375</v>
      </c>
      <c r="C301" s="232" t="s">
        <v>268</v>
      </c>
      <c r="D301" s="225" t="s">
        <v>302</v>
      </c>
      <c r="F301" s="288">
        <v>45050</v>
      </c>
      <c r="G301" s="215">
        <f>+G300+E301-F301</f>
        <v>25868872</v>
      </c>
      <c r="H301" s="225" t="s">
        <v>25</v>
      </c>
      <c r="I301" s="225" t="s">
        <v>307</v>
      </c>
      <c r="J301" s="225" t="s">
        <v>102</v>
      </c>
      <c r="K301" s="242" t="s">
        <v>199</v>
      </c>
      <c r="L301" s="242" t="s">
        <v>536</v>
      </c>
      <c r="M301" s="225" t="s">
        <v>721</v>
      </c>
      <c r="N301" s="242" t="s">
        <v>540</v>
      </c>
      <c r="P301" s="264"/>
      <c r="Q301" s="242"/>
      <c r="R301" s="242"/>
    </row>
    <row r="302" spans="1:18" s="225" customFormat="1" ht="13.8" x14ac:dyDescent="0.25">
      <c r="A302" s="241">
        <v>45107</v>
      </c>
      <c r="B302" s="250" t="s">
        <v>376</v>
      </c>
      <c r="C302" s="242" t="s">
        <v>3</v>
      </c>
      <c r="D302" s="225" t="s">
        <v>302</v>
      </c>
      <c r="E302" s="193"/>
      <c r="F302" s="287">
        <v>20000</v>
      </c>
      <c r="G302" s="215">
        <f>+G301+E302-F302</f>
        <v>25848872</v>
      </c>
      <c r="H302" s="215" t="s">
        <v>25</v>
      </c>
      <c r="I302" s="225" t="s">
        <v>307</v>
      </c>
      <c r="J302" s="242" t="s">
        <v>290</v>
      </c>
      <c r="K302" s="225" t="s">
        <v>198</v>
      </c>
      <c r="L302" s="225" t="s">
        <v>536</v>
      </c>
      <c r="N302" s="242"/>
      <c r="P302" s="264"/>
      <c r="Q302" s="242"/>
      <c r="R302" s="242"/>
    </row>
    <row r="303" spans="1:18" s="225" customFormat="1" ht="13.8" x14ac:dyDescent="0.25">
      <c r="A303" s="241">
        <v>45107</v>
      </c>
      <c r="B303" s="242" t="s">
        <v>377</v>
      </c>
      <c r="C303" s="242" t="s">
        <v>3</v>
      </c>
      <c r="D303" s="225" t="s">
        <v>302</v>
      </c>
      <c r="E303" s="242"/>
      <c r="F303" s="289">
        <v>75625</v>
      </c>
      <c r="G303" s="215">
        <f>+G302+E303-F303</f>
        <v>25773247</v>
      </c>
      <c r="H303" s="242" t="s">
        <v>25</v>
      </c>
      <c r="I303" s="225" t="s">
        <v>307</v>
      </c>
      <c r="J303" s="242" t="s">
        <v>290</v>
      </c>
      <c r="K303" s="225" t="s">
        <v>198</v>
      </c>
      <c r="L303" s="225" t="s">
        <v>536</v>
      </c>
      <c r="N303" s="242"/>
      <c r="O303" s="242"/>
      <c r="P303" s="264"/>
      <c r="Q303" s="242"/>
      <c r="R303" s="242"/>
    </row>
    <row r="304" spans="1:18" s="225" customFormat="1" ht="17.25" customHeight="1" x14ac:dyDescent="0.25">
      <c r="A304" s="245">
        <v>45107</v>
      </c>
      <c r="B304" s="242" t="s">
        <v>378</v>
      </c>
      <c r="C304" s="242" t="s">
        <v>213</v>
      </c>
      <c r="D304" s="225" t="s">
        <v>302</v>
      </c>
      <c r="F304" s="225">
        <v>10920</v>
      </c>
      <c r="G304" s="215">
        <f>+G303+E304-F304</f>
        <v>25762327</v>
      </c>
      <c r="H304" s="225" t="s">
        <v>25</v>
      </c>
      <c r="I304" s="225" t="s">
        <v>307</v>
      </c>
      <c r="J304" s="225" t="s">
        <v>102</v>
      </c>
      <c r="K304" s="225" t="s">
        <v>199</v>
      </c>
      <c r="L304" s="225" t="s">
        <v>536</v>
      </c>
      <c r="M304" s="225" t="s">
        <v>722</v>
      </c>
      <c r="N304" s="225" t="s">
        <v>537</v>
      </c>
      <c r="P304" s="264"/>
      <c r="Q304" s="242"/>
      <c r="R304" s="242"/>
    </row>
    <row r="305" spans="1:18" s="225" customFormat="1" ht="17.25" customHeight="1" x14ac:dyDescent="0.25">
      <c r="A305" s="241">
        <v>45107</v>
      </c>
      <c r="B305" s="225" t="s">
        <v>379</v>
      </c>
      <c r="C305" s="242" t="s">
        <v>170</v>
      </c>
      <c r="D305" s="225" t="s">
        <v>4</v>
      </c>
      <c r="F305" s="225">
        <v>225000</v>
      </c>
      <c r="G305" s="215">
        <f>+G304+E305-F305</f>
        <v>25537327</v>
      </c>
      <c r="H305" s="225" t="s">
        <v>25</v>
      </c>
      <c r="I305" s="225" t="s">
        <v>307</v>
      </c>
      <c r="J305" s="225" t="s">
        <v>102</v>
      </c>
      <c r="K305" s="242" t="s">
        <v>199</v>
      </c>
      <c r="L305" s="242" t="s">
        <v>536</v>
      </c>
      <c r="M305" s="225" t="s">
        <v>723</v>
      </c>
      <c r="N305" s="242" t="s">
        <v>547</v>
      </c>
      <c r="P305" s="247"/>
    </row>
    <row r="306" spans="1:18" s="225" customFormat="1" ht="17.25" customHeight="1" x14ac:dyDescent="0.25">
      <c r="A306" s="245">
        <v>45107</v>
      </c>
      <c r="B306" s="289" t="s">
        <v>397</v>
      </c>
      <c r="C306" s="242" t="s">
        <v>170</v>
      </c>
      <c r="D306" s="225" t="s">
        <v>4</v>
      </c>
      <c r="F306" s="242">
        <v>365000</v>
      </c>
      <c r="G306" s="215">
        <f>+G305+E306-F306</f>
        <v>25172327</v>
      </c>
      <c r="H306" s="157" t="s">
        <v>148</v>
      </c>
      <c r="I306" s="250">
        <v>3667358</v>
      </c>
      <c r="J306" s="225" t="s">
        <v>102</v>
      </c>
      <c r="K306" s="242" t="s">
        <v>199</v>
      </c>
      <c r="L306" s="242" t="s">
        <v>536</v>
      </c>
      <c r="M306" s="225" t="s">
        <v>724</v>
      </c>
      <c r="N306" s="242" t="s">
        <v>547</v>
      </c>
      <c r="O306" s="242"/>
      <c r="P306" s="247"/>
    </row>
    <row r="307" spans="1:18" s="225" customFormat="1" ht="17.25" customHeight="1" x14ac:dyDescent="0.25">
      <c r="A307" s="241">
        <v>45107</v>
      </c>
      <c r="B307" s="288" t="s">
        <v>398</v>
      </c>
      <c r="C307" s="242" t="s">
        <v>170</v>
      </c>
      <c r="D307" s="225" t="s">
        <v>4</v>
      </c>
      <c r="F307" s="242">
        <v>240000</v>
      </c>
      <c r="G307" s="215">
        <f>+G306+E307-F307</f>
        <v>24932327</v>
      </c>
      <c r="H307" s="157" t="s">
        <v>148</v>
      </c>
      <c r="I307" s="250">
        <v>3667359</v>
      </c>
      <c r="J307" s="225" t="s">
        <v>102</v>
      </c>
      <c r="K307" s="242" t="s">
        <v>199</v>
      </c>
      <c r="L307" s="242" t="s">
        <v>536</v>
      </c>
      <c r="M307" s="225" t="s">
        <v>725</v>
      </c>
      <c r="N307" s="242" t="s">
        <v>547</v>
      </c>
      <c r="O307" s="242"/>
      <c r="P307" s="247"/>
    </row>
    <row r="308" spans="1:18" s="190" customFormat="1" ht="17.25" customHeight="1" x14ac:dyDescent="0.25">
      <c r="A308" s="245">
        <v>45107</v>
      </c>
      <c r="B308" s="242" t="s">
        <v>408</v>
      </c>
      <c r="C308" s="225" t="s">
        <v>313</v>
      </c>
      <c r="D308" s="287" t="s">
        <v>2</v>
      </c>
      <c r="E308" s="242"/>
      <c r="F308" s="242">
        <v>100000</v>
      </c>
      <c r="G308" s="215">
        <f>+G307+E308-F308</f>
        <v>24832327</v>
      </c>
      <c r="H308" s="242" t="s">
        <v>47</v>
      </c>
      <c r="I308" s="225" t="s">
        <v>307</v>
      </c>
      <c r="J308" s="242" t="s">
        <v>290</v>
      </c>
      <c r="K308" s="242" t="s">
        <v>199</v>
      </c>
      <c r="L308" s="242" t="s">
        <v>536</v>
      </c>
      <c r="M308" s="225" t="s">
        <v>726</v>
      </c>
      <c r="N308" s="242" t="s">
        <v>558</v>
      </c>
      <c r="O308" s="242"/>
      <c r="P308" s="99"/>
    </row>
    <row r="309" spans="1:18" s="333" customFormat="1" ht="13.8" x14ac:dyDescent="0.25">
      <c r="A309" s="332">
        <v>45107</v>
      </c>
      <c r="B309" s="333" t="s">
        <v>409</v>
      </c>
      <c r="C309" s="333" t="s">
        <v>34</v>
      </c>
      <c r="D309" s="334" t="s">
        <v>2</v>
      </c>
      <c r="E309" s="335"/>
      <c r="F309" s="335">
        <v>28900</v>
      </c>
      <c r="G309" s="336">
        <f>+G308+E309-F309</f>
        <v>24803427</v>
      </c>
      <c r="H309" s="337" t="s">
        <v>47</v>
      </c>
      <c r="I309" s="333" t="s">
        <v>309</v>
      </c>
      <c r="J309" s="338" t="s">
        <v>290</v>
      </c>
      <c r="K309" s="339" t="s">
        <v>199</v>
      </c>
      <c r="L309" s="339" t="s">
        <v>536</v>
      </c>
      <c r="M309" s="225" t="s">
        <v>727</v>
      </c>
      <c r="N309" s="338" t="s">
        <v>554</v>
      </c>
      <c r="P309" s="340"/>
      <c r="Q309" s="341"/>
      <c r="R309" s="341"/>
    </row>
    <row r="310" spans="1:18" s="190" customFormat="1" ht="17.25" customHeight="1" x14ac:dyDescent="0.25">
      <c r="A310" s="241">
        <v>45107</v>
      </c>
      <c r="B310" s="242" t="s">
        <v>445</v>
      </c>
      <c r="C310" s="242" t="s">
        <v>34</v>
      </c>
      <c r="D310" s="225" t="s">
        <v>302</v>
      </c>
      <c r="E310" s="225"/>
      <c r="F310" s="292">
        <v>50000</v>
      </c>
      <c r="G310" s="215">
        <f>+G309+E310-F310</f>
        <v>24753427</v>
      </c>
      <c r="H310" s="225" t="s">
        <v>93</v>
      </c>
      <c r="I310" s="225" t="s">
        <v>309</v>
      </c>
      <c r="J310" s="242" t="s">
        <v>290</v>
      </c>
      <c r="K310" s="320" t="s">
        <v>199</v>
      </c>
      <c r="L310" s="320" t="s">
        <v>536</v>
      </c>
      <c r="M310" s="225" t="s">
        <v>728</v>
      </c>
      <c r="N310" s="242" t="s">
        <v>554</v>
      </c>
      <c r="O310" s="225"/>
    </row>
    <row r="311" spans="1:18" s="325" customFormat="1" ht="17.25" customHeight="1" x14ac:dyDescent="0.25">
      <c r="A311" s="342">
        <v>45107</v>
      </c>
      <c r="B311" s="343" t="s">
        <v>476</v>
      </c>
      <c r="C311" s="344" t="s">
        <v>318</v>
      </c>
      <c r="D311" s="344" t="s">
        <v>154</v>
      </c>
      <c r="E311" s="343"/>
      <c r="F311" s="345">
        <v>46000</v>
      </c>
      <c r="G311" s="346">
        <f>+G310+E311-F311</f>
        <v>24707427</v>
      </c>
      <c r="H311" s="347" t="s">
        <v>303</v>
      </c>
      <c r="I311" s="344" t="s">
        <v>309</v>
      </c>
      <c r="J311" s="344" t="s">
        <v>290</v>
      </c>
      <c r="K311" s="344" t="s">
        <v>198</v>
      </c>
      <c r="L311" s="344" t="s">
        <v>536</v>
      </c>
      <c r="M311" s="344"/>
      <c r="N311" s="344"/>
      <c r="O311" s="313"/>
    </row>
    <row r="312" spans="1:18" s="190" customFormat="1" ht="17.25" customHeight="1" x14ac:dyDescent="0.25">
      <c r="A312" s="241">
        <v>45107</v>
      </c>
      <c r="B312" s="242" t="s">
        <v>477</v>
      </c>
      <c r="C312" s="242" t="s">
        <v>34</v>
      </c>
      <c r="D312" s="225" t="s">
        <v>154</v>
      </c>
      <c r="E312" s="242"/>
      <c r="F312" s="256">
        <v>46000</v>
      </c>
      <c r="G312" s="215">
        <f>+G311+E312-F312</f>
        <v>24661427</v>
      </c>
      <c r="H312" s="248" t="s">
        <v>303</v>
      </c>
      <c r="I312" s="225" t="s">
        <v>309</v>
      </c>
      <c r="J312" s="242" t="s">
        <v>290</v>
      </c>
      <c r="K312" s="320" t="s">
        <v>199</v>
      </c>
      <c r="L312" s="320" t="s">
        <v>536</v>
      </c>
      <c r="M312" s="225" t="s">
        <v>729</v>
      </c>
      <c r="N312" s="242" t="s">
        <v>554</v>
      </c>
      <c r="O312" s="242"/>
    </row>
    <row r="313" spans="1:18" s="190" customFormat="1" ht="17.25" customHeight="1" x14ac:dyDescent="0.25">
      <c r="A313" s="245">
        <v>45107</v>
      </c>
      <c r="B313" s="242" t="s">
        <v>556</v>
      </c>
      <c r="C313" s="225" t="s">
        <v>313</v>
      </c>
      <c r="D313" s="225" t="s">
        <v>154</v>
      </c>
      <c r="E313" s="242"/>
      <c r="F313" s="242">
        <v>100000</v>
      </c>
      <c r="G313" s="215">
        <f>+G312+E313-F313</f>
        <v>24561427</v>
      </c>
      <c r="H313" s="248" t="s">
        <v>303</v>
      </c>
      <c r="I313" s="225" t="s">
        <v>307</v>
      </c>
      <c r="J313" s="242" t="s">
        <v>290</v>
      </c>
      <c r="K313" s="242" t="s">
        <v>199</v>
      </c>
      <c r="L313" s="242" t="s">
        <v>536</v>
      </c>
      <c r="M313" s="225" t="s">
        <v>730</v>
      </c>
      <c r="N313" s="242" t="s">
        <v>558</v>
      </c>
      <c r="O313" s="242"/>
    </row>
    <row r="314" spans="1:18" s="190" customFormat="1" ht="17.25" customHeight="1" x14ac:dyDescent="0.25">
      <c r="A314" s="255">
        <v>45107</v>
      </c>
      <c r="B314" s="232" t="s">
        <v>484</v>
      </c>
      <c r="C314" s="232" t="s">
        <v>34</v>
      </c>
      <c r="D314" s="242" t="s">
        <v>155</v>
      </c>
      <c r="E314" s="293"/>
      <c r="F314" s="292">
        <v>51000</v>
      </c>
      <c r="G314" s="215">
        <f>+G313+E314-F314</f>
        <v>24510427</v>
      </c>
      <c r="H314" s="225" t="s">
        <v>31</v>
      </c>
      <c r="I314" s="225" t="s">
        <v>309</v>
      </c>
      <c r="J314" s="242" t="s">
        <v>290</v>
      </c>
      <c r="K314" s="320" t="s">
        <v>199</v>
      </c>
      <c r="L314" s="320" t="s">
        <v>536</v>
      </c>
      <c r="M314" s="225" t="s">
        <v>731</v>
      </c>
      <c r="N314" s="242" t="s">
        <v>554</v>
      </c>
      <c r="O314" s="225"/>
    </row>
    <row r="315" spans="1:18" s="325" customFormat="1" ht="17.25" customHeight="1" x14ac:dyDescent="0.25">
      <c r="A315" s="348">
        <v>45107</v>
      </c>
      <c r="B315" s="349" t="s">
        <v>31</v>
      </c>
      <c r="C315" s="350" t="s">
        <v>75</v>
      </c>
      <c r="D315" s="351"/>
      <c r="E315" s="352"/>
      <c r="F315" s="353">
        <v>68000</v>
      </c>
      <c r="G315" s="354">
        <f>+G314+E315-F315</f>
        <v>24442427</v>
      </c>
      <c r="H315" s="355" t="s">
        <v>25</v>
      </c>
      <c r="I315" s="352"/>
      <c r="J315" s="352"/>
      <c r="K315" s="350"/>
      <c r="L315" s="350"/>
      <c r="M315" s="352"/>
      <c r="N315" s="350"/>
      <c r="O315" s="317"/>
    </row>
    <row r="316" spans="1:18" s="325" customFormat="1" ht="17.25" customHeight="1" x14ac:dyDescent="0.25">
      <c r="A316" s="241">
        <v>45107</v>
      </c>
      <c r="B316" s="225" t="s">
        <v>303</v>
      </c>
      <c r="C316" s="313" t="s">
        <v>75</v>
      </c>
      <c r="D316" s="225"/>
      <c r="E316" s="215"/>
      <c r="F316" s="287">
        <v>236000</v>
      </c>
      <c r="G316" s="215">
        <f>+G315+E316-F316</f>
        <v>24206427</v>
      </c>
      <c r="H316" s="225" t="s">
        <v>25</v>
      </c>
      <c r="I316" s="225"/>
      <c r="J316" s="225"/>
      <c r="K316" s="242"/>
      <c r="L316" s="242"/>
      <c r="M316" s="225"/>
      <c r="N316" s="225"/>
      <c r="O316" s="317"/>
    </row>
    <row r="317" spans="1:18" s="325" customFormat="1" ht="17.25" customHeight="1" x14ac:dyDescent="0.25">
      <c r="A317" s="245">
        <v>45107</v>
      </c>
      <c r="B317" s="225" t="s">
        <v>47</v>
      </c>
      <c r="C317" s="242" t="s">
        <v>75</v>
      </c>
      <c r="D317" s="225"/>
      <c r="E317" s="225"/>
      <c r="F317" s="288">
        <v>60000</v>
      </c>
      <c r="G317" s="215">
        <f>+G316+E317-F317</f>
        <v>24146427</v>
      </c>
      <c r="H317" s="242" t="s">
        <v>25</v>
      </c>
      <c r="I317" s="225"/>
      <c r="J317" s="225"/>
      <c r="K317" s="242"/>
      <c r="L317" s="242"/>
      <c r="M317" s="225"/>
      <c r="N317" s="242"/>
      <c r="O317" s="317"/>
    </row>
    <row r="318" spans="1:18" s="325" customFormat="1" ht="17.25" customHeight="1" x14ac:dyDescent="0.25">
      <c r="A318" s="241">
        <v>45107</v>
      </c>
      <c r="B318" s="225" t="s">
        <v>334</v>
      </c>
      <c r="C318" s="242" t="s">
        <v>75</v>
      </c>
      <c r="D318" s="215"/>
      <c r="E318" s="225">
        <v>130000</v>
      </c>
      <c r="F318" s="292"/>
      <c r="G318" s="215">
        <f>+G317+E318-F318</f>
        <v>24276427</v>
      </c>
      <c r="H318" s="248" t="s">
        <v>25</v>
      </c>
      <c r="I318" s="225"/>
      <c r="J318" s="358"/>
      <c r="K318" s="225"/>
      <c r="L318" s="225"/>
      <c r="M318" s="225"/>
      <c r="N318" s="225"/>
      <c r="O318" s="317"/>
    </row>
    <row r="319" spans="1:18" s="325" customFormat="1" ht="17.25" customHeight="1" x14ac:dyDescent="0.25">
      <c r="A319" s="241">
        <v>45107</v>
      </c>
      <c r="B319" s="263" t="s">
        <v>380</v>
      </c>
      <c r="C319" s="242" t="s">
        <v>75</v>
      </c>
      <c r="D319" s="232"/>
      <c r="E319" s="294">
        <v>40000</v>
      </c>
      <c r="F319" s="263"/>
      <c r="G319" s="215">
        <f>+G318+E319-F319</f>
        <v>24316427</v>
      </c>
      <c r="H319" s="225" t="s">
        <v>25</v>
      </c>
      <c r="I319" s="263"/>
      <c r="J319" s="225"/>
      <c r="K319" s="225"/>
      <c r="L319" s="225"/>
      <c r="M319" s="246"/>
      <c r="N319" s="242"/>
      <c r="O319" s="317"/>
    </row>
    <row r="320" spans="1:18" s="330" customFormat="1" ht="17.25" customHeight="1" x14ac:dyDescent="0.25">
      <c r="A320" s="235">
        <v>45107</v>
      </c>
      <c r="B320" s="328" t="s">
        <v>381</v>
      </c>
      <c r="C320" s="228" t="s">
        <v>75</v>
      </c>
      <c r="D320" s="214"/>
      <c r="E320" s="329">
        <v>20500</v>
      </c>
      <c r="F320" s="236"/>
      <c r="G320" s="215">
        <f>+G319+E320-F320</f>
        <v>24336927</v>
      </c>
      <c r="H320" s="227" t="s">
        <v>25</v>
      </c>
      <c r="I320" s="237"/>
      <c r="J320" s="228"/>
      <c r="K320" s="227"/>
      <c r="L320" s="228"/>
      <c r="M320" s="227"/>
      <c r="N320" s="228"/>
      <c r="O320" s="318"/>
    </row>
    <row r="321" spans="1:16" s="325" customFormat="1" ht="17.25" customHeight="1" x14ac:dyDescent="0.25">
      <c r="A321" s="260">
        <v>45107</v>
      </c>
      <c r="B321" s="225" t="s">
        <v>321</v>
      </c>
      <c r="C321" s="242" t="s">
        <v>75</v>
      </c>
      <c r="D321" s="225"/>
      <c r="E321" s="225">
        <v>60000</v>
      </c>
      <c r="F321" s="288"/>
      <c r="G321" s="215">
        <f>+G320+E321-F321</f>
        <v>24396927</v>
      </c>
      <c r="H321" s="225" t="s">
        <v>47</v>
      </c>
      <c r="I321" s="221"/>
      <c r="J321" s="225"/>
      <c r="K321" s="225"/>
      <c r="L321" s="225"/>
      <c r="M321" s="246"/>
      <c r="N321" s="242"/>
      <c r="O321" s="317"/>
    </row>
    <row r="322" spans="1:16" s="330" customFormat="1" ht="17.25" customHeight="1" x14ac:dyDescent="0.25">
      <c r="A322" s="220">
        <v>45107</v>
      </c>
      <c r="B322" s="227" t="s">
        <v>446</v>
      </c>
      <c r="C322" s="228" t="s">
        <v>75</v>
      </c>
      <c r="D322" s="227"/>
      <c r="E322" s="196"/>
      <c r="F322" s="213">
        <v>20500</v>
      </c>
      <c r="G322" s="215">
        <f>+G321+E322-F322</f>
        <v>24376427</v>
      </c>
      <c r="H322" s="227" t="s">
        <v>93</v>
      </c>
      <c r="I322" s="227"/>
      <c r="J322" s="227"/>
      <c r="K322" s="230"/>
      <c r="L322" s="227"/>
      <c r="M322" s="331"/>
      <c r="N322" s="228"/>
      <c r="O322" s="318"/>
    </row>
    <row r="323" spans="1:16" s="325" customFormat="1" ht="17.25" customHeight="1" x14ac:dyDescent="0.25">
      <c r="A323" s="241">
        <v>45107</v>
      </c>
      <c r="B323" s="225" t="s">
        <v>319</v>
      </c>
      <c r="C323" s="242" t="s">
        <v>75</v>
      </c>
      <c r="D323" s="225"/>
      <c r="E323" s="225">
        <v>236000</v>
      </c>
      <c r="F323" s="291"/>
      <c r="G323" s="215">
        <f>+G322+E323-F323</f>
        <v>24612427</v>
      </c>
      <c r="H323" s="248" t="s">
        <v>303</v>
      </c>
      <c r="I323" s="315"/>
      <c r="J323" s="225"/>
      <c r="K323" s="225"/>
      <c r="L323" s="225"/>
      <c r="M323" s="246"/>
      <c r="N323" s="242"/>
      <c r="O323" s="317"/>
    </row>
    <row r="324" spans="1:16" s="325" customFormat="1" ht="17.25" customHeight="1" x14ac:dyDescent="0.25">
      <c r="A324" s="245">
        <v>45107</v>
      </c>
      <c r="B324" s="225" t="s">
        <v>479</v>
      </c>
      <c r="C324" s="242" t="s">
        <v>75</v>
      </c>
      <c r="D324" s="225"/>
      <c r="E324" s="215">
        <v>68000</v>
      </c>
      <c r="F324" s="251"/>
      <c r="G324" s="215">
        <f>+G323+E324-F324</f>
        <v>24680427</v>
      </c>
      <c r="H324" s="225" t="s">
        <v>31</v>
      </c>
      <c r="I324" s="225"/>
      <c r="J324" s="225"/>
      <c r="K324" s="225"/>
      <c r="L324" s="225"/>
      <c r="M324" s="246"/>
      <c r="N324" s="242"/>
      <c r="O324" s="317"/>
    </row>
    <row r="325" spans="1:16" s="325" customFormat="1" ht="17.25" customHeight="1" x14ac:dyDescent="0.25">
      <c r="A325" s="220">
        <v>45107</v>
      </c>
      <c r="B325" s="227" t="s">
        <v>496</v>
      </c>
      <c r="C325" s="242" t="s">
        <v>75</v>
      </c>
      <c r="D325" s="227"/>
      <c r="E325" s="196">
        <v>90000</v>
      </c>
      <c r="F325" s="314"/>
      <c r="G325" s="215">
        <f>+G324+E325-F325</f>
        <v>24770427</v>
      </c>
      <c r="H325" s="242" t="s">
        <v>143</v>
      </c>
      <c r="I325" s="316"/>
      <c r="J325" s="227"/>
      <c r="K325" s="227"/>
      <c r="L325" s="227"/>
      <c r="M325" s="227"/>
      <c r="N325" s="227"/>
      <c r="O325" s="318"/>
    </row>
    <row r="326" spans="1:16" s="325" customFormat="1" ht="17.25" customHeight="1" x14ac:dyDescent="0.25">
      <c r="A326" s="220">
        <v>45107</v>
      </c>
      <c r="B326" s="227" t="s">
        <v>684</v>
      </c>
      <c r="C326" s="242" t="s">
        <v>75</v>
      </c>
      <c r="D326" s="227"/>
      <c r="E326" s="196"/>
      <c r="F326" s="196">
        <v>90000</v>
      </c>
      <c r="G326" s="215">
        <f>+G325+E326-F326</f>
        <v>24680427</v>
      </c>
      <c r="H326" s="227" t="s">
        <v>29</v>
      </c>
      <c r="I326" s="227"/>
      <c r="J326" s="227"/>
      <c r="K326" s="227"/>
      <c r="L326" s="227"/>
      <c r="M326" s="227"/>
      <c r="N326" s="227"/>
      <c r="O326" s="318"/>
    </row>
    <row r="327" spans="1:16" s="325" customFormat="1" ht="17.25" customHeight="1" x14ac:dyDescent="0.25">
      <c r="A327" s="226">
        <v>45107</v>
      </c>
      <c r="B327" s="228" t="s">
        <v>498</v>
      </c>
      <c r="C327" s="312" t="s">
        <v>75</v>
      </c>
      <c r="D327" s="227"/>
      <c r="E327" s="228"/>
      <c r="F327" s="228">
        <v>130000</v>
      </c>
      <c r="G327" s="215">
        <f>+G326+E327-F327</f>
        <v>24550427</v>
      </c>
      <c r="H327" s="228" t="s">
        <v>29</v>
      </c>
      <c r="I327" s="227"/>
      <c r="J327" s="227"/>
      <c r="K327" s="227"/>
      <c r="L327" s="227"/>
      <c r="M327" s="227"/>
      <c r="N327" s="227"/>
      <c r="O327" s="319"/>
    </row>
    <row r="328" spans="1:16" s="325" customFormat="1" ht="17.25" customHeight="1" x14ac:dyDescent="0.25">
      <c r="A328" s="241">
        <v>45107</v>
      </c>
      <c r="B328" s="320" t="s">
        <v>529</v>
      </c>
      <c r="C328" s="321" t="s">
        <v>313</v>
      </c>
      <c r="D328" s="225" t="s">
        <v>154</v>
      </c>
      <c r="E328" s="322"/>
      <c r="F328" s="322">
        <v>14000</v>
      </c>
      <c r="G328" s="215">
        <f>+G327+E328-F328</f>
        <v>24536427</v>
      </c>
      <c r="H328" s="320" t="s">
        <v>304</v>
      </c>
      <c r="I328" s="225" t="s">
        <v>309</v>
      </c>
      <c r="J328" s="320" t="s">
        <v>290</v>
      </c>
      <c r="K328" s="320" t="s">
        <v>198</v>
      </c>
      <c r="L328" s="320" t="s">
        <v>536</v>
      </c>
      <c r="M328" s="320"/>
      <c r="N328" s="320"/>
    </row>
    <row r="329" spans="1:16" s="325" customFormat="1" ht="17.25" customHeight="1" x14ac:dyDescent="0.25">
      <c r="A329" s="241">
        <v>45107</v>
      </c>
      <c r="B329" s="320" t="s">
        <v>530</v>
      </c>
      <c r="C329" s="326" t="s">
        <v>34</v>
      </c>
      <c r="D329" s="225" t="s">
        <v>154</v>
      </c>
      <c r="E329" s="322"/>
      <c r="F329" s="322">
        <v>70500</v>
      </c>
      <c r="G329" s="215">
        <f>+G328+E329-F329</f>
        <v>24465927</v>
      </c>
      <c r="H329" s="320" t="s">
        <v>304</v>
      </c>
      <c r="I329" s="225" t="s">
        <v>309</v>
      </c>
      <c r="J329" s="320" t="s">
        <v>290</v>
      </c>
      <c r="K329" s="320" t="s">
        <v>198</v>
      </c>
      <c r="L329" s="320" t="s">
        <v>536</v>
      </c>
      <c r="M329" s="320"/>
      <c r="N329" s="320"/>
    </row>
    <row r="330" spans="1:16" s="325" customFormat="1" ht="17.25" customHeight="1" x14ac:dyDescent="0.25">
      <c r="A330" s="220">
        <v>45107</v>
      </c>
      <c r="B330" s="320" t="s">
        <v>531</v>
      </c>
      <c r="C330" s="312" t="s">
        <v>75</v>
      </c>
      <c r="D330" s="321"/>
      <c r="E330" s="322"/>
      <c r="F330" s="327">
        <v>40000</v>
      </c>
      <c r="G330" s="215">
        <f>+G329+E330-F330</f>
        <v>24425927</v>
      </c>
      <c r="H330" s="320" t="s">
        <v>304</v>
      </c>
      <c r="I330" s="320"/>
      <c r="J330" s="320"/>
      <c r="K330" s="320"/>
      <c r="L330" s="320"/>
      <c r="M330" s="320"/>
      <c r="N330" s="320"/>
    </row>
    <row r="331" spans="1:16" s="190" customFormat="1" ht="13.8" x14ac:dyDescent="0.25">
      <c r="A331" s="241">
        <v>45107</v>
      </c>
      <c r="B331" s="190" t="s">
        <v>685</v>
      </c>
      <c r="C331" s="190" t="s">
        <v>170</v>
      </c>
      <c r="D331" s="190" t="s">
        <v>2</v>
      </c>
      <c r="F331" s="190">
        <v>367336</v>
      </c>
      <c r="G331" s="215">
        <f>+G330+E331-F331</f>
        <v>24058591</v>
      </c>
      <c r="H331" s="190" t="s">
        <v>25</v>
      </c>
      <c r="I331" s="190" t="s">
        <v>307</v>
      </c>
      <c r="J331" s="190" t="s">
        <v>102</v>
      </c>
      <c r="K331" s="190" t="s">
        <v>199</v>
      </c>
      <c r="L331" s="190" t="s">
        <v>536</v>
      </c>
      <c r="M331" s="225" t="s">
        <v>732</v>
      </c>
      <c r="N331" s="242" t="s">
        <v>548</v>
      </c>
      <c r="P331" s="99"/>
    </row>
    <row r="332" spans="1:16" s="190" customFormat="1" ht="13.8" x14ac:dyDescent="0.25">
      <c r="A332" s="255">
        <v>45107</v>
      </c>
      <c r="B332" s="190" t="s">
        <v>689</v>
      </c>
      <c r="C332" s="221" t="s">
        <v>313</v>
      </c>
      <c r="D332" s="242" t="s">
        <v>155</v>
      </c>
      <c r="E332" s="215"/>
      <c r="F332" s="215">
        <v>100000</v>
      </c>
      <c r="G332" s="215">
        <f>+G331+E332-F332</f>
        <v>23958591</v>
      </c>
      <c r="H332" s="225" t="s">
        <v>31</v>
      </c>
      <c r="I332" s="225" t="s">
        <v>309</v>
      </c>
      <c r="J332" s="242" t="s">
        <v>290</v>
      </c>
      <c r="K332" s="242" t="s">
        <v>199</v>
      </c>
      <c r="L332" s="242" t="s">
        <v>536</v>
      </c>
      <c r="M332" s="225" t="s">
        <v>733</v>
      </c>
      <c r="N332" s="242" t="s">
        <v>558</v>
      </c>
      <c r="P332" s="99"/>
    </row>
    <row r="333" spans="1:16" s="190" customFormat="1" ht="13.8" x14ac:dyDescent="0.25">
      <c r="P333" s="99"/>
    </row>
    <row r="334" spans="1:16" s="190" customFormat="1" ht="13.8" x14ac:dyDescent="0.25">
      <c r="P334" s="99"/>
    </row>
    <row r="335" spans="1:16" s="190" customFormat="1" ht="13.8" x14ac:dyDescent="0.25">
      <c r="P335" s="99"/>
    </row>
    <row r="336" spans="1:16" s="190" customFormat="1" ht="13.8" x14ac:dyDescent="0.25">
      <c r="P336" s="99"/>
    </row>
    <row r="337" spans="16:16" s="190" customFormat="1" ht="13.8" x14ac:dyDescent="0.25">
      <c r="P337" s="99"/>
    </row>
    <row r="338" spans="16:16" s="190" customFormat="1" ht="13.8" x14ac:dyDescent="0.25">
      <c r="P338" s="99"/>
    </row>
    <row r="339" spans="16:16" s="190" customFormat="1" ht="13.8" x14ac:dyDescent="0.25">
      <c r="P339" s="99"/>
    </row>
    <row r="340" spans="16:16" s="190" customFormat="1" ht="13.8" x14ac:dyDescent="0.25">
      <c r="P340" s="99"/>
    </row>
    <row r="341" spans="16:16" s="190" customFormat="1" ht="13.8" x14ac:dyDescent="0.25">
      <c r="P341" s="99"/>
    </row>
    <row r="342" spans="16:16" s="190" customFormat="1" ht="13.8" x14ac:dyDescent="0.25">
      <c r="P342" s="99"/>
    </row>
    <row r="343" spans="16:16" s="190" customFormat="1" ht="13.8" x14ac:dyDescent="0.25">
      <c r="P343" s="99"/>
    </row>
    <row r="344" spans="16:16" s="190" customFormat="1" ht="13.8" x14ac:dyDescent="0.25">
      <c r="P344" s="99"/>
    </row>
    <row r="345" spans="16:16" s="190" customFormat="1" ht="13.8" x14ac:dyDescent="0.25">
      <c r="P345" s="99"/>
    </row>
    <row r="346" spans="16:16" s="190" customFormat="1" ht="13.8" x14ac:dyDescent="0.25">
      <c r="P346" s="99"/>
    </row>
    <row r="347" spans="16:16" s="190" customFormat="1" ht="13.8" x14ac:dyDescent="0.25">
      <c r="P347" s="99"/>
    </row>
    <row r="348" spans="16:16" s="190" customFormat="1" ht="13.8" x14ac:dyDescent="0.25">
      <c r="P348" s="99"/>
    </row>
    <row r="349" spans="16:16" s="190" customFormat="1" ht="13.8" x14ac:dyDescent="0.25">
      <c r="P349" s="99"/>
    </row>
    <row r="350" spans="16:16" s="190" customFormat="1" ht="13.8" x14ac:dyDescent="0.25">
      <c r="P350" s="99"/>
    </row>
    <row r="351" spans="16:16" s="190" customFormat="1" ht="13.8" x14ac:dyDescent="0.25">
      <c r="P351" s="99"/>
    </row>
    <row r="352" spans="16:16" s="190" customFormat="1" ht="13.8" x14ac:dyDescent="0.25">
      <c r="P352" s="99"/>
    </row>
    <row r="353" spans="16:16" s="190" customFormat="1" ht="13.8" x14ac:dyDescent="0.25">
      <c r="P353" s="99"/>
    </row>
    <row r="354" spans="16:16" s="190" customFormat="1" ht="13.8" x14ac:dyDescent="0.25">
      <c r="P354" s="99"/>
    </row>
    <row r="355" spans="16:16" s="190" customFormat="1" ht="13.8" x14ac:dyDescent="0.25">
      <c r="P355" s="99"/>
    </row>
    <row r="356" spans="16:16" s="190" customFormat="1" ht="13.8" x14ac:dyDescent="0.25">
      <c r="P356" s="99"/>
    </row>
    <row r="357" spans="16:16" s="190" customFormat="1" ht="13.8" x14ac:dyDescent="0.25">
      <c r="P357" s="99"/>
    </row>
    <row r="358" spans="16:16" s="190" customFormat="1" ht="13.8" x14ac:dyDescent="0.25">
      <c r="P358" s="99"/>
    </row>
    <row r="359" spans="16:16" s="190" customFormat="1" ht="13.8" x14ac:dyDescent="0.25">
      <c r="P359" s="99"/>
    </row>
    <row r="360" spans="16:16" s="190" customFormat="1" ht="13.8" x14ac:dyDescent="0.25">
      <c r="P360" s="99"/>
    </row>
    <row r="361" spans="16:16" s="190" customFormat="1" ht="13.8" x14ac:dyDescent="0.25">
      <c r="P361" s="99"/>
    </row>
    <row r="362" spans="16:16" s="190" customFormat="1" ht="13.8" x14ac:dyDescent="0.25">
      <c r="P362" s="99"/>
    </row>
    <row r="363" spans="16:16" s="190" customFormat="1" ht="13.8" x14ac:dyDescent="0.25">
      <c r="P363" s="99"/>
    </row>
    <row r="364" spans="16:16" s="190" customFormat="1" ht="13.8" x14ac:dyDescent="0.25">
      <c r="P364" s="99"/>
    </row>
    <row r="365" spans="16:16" s="190" customFormat="1" ht="13.8" x14ac:dyDescent="0.25">
      <c r="P365" s="99"/>
    </row>
    <row r="366" spans="16:16" s="190" customFormat="1" ht="13.8" x14ac:dyDescent="0.25">
      <c r="P366" s="99"/>
    </row>
    <row r="367" spans="16:16" s="190" customFormat="1" ht="13.8" x14ac:dyDescent="0.25">
      <c r="P367" s="99"/>
    </row>
    <row r="368" spans="16:16" s="190" customFormat="1" ht="13.8" x14ac:dyDescent="0.25">
      <c r="P368" s="99"/>
    </row>
    <row r="369" spans="16:16" s="190" customFormat="1" ht="13.8" x14ac:dyDescent="0.25">
      <c r="P369" s="99"/>
    </row>
    <row r="370" spans="16:16" s="190" customFormat="1" ht="13.8" x14ac:dyDescent="0.25">
      <c r="P370" s="99"/>
    </row>
    <row r="371" spans="16:16" s="190" customFormat="1" ht="13.8" x14ac:dyDescent="0.25">
      <c r="P371" s="99"/>
    </row>
    <row r="372" spans="16:16" s="190" customFormat="1" ht="13.8" x14ac:dyDescent="0.25">
      <c r="P372" s="99"/>
    </row>
    <row r="373" spans="16:16" s="190" customFormat="1" ht="13.8" x14ac:dyDescent="0.25">
      <c r="P373" s="99"/>
    </row>
    <row r="374" spans="16:16" s="190" customFormat="1" ht="13.8" x14ac:dyDescent="0.25">
      <c r="P374" s="99"/>
    </row>
    <row r="375" spans="16:16" s="190" customFormat="1" ht="13.8" x14ac:dyDescent="0.25">
      <c r="P375" s="99"/>
    </row>
    <row r="376" spans="16:16" s="190" customFormat="1" ht="13.8" x14ac:dyDescent="0.25">
      <c r="P376" s="99"/>
    </row>
    <row r="377" spans="16:16" s="190" customFormat="1" ht="13.8" x14ac:dyDescent="0.25">
      <c r="P377" s="99"/>
    </row>
    <row r="378" spans="16:16" s="190" customFormat="1" ht="13.8" x14ac:dyDescent="0.25">
      <c r="P378" s="99"/>
    </row>
    <row r="379" spans="16:16" s="190" customFormat="1" ht="13.8" x14ac:dyDescent="0.25">
      <c r="P379" s="99"/>
    </row>
    <row r="380" spans="16:16" s="190" customFormat="1" ht="13.8" x14ac:dyDescent="0.25">
      <c r="P380" s="99"/>
    </row>
    <row r="381" spans="16:16" s="190" customFormat="1" ht="13.8" x14ac:dyDescent="0.25">
      <c r="P381" s="99"/>
    </row>
    <row r="382" spans="16:16" s="190" customFormat="1" ht="13.8" x14ac:dyDescent="0.25">
      <c r="P382" s="99"/>
    </row>
    <row r="383" spans="16:16" s="190" customFormat="1" ht="13.8" x14ac:dyDescent="0.25">
      <c r="P383" s="99"/>
    </row>
    <row r="384" spans="16:16" s="190" customFormat="1" ht="13.8" x14ac:dyDescent="0.25">
      <c r="P384" s="99"/>
    </row>
    <row r="385" spans="16:16" s="190" customFormat="1" ht="13.8" x14ac:dyDescent="0.25">
      <c r="P385" s="99"/>
    </row>
    <row r="386" spans="16:16" s="190" customFormat="1" ht="13.8" x14ac:dyDescent="0.25">
      <c r="P386" s="99"/>
    </row>
    <row r="387" spans="16:16" s="190" customFormat="1" ht="13.8" x14ac:dyDescent="0.25">
      <c r="P387" s="99"/>
    </row>
    <row r="388" spans="16:16" s="190" customFormat="1" ht="13.8" x14ac:dyDescent="0.25">
      <c r="P388" s="99"/>
    </row>
    <row r="389" spans="16:16" s="190" customFormat="1" ht="13.8" x14ac:dyDescent="0.25">
      <c r="P389" s="99"/>
    </row>
    <row r="390" spans="16:16" s="190" customFormat="1" ht="13.8" x14ac:dyDescent="0.25">
      <c r="P390" s="99"/>
    </row>
    <row r="391" spans="16:16" s="190" customFormat="1" ht="13.8" x14ac:dyDescent="0.25">
      <c r="P391" s="99"/>
    </row>
    <row r="392" spans="16:16" s="190" customFormat="1" ht="13.8" x14ac:dyDescent="0.25">
      <c r="P392" s="99"/>
    </row>
    <row r="393" spans="16:16" s="190" customFormat="1" ht="13.8" x14ac:dyDescent="0.25">
      <c r="P393" s="99"/>
    </row>
    <row r="394" spans="16:16" s="190" customFormat="1" ht="13.8" x14ac:dyDescent="0.25">
      <c r="P394" s="99"/>
    </row>
    <row r="395" spans="16:16" s="190" customFormat="1" ht="13.8" x14ac:dyDescent="0.25">
      <c r="P395" s="99"/>
    </row>
    <row r="396" spans="16:16" s="190" customFormat="1" ht="13.8" x14ac:dyDescent="0.25">
      <c r="P396" s="99"/>
    </row>
    <row r="397" spans="16:16" s="190" customFormat="1" ht="13.8" x14ac:dyDescent="0.25">
      <c r="P397" s="99"/>
    </row>
    <row r="398" spans="16:16" s="190" customFormat="1" ht="13.8" x14ac:dyDescent="0.25">
      <c r="P398" s="99"/>
    </row>
    <row r="399" spans="16:16" s="190" customFormat="1" ht="13.8" x14ac:dyDescent="0.25">
      <c r="P399" s="99"/>
    </row>
    <row r="400" spans="16:16" s="190" customFormat="1" ht="13.8" x14ac:dyDescent="0.25">
      <c r="P400" s="99"/>
    </row>
    <row r="401" spans="16:16" s="190" customFormat="1" ht="13.8" x14ac:dyDescent="0.25">
      <c r="P401" s="99"/>
    </row>
    <row r="402" spans="16:16" s="190" customFormat="1" ht="13.8" x14ac:dyDescent="0.25">
      <c r="P402" s="99"/>
    </row>
    <row r="403" spans="16:16" s="190" customFormat="1" ht="13.8" x14ac:dyDescent="0.25">
      <c r="P403" s="99"/>
    </row>
    <row r="404" spans="16:16" s="190" customFormat="1" ht="13.8" x14ac:dyDescent="0.25">
      <c r="P404" s="99"/>
    </row>
    <row r="405" spans="16:16" s="190" customFormat="1" ht="13.8" x14ac:dyDescent="0.25">
      <c r="P405" s="99"/>
    </row>
    <row r="406" spans="16:16" s="190" customFormat="1" ht="13.8" x14ac:dyDescent="0.25">
      <c r="P406" s="99"/>
    </row>
    <row r="407" spans="16:16" s="190" customFormat="1" ht="13.8" x14ac:dyDescent="0.25">
      <c r="P407" s="99"/>
    </row>
    <row r="408" spans="16:16" s="190" customFormat="1" ht="13.8" x14ac:dyDescent="0.25">
      <c r="P408" s="99"/>
    </row>
    <row r="409" spans="16:16" s="190" customFormat="1" ht="13.8" x14ac:dyDescent="0.25">
      <c r="P409" s="99"/>
    </row>
    <row r="410" spans="16:16" s="190" customFormat="1" ht="13.8" x14ac:dyDescent="0.25">
      <c r="P410" s="99"/>
    </row>
    <row r="411" spans="16:16" s="190" customFormat="1" ht="13.8" x14ac:dyDescent="0.25">
      <c r="P411" s="99"/>
    </row>
    <row r="412" spans="16:16" s="190" customFormat="1" ht="13.8" x14ac:dyDescent="0.25">
      <c r="P412" s="99"/>
    </row>
    <row r="413" spans="16:16" s="190" customFormat="1" ht="13.8" x14ac:dyDescent="0.25">
      <c r="P413" s="99"/>
    </row>
    <row r="414" spans="16:16" s="190" customFormat="1" ht="13.8" x14ac:dyDescent="0.25">
      <c r="P414" s="99"/>
    </row>
    <row r="415" spans="16:16" s="190" customFormat="1" ht="13.8" x14ac:dyDescent="0.25">
      <c r="P415" s="99"/>
    </row>
    <row r="416" spans="16:16" s="190" customFormat="1" ht="13.8" x14ac:dyDescent="0.25">
      <c r="P416" s="99"/>
    </row>
    <row r="417" spans="16:16" s="190" customFormat="1" ht="13.8" x14ac:dyDescent="0.25">
      <c r="P417" s="99"/>
    </row>
    <row r="418" spans="16:16" s="190" customFormat="1" ht="13.8" x14ac:dyDescent="0.25">
      <c r="P418" s="99"/>
    </row>
    <row r="419" spans="16:16" s="190" customFormat="1" ht="13.8" x14ac:dyDescent="0.25">
      <c r="P419" s="99"/>
    </row>
    <row r="420" spans="16:16" s="190" customFormat="1" ht="13.8" x14ac:dyDescent="0.25">
      <c r="P420" s="99"/>
    </row>
    <row r="421" spans="16:16" s="190" customFormat="1" ht="13.8" x14ac:dyDescent="0.25">
      <c r="P421" s="99"/>
    </row>
    <row r="422" spans="16:16" s="190" customFormat="1" ht="13.8" x14ac:dyDescent="0.25">
      <c r="P422" s="99"/>
    </row>
    <row r="423" spans="16:16" s="190" customFormat="1" ht="13.8" x14ac:dyDescent="0.25">
      <c r="P423" s="99"/>
    </row>
    <row r="424" spans="16:16" s="190" customFormat="1" ht="13.8" x14ac:dyDescent="0.25">
      <c r="P424" s="99"/>
    </row>
    <row r="425" spans="16:16" s="190" customFormat="1" ht="13.8" x14ac:dyDescent="0.25">
      <c r="P425" s="99"/>
    </row>
    <row r="426" spans="16:16" s="190" customFormat="1" ht="13.8" x14ac:dyDescent="0.25">
      <c r="P426" s="99"/>
    </row>
    <row r="427" spans="16:16" s="190" customFormat="1" ht="13.8" x14ac:dyDescent="0.25">
      <c r="P427" s="99"/>
    </row>
    <row r="428" spans="16:16" s="190" customFormat="1" ht="13.8" x14ac:dyDescent="0.25">
      <c r="P428" s="99"/>
    </row>
    <row r="429" spans="16:16" s="190" customFormat="1" ht="13.8" x14ac:dyDescent="0.25">
      <c r="P429" s="99"/>
    </row>
    <row r="430" spans="16:16" s="190" customFormat="1" ht="13.8" x14ac:dyDescent="0.25">
      <c r="P430" s="99"/>
    </row>
    <row r="431" spans="16:16" s="190" customFormat="1" ht="13.8" x14ac:dyDescent="0.25">
      <c r="P431" s="99"/>
    </row>
    <row r="432" spans="16:16" s="190" customFormat="1" ht="13.8" x14ac:dyDescent="0.25">
      <c r="P432" s="99"/>
    </row>
    <row r="433" spans="16:16" s="190" customFormat="1" ht="13.8" x14ac:dyDescent="0.25">
      <c r="P433" s="99"/>
    </row>
    <row r="434" spans="16:16" s="190" customFormat="1" ht="13.8" x14ac:dyDescent="0.25">
      <c r="P434" s="99"/>
    </row>
    <row r="435" spans="16:16" s="190" customFormat="1" ht="13.8" x14ac:dyDescent="0.25">
      <c r="P435" s="99"/>
    </row>
    <row r="436" spans="16:16" s="190" customFormat="1" ht="13.8" x14ac:dyDescent="0.25">
      <c r="P436" s="99"/>
    </row>
    <row r="437" spans="16:16" s="190" customFormat="1" ht="13.8" x14ac:dyDescent="0.25">
      <c r="P437" s="99"/>
    </row>
    <row r="438" spans="16:16" s="190" customFormat="1" ht="13.8" x14ac:dyDescent="0.25">
      <c r="P438" s="99"/>
    </row>
    <row r="439" spans="16:16" s="190" customFormat="1" ht="13.8" x14ac:dyDescent="0.25">
      <c r="P439" s="99"/>
    </row>
    <row r="440" spans="16:16" s="190" customFormat="1" ht="13.8" x14ac:dyDescent="0.25">
      <c r="P440" s="99"/>
    </row>
    <row r="441" spans="16:16" s="190" customFormat="1" ht="13.8" x14ac:dyDescent="0.25">
      <c r="P441" s="99"/>
    </row>
    <row r="442" spans="16:16" s="190" customFormat="1" ht="13.8" x14ac:dyDescent="0.25">
      <c r="P442" s="99"/>
    </row>
    <row r="443" spans="16:16" s="190" customFormat="1" ht="13.8" x14ac:dyDescent="0.25">
      <c r="P443" s="99"/>
    </row>
    <row r="444" spans="16:16" s="190" customFormat="1" ht="13.8" x14ac:dyDescent="0.25">
      <c r="P444" s="99"/>
    </row>
    <row r="445" spans="16:16" s="190" customFormat="1" ht="13.8" x14ac:dyDescent="0.25">
      <c r="P445" s="99"/>
    </row>
    <row r="446" spans="16:16" s="190" customFormat="1" ht="13.8" x14ac:dyDescent="0.25">
      <c r="P446" s="99"/>
    </row>
    <row r="447" spans="16:16" s="190" customFormat="1" ht="13.8" x14ac:dyDescent="0.25">
      <c r="P447" s="99"/>
    </row>
    <row r="448" spans="16:16" s="190" customFormat="1" ht="13.8" x14ac:dyDescent="0.25">
      <c r="P448" s="219"/>
    </row>
    <row r="449" spans="16:16" s="190" customFormat="1" ht="13.8" x14ac:dyDescent="0.25">
      <c r="P449" s="219"/>
    </row>
    <row r="450" spans="16:16" s="190" customFormat="1" ht="13.8" x14ac:dyDescent="0.25">
      <c r="P450" s="219"/>
    </row>
    <row r="451" spans="16:16" s="190" customFormat="1" ht="13.8" x14ac:dyDescent="0.25">
      <c r="P451" s="219"/>
    </row>
    <row r="452" spans="16:16" s="190" customFormat="1" ht="13.8" x14ac:dyDescent="0.25">
      <c r="P452" s="219"/>
    </row>
    <row r="453" spans="16:16" s="190" customFormat="1" ht="13.8" x14ac:dyDescent="0.25">
      <c r="P453" s="219"/>
    </row>
    <row r="454" spans="16:16" s="190" customFormat="1" ht="13.8" x14ac:dyDescent="0.25">
      <c r="P454" s="219"/>
    </row>
    <row r="455" spans="16:16" s="190" customFormat="1" ht="13.8" x14ac:dyDescent="0.25">
      <c r="P455" s="219"/>
    </row>
    <row r="456" spans="16:16" s="190" customFormat="1" ht="13.8" x14ac:dyDescent="0.25">
      <c r="P456" s="219"/>
    </row>
    <row r="457" spans="16:16" s="190" customFormat="1" ht="13.8" x14ac:dyDescent="0.25">
      <c r="P457" s="219"/>
    </row>
    <row r="458" spans="16:16" s="190" customFormat="1" ht="13.8" x14ac:dyDescent="0.25">
      <c r="P458" s="219"/>
    </row>
    <row r="459" spans="16:16" s="190" customFormat="1" ht="13.8" x14ac:dyDescent="0.25">
      <c r="P459" s="219"/>
    </row>
    <row r="460" spans="16:16" s="190" customFormat="1" ht="13.8" x14ac:dyDescent="0.25">
      <c r="P460" s="219"/>
    </row>
    <row r="461" spans="16:16" s="190" customFormat="1" ht="13.8" x14ac:dyDescent="0.25">
      <c r="P461" s="219"/>
    </row>
    <row r="462" spans="16:16" s="190" customFormat="1" ht="13.8" x14ac:dyDescent="0.25">
      <c r="P462" s="219"/>
    </row>
    <row r="463" spans="16:16" s="190" customFormat="1" ht="13.8" x14ac:dyDescent="0.25">
      <c r="P463" s="219"/>
    </row>
    <row r="464" spans="16:16" s="190" customFormat="1" ht="13.8" x14ac:dyDescent="0.25">
      <c r="P464" s="219"/>
    </row>
    <row r="465" spans="16:16" s="190" customFormat="1" ht="13.8" x14ac:dyDescent="0.25">
      <c r="P465" s="219"/>
    </row>
    <row r="466" spans="16:16" s="190" customFormat="1" ht="13.8" x14ac:dyDescent="0.25">
      <c r="P466" s="219"/>
    </row>
    <row r="467" spans="16:16" s="190" customFormat="1" ht="13.8" x14ac:dyDescent="0.25">
      <c r="P467" s="219"/>
    </row>
    <row r="468" spans="16:16" s="190" customFormat="1" ht="13.8" x14ac:dyDescent="0.25">
      <c r="P468" s="219"/>
    </row>
    <row r="469" spans="16:16" s="190" customFormat="1" ht="13.8" x14ac:dyDescent="0.25">
      <c r="P469" s="219"/>
    </row>
    <row r="470" spans="16:16" s="190" customFormat="1" ht="13.8" x14ac:dyDescent="0.25">
      <c r="P470" s="219"/>
    </row>
    <row r="471" spans="16:16" s="190" customFormat="1" ht="13.8" x14ac:dyDescent="0.25">
      <c r="P471" s="219"/>
    </row>
    <row r="472" spans="16:16" s="190" customFormat="1" ht="13.8" x14ac:dyDescent="0.25">
      <c r="P472" s="219"/>
    </row>
    <row r="473" spans="16:16" s="190" customFormat="1" ht="13.8" x14ac:dyDescent="0.25">
      <c r="P473" s="219"/>
    </row>
    <row r="474" spans="16:16" s="190" customFormat="1" ht="13.8" x14ac:dyDescent="0.25">
      <c r="P474" s="219"/>
    </row>
    <row r="475" spans="16:16" s="190" customFormat="1" ht="13.8" x14ac:dyDescent="0.25">
      <c r="P475" s="219"/>
    </row>
    <row r="476" spans="16:16" s="190" customFormat="1" ht="13.8" x14ac:dyDescent="0.25">
      <c r="P476" s="219"/>
    </row>
    <row r="477" spans="16:16" s="190" customFormat="1" ht="13.8" x14ac:dyDescent="0.25">
      <c r="P477" s="219"/>
    </row>
    <row r="478" spans="16:16" s="190" customFormat="1" ht="13.8" x14ac:dyDescent="0.25">
      <c r="P478" s="219"/>
    </row>
    <row r="479" spans="16:16" s="190" customFormat="1" ht="13.8" x14ac:dyDescent="0.25">
      <c r="P479" s="219"/>
    </row>
    <row r="480" spans="16:16" s="190" customFormat="1" ht="13.8" x14ac:dyDescent="0.25">
      <c r="P480" s="219"/>
    </row>
    <row r="481" spans="16:16" s="190" customFormat="1" ht="13.8" x14ac:dyDescent="0.25">
      <c r="P481" s="219"/>
    </row>
    <row r="482" spans="16:16" s="190" customFormat="1" ht="13.8" x14ac:dyDescent="0.25">
      <c r="P482" s="219"/>
    </row>
    <row r="483" spans="16:16" s="190" customFormat="1" ht="13.8" x14ac:dyDescent="0.25">
      <c r="P483" s="219"/>
    </row>
    <row r="484" spans="16:16" s="190" customFormat="1" ht="13.8" x14ac:dyDescent="0.25">
      <c r="P484" s="219"/>
    </row>
    <row r="485" spans="16:16" s="190" customFormat="1" ht="13.8" x14ac:dyDescent="0.25">
      <c r="P485" s="219"/>
    </row>
    <row r="486" spans="16:16" s="190" customFormat="1" ht="13.8" x14ac:dyDescent="0.25">
      <c r="P486" s="219"/>
    </row>
    <row r="487" spans="16:16" s="190" customFormat="1" ht="13.8" x14ac:dyDescent="0.25">
      <c r="P487" s="219"/>
    </row>
    <row r="488" spans="16:16" s="190" customFormat="1" ht="13.8" x14ac:dyDescent="0.25">
      <c r="P488" s="219"/>
    </row>
    <row r="489" spans="16:16" s="190" customFormat="1" ht="13.8" x14ac:dyDescent="0.25">
      <c r="P489" s="219"/>
    </row>
    <row r="490" spans="16:16" s="190" customFormat="1" ht="13.8" x14ac:dyDescent="0.25">
      <c r="P490" s="219"/>
    </row>
    <row r="491" spans="16:16" s="190" customFormat="1" ht="13.8" x14ac:dyDescent="0.25">
      <c r="P491" s="219"/>
    </row>
    <row r="492" spans="16:16" s="190" customFormat="1" ht="13.8" x14ac:dyDescent="0.25">
      <c r="P492" s="219"/>
    </row>
    <row r="493" spans="16:16" s="190" customFormat="1" ht="13.8" x14ac:dyDescent="0.25">
      <c r="P493" s="219"/>
    </row>
    <row r="494" spans="16:16" s="190" customFormat="1" ht="13.8" x14ac:dyDescent="0.25">
      <c r="P494" s="219"/>
    </row>
    <row r="495" spans="16:16" s="190" customFormat="1" ht="13.8" x14ac:dyDescent="0.25">
      <c r="P495" s="219"/>
    </row>
    <row r="496" spans="16:16" s="190" customFormat="1" ht="13.8" x14ac:dyDescent="0.25">
      <c r="P496" s="219"/>
    </row>
    <row r="497" spans="16:16" s="190" customFormat="1" ht="13.8" x14ac:dyDescent="0.25">
      <c r="P497" s="219"/>
    </row>
    <row r="498" spans="16:16" s="190" customFormat="1" ht="13.8" x14ac:dyDescent="0.25">
      <c r="P498" s="219"/>
    </row>
    <row r="499" spans="16:16" s="190" customFormat="1" ht="13.8" x14ac:dyDescent="0.25">
      <c r="P499" s="219"/>
    </row>
    <row r="500" spans="16:16" s="190" customFormat="1" ht="13.8" x14ac:dyDescent="0.25">
      <c r="P500" s="219"/>
    </row>
    <row r="501" spans="16:16" s="190" customFormat="1" ht="13.8" x14ac:dyDescent="0.25">
      <c r="P501" s="219"/>
    </row>
    <row r="502" spans="16:16" s="190" customFormat="1" ht="13.8" x14ac:dyDescent="0.25">
      <c r="P502" s="219"/>
    </row>
    <row r="503" spans="16:16" s="190" customFormat="1" ht="13.8" x14ac:dyDescent="0.25">
      <c r="P503" s="219"/>
    </row>
    <row r="504" spans="16:16" s="190" customFormat="1" ht="13.8" x14ac:dyDescent="0.25">
      <c r="P504" s="219"/>
    </row>
    <row r="505" spans="16:16" s="190" customFormat="1" ht="13.8" x14ac:dyDescent="0.25">
      <c r="P505" s="219"/>
    </row>
    <row r="506" spans="16:16" s="190" customFormat="1" ht="13.8" x14ac:dyDescent="0.25">
      <c r="P506" s="219"/>
    </row>
    <row r="507" spans="16:16" s="190" customFormat="1" ht="13.8" x14ac:dyDescent="0.25">
      <c r="P507" s="219"/>
    </row>
    <row r="508" spans="16:16" s="190" customFormat="1" ht="13.8" x14ac:dyDescent="0.25">
      <c r="P508" s="219"/>
    </row>
    <row r="509" spans="16:16" s="190" customFormat="1" ht="13.8" x14ac:dyDescent="0.25">
      <c r="P509" s="219"/>
    </row>
    <row r="510" spans="16:16" s="190" customFormat="1" ht="13.8" x14ac:dyDescent="0.25">
      <c r="P510" s="219"/>
    </row>
    <row r="511" spans="16:16" s="190" customFormat="1" ht="13.8" x14ac:dyDescent="0.25">
      <c r="P511" s="219"/>
    </row>
    <row r="512" spans="16:16" s="190" customFormat="1" ht="13.8" x14ac:dyDescent="0.25">
      <c r="P512" s="219"/>
    </row>
    <row r="513" spans="16:16" s="190" customFormat="1" ht="13.8" x14ac:dyDescent="0.25">
      <c r="P513" s="219"/>
    </row>
    <row r="514" spans="16:16" s="190" customFormat="1" ht="13.8" x14ac:dyDescent="0.25">
      <c r="P514" s="219"/>
    </row>
    <row r="515" spans="16:16" s="190" customFormat="1" ht="13.8" x14ac:dyDescent="0.25">
      <c r="P515" s="219"/>
    </row>
    <row r="516" spans="16:16" s="190" customFormat="1" ht="13.8" x14ac:dyDescent="0.25">
      <c r="P516" s="219"/>
    </row>
    <row r="517" spans="16:16" s="190" customFormat="1" ht="13.8" x14ac:dyDescent="0.25">
      <c r="P517" s="219"/>
    </row>
    <row r="518" spans="16:16" s="190" customFormat="1" ht="13.8" x14ac:dyDescent="0.25">
      <c r="P518" s="219"/>
    </row>
    <row r="519" spans="16:16" s="190" customFormat="1" ht="13.8" x14ac:dyDescent="0.25">
      <c r="P519" s="219"/>
    </row>
    <row r="520" spans="16:16" s="190" customFormat="1" ht="13.8" x14ac:dyDescent="0.25">
      <c r="P520" s="219"/>
    </row>
    <row r="521" spans="16:16" s="190" customFormat="1" ht="13.8" x14ac:dyDescent="0.25">
      <c r="P521" s="219"/>
    </row>
    <row r="522" spans="16:16" s="190" customFormat="1" ht="13.8" x14ac:dyDescent="0.25">
      <c r="P522" s="219"/>
    </row>
    <row r="523" spans="16:16" s="190" customFormat="1" ht="13.8" x14ac:dyDescent="0.25">
      <c r="P523" s="219"/>
    </row>
    <row r="524" spans="16:16" s="190" customFormat="1" ht="13.8" x14ac:dyDescent="0.25">
      <c r="P524" s="219"/>
    </row>
    <row r="525" spans="16:16" s="190" customFormat="1" ht="13.8" x14ac:dyDescent="0.25">
      <c r="P525" s="219"/>
    </row>
    <row r="526" spans="16:16" s="190" customFormat="1" ht="13.8" x14ac:dyDescent="0.25">
      <c r="P526" s="219"/>
    </row>
    <row r="527" spans="16:16" s="190" customFormat="1" ht="13.8" x14ac:dyDescent="0.25">
      <c r="P527" s="219"/>
    </row>
    <row r="528" spans="16:16" s="190" customFormat="1" ht="13.8" x14ac:dyDescent="0.25">
      <c r="P528" s="219"/>
    </row>
    <row r="529" spans="16:16" s="190" customFormat="1" ht="13.8" x14ac:dyDescent="0.25">
      <c r="P529" s="219"/>
    </row>
    <row r="530" spans="16:16" s="190" customFormat="1" ht="13.8" x14ac:dyDescent="0.25">
      <c r="P530" s="219"/>
    </row>
    <row r="531" spans="16:16" s="190" customFormat="1" ht="13.8" x14ac:dyDescent="0.25">
      <c r="P531" s="219"/>
    </row>
    <row r="532" spans="16:16" s="190" customFormat="1" ht="13.8" x14ac:dyDescent="0.25">
      <c r="P532" s="219"/>
    </row>
    <row r="533" spans="16:16" s="190" customFormat="1" ht="13.8" x14ac:dyDescent="0.25">
      <c r="P533" s="219"/>
    </row>
    <row r="534" spans="16:16" s="190" customFormat="1" ht="13.8" x14ac:dyDescent="0.25">
      <c r="P534" s="219"/>
    </row>
    <row r="535" spans="16:16" s="190" customFormat="1" ht="13.8" x14ac:dyDescent="0.25">
      <c r="P535" s="219"/>
    </row>
    <row r="536" spans="16:16" s="190" customFormat="1" ht="13.8" x14ac:dyDescent="0.25">
      <c r="P536" s="219"/>
    </row>
    <row r="537" spans="16:16" s="190" customFormat="1" ht="13.8" x14ac:dyDescent="0.25">
      <c r="P537" s="219"/>
    </row>
    <row r="538" spans="16:16" s="190" customFormat="1" ht="13.8" x14ac:dyDescent="0.25">
      <c r="P538" s="219"/>
    </row>
    <row r="539" spans="16:16" s="190" customFormat="1" ht="13.8" x14ac:dyDescent="0.25">
      <c r="P539" s="219"/>
    </row>
    <row r="540" spans="16:16" s="190" customFormat="1" ht="13.8" x14ac:dyDescent="0.25">
      <c r="P540" s="219"/>
    </row>
    <row r="541" spans="16:16" s="190" customFormat="1" ht="13.8" x14ac:dyDescent="0.25">
      <c r="P541" s="219"/>
    </row>
    <row r="542" spans="16:16" s="190" customFormat="1" ht="13.8" x14ac:dyDescent="0.25">
      <c r="P542" s="219"/>
    </row>
    <row r="543" spans="16:16" s="190" customFormat="1" ht="13.8" x14ac:dyDescent="0.25">
      <c r="P543" s="219"/>
    </row>
    <row r="544" spans="16:16" s="190" customFormat="1" ht="13.8" x14ac:dyDescent="0.25">
      <c r="P544" s="219"/>
    </row>
    <row r="545" spans="16:16" s="190" customFormat="1" ht="13.8" x14ac:dyDescent="0.25">
      <c r="P545" s="219"/>
    </row>
    <row r="546" spans="16:16" s="190" customFormat="1" ht="13.8" x14ac:dyDescent="0.25">
      <c r="P546" s="219"/>
    </row>
    <row r="547" spans="16:16" s="190" customFormat="1" ht="13.8" x14ac:dyDescent="0.25">
      <c r="P547" s="219"/>
    </row>
    <row r="548" spans="16:16" s="190" customFormat="1" ht="13.8" x14ac:dyDescent="0.25">
      <c r="P548" s="219"/>
    </row>
    <row r="549" spans="16:16" s="190" customFormat="1" ht="13.8" x14ac:dyDescent="0.25">
      <c r="P549" s="219"/>
    </row>
    <row r="550" spans="16:16" s="190" customFormat="1" ht="13.8" x14ac:dyDescent="0.25">
      <c r="P550" s="219"/>
    </row>
    <row r="551" spans="16:16" s="190" customFormat="1" ht="13.8" x14ac:dyDescent="0.25">
      <c r="P551" s="219"/>
    </row>
    <row r="552" spans="16:16" s="190" customFormat="1" ht="13.8" x14ac:dyDescent="0.25">
      <c r="P552" s="219"/>
    </row>
    <row r="553" spans="16:16" s="190" customFormat="1" ht="13.8" x14ac:dyDescent="0.25">
      <c r="P553" s="219"/>
    </row>
    <row r="554" spans="16:16" s="190" customFormat="1" ht="13.8" x14ac:dyDescent="0.25">
      <c r="P554" s="219"/>
    </row>
    <row r="555" spans="16:16" s="190" customFormat="1" ht="13.8" x14ac:dyDescent="0.25">
      <c r="P555" s="219"/>
    </row>
    <row r="556" spans="16:16" s="190" customFormat="1" ht="13.8" x14ac:dyDescent="0.25">
      <c r="P556" s="219"/>
    </row>
    <row r="557" spans="16:16" s="190" customFormat="1" ht="13.8" x14ac:dyDescent="0.25">
      <c r="P557" s="219"/>
    </row>
    <row r="558" spans="16:16" s="190" customFormat="1" ht="13.8" x14ac:dyDescent="0.25">
      <c r="P558" s="219"/>
    </row>
    <row r="559" spans="16:16" s="190" customFormat="1" ht="13.8" x14ac:dyDescent="0.25">
      <c r="P559" s="219"/>
    </row>
    <row r="560" spans="16:16" s="190" customFormat="1" ht="13.8" x14ac:dyDescent="0.25">
      <c r="P560" s="219"/>
    </row>
    <row r="561" spans="16:16" s="190" customFormat="1" ht="13.8" x14ac:dyDescent="0.25">
      <c r="P561" s="219"/>
    </row>
    <row r="562" spans="16:16" s="190" customFormat="1" ht="13.8" x14ac:dyDescent="0.25">
      <c r="P562" s="219"/>
    </row>
    <row r="563" spans="16:16" s="190" customFormat="1" ht="13.8" x14ac:dyDescent="0.25">
      <c r="P563" s="219"/>
    </row>
    <row r="564" spans="16:16" s="190" customFormat="1" ht="13.8" x14ac:dyDescent="0.25">
      <c r="P564" s="219"/>
    </row>
    <row r="565" spans="16:16" s="190" customFormat="1" ht="13.8" x14ac:dyDescent="0.25">
      <c r="P565" s="219"/>
    </row>
    <row r="566" spans="16:16" s="190" customFormat="1" ht="13.8" x14ac:dyDescent="0.25">
      <c r="P566" s="219"/>
    </row>
    <row r="567" spans="16:16" s="190" customFormat="1" ht="13.8" x14ac:dyDescent="0.25">
      <c r="P567" s="219"/>
    </row>
    <row r="568" spans="16:16" s="190" customFormat="1" ht="13.8" x14ac:dyDescent="0.25">
      <c r="P568" s="219"/>
    </row>
    <row r="569" spans="16:16" s="190" customFormat="1" ht="13.8" x14ac:dyDescent="0.25">
      <c r="P569" s="219"/>
    </row>
    <row r="570" spans="16:16" s="190" customFormat="1" ht="13.8" x14ac:dyDescent="0.25">
      <c r="P570" s="219"/>
    </row>
    <row r="571" spans="16:16" s="190" customFormat="1" ht="13.8" x14ac:dyDescent="0.25">
      <c r="P571" s="219"/>
    </row>
    <row r="572" spans="16:16" s="190" customFormat="1" ht="13.8" x14ac:dyDescent="0.25">
      <c r="P572" s="219"/>
    </row>
    <row r="573" spans="16:16" s="190" customFormat="1" ht="13.8" x14ac:dyDescent="0.25">
      <c r="P573" s="219"/>
    </row>
    <row r="574" spans="16:16" s="190" customFormat="1" ht="13.8" x14ac:dyDescent="0.25">
      <c r="P574" s="219"/>
    </row>
    <row r="575" spans="16:16" s="190" customFormat="1" ht="13.8" x14ac:dyDescent="0.25">
      <c r="P575" s="219"/>
    </row>
    <row r="576" spans="16:16" s="190" customFormat="1" ht="13.8" x14ac:dyDescent="0.25">
      <c r="P576" s="219"/>
    </row>
    <row r="577" spans="16:16" s="190" customFormat="1" ht="13.8" x14ac:dyDescent="0.25">
      <c r="P577" s="219"/>
    </row>
    <row r="578" spans="16:16" s="190" customFormat="1" ht="13.8" x14ac:dyDescent="0.25">
      <c r="P578" s="219"/>
    </row>
    <row r="579" spans="16:16" s="190" customFormat="1" ht="13.8" x14ac:dyDescent="0.25">
      <c r="P579" s="219"/>
    </row>
    <row r="580" spans="16:16" s="190" customFormat="1" ht="13.8" x14ac:dyDescent="0.25">
      <c r="P580" s="219"/>
    </row>
    <row r="581" spans="16:16" s="190" customFormat="1" ht="13.8" x14ac:dyDescent="0.25">
      <c r="P581" s="219"/>
    </row>
    <row r="582" spans="16:16" s="190" customFormat="1" ht="13.8" x14ac:dyDescent="0.25">
      <c r="P582" s="219"/>
    </row>
    <row r="583" spans="16:16" s="190" customFormat="1" ht="13.8" x14ac:dyDescent="0.25">
      <c r="P583" s="219"/>
    </row>
    <row r="584" spans="16:16" s="190" customFormat="1" ht="13.8" x14ac:dyDescent="0.25">
      <c r="P584" s="219"/>
    </row>
    <row r="585" spans="16:16" s="190" customFormat="1" ht="13.8" x14ac:dyDescent="0.25">
      <c r="P585" s="219"/>
    </row>
    <row r="586" spans="16:16" s="190" customFormat="1" ht="13.8" x14ac:dyDescent="0.25">
      <c r="P586" s="219"/>
    </row>
    <row r="587" spans="16:16" s="190" customFormat="1" ht="13.8" x14ac:dyDescent="0.25">
      <c r="P587" s="219"/>
    </row>
    <row r="588" spans="16:16" s="190" customFormat="1" ht="13.8" x14ac:dyDescent="0.25">
      <c r="P588" s="219"/>
    </row>
    <row r="589" spans="16:16" s="190" customFormat="1" ht="13.8" x14ac:dyDescent="0.25">
      <c r="P589" s="219"/>
    </row>
    <row r="590" spans="16:16" s="190" customFormat="1" ht="13.8" x14ac:dyDescent="0.25">
      <c r="P590" s="219"/>
    </row>
    <row r="591" spans="16:16" s="190" customFormat="1" ht="13.8" x14ac:dyDescent="0.25">
      <c r="P591" s="219"/>
    </row>
    <row r="592" spans="16:16" s="190" customFormat="1" ht="13.8" x14ac:dyDescent="0.25">
      <c r="P592" s="219"/>
    </row>
    <row r="593" spans="16:16" s="190" customFormat="1" ht="13.8" x14ac:dyDescent="0.25">
      <c r="P593" s="219"/>
    </row>
    <row r="594" spans="16:16" s="190" customFormat="1" ht="13.8" x14ac:dyDescent="0.25">
      <c r="P594" s="219"/>
    </row>
    <row r="595" spans="16:16" s="190" customFormat="1" ht="13.8" x14ac:dyDescent="0.25">
      <c r="P595" s="219"/>
    </row>
    <row r="596" spans="16:16" s="190" customFormat="1" ht="13.8" x14ac:dyDescent="0.25">
      <c r="P596" s="219"/>
    </row>
    <row r="597" spans="16:16" s="190" customFormat="1" ht="13.8" x14ac:dyDescent="0.25">
      <c r="P597" s="219"/>
    </row>
    <row r="598" spans="16:16" s="190" customFormat="1" ht="13.8" x14ac:dyDescent="0.25">
      <c r="P598" s="219"/>
    </row>
    <row r="599" spans="16:16" s="190" customFormat="1" ht="13.8" x14ac:dyDescent="0.25">
      <c r="P599" s="219"/>
    </row>
    <row r="600" spans="16:16" s="190" customFormat="1" ht="13.8" x14ac:dyDescent="0.25">
      <c r="P600" s="219"/>
    </row>
    <row r="601" spans="16:16" s="190" customFormat="1" ht="13.8" x14ac:dyDescent="0.25">
      <c r="P601" s="219"/>
    </row>
    <row r="602" spans="16:16" s="190" customFormat="1" ht="13.8" x14ac:dyDescent="0.25">
      <c r="P602" s="219"/>
    </row>
    <row r="603" spans="16:16" s="190" customFormat="1" ht="13.8" x14ac:dyDescent="0.25">
      <c r="P603" s="219"/>
    </row>
    <row r="604" spans="16:16" s="190" customFormat="1" ht="13.8" x14ac:dyDescent="0.25">
      <c r="P604" s="219"/>
    </row>
    <row r="605" spans="16:16" s="190" customFormat="1" ht="13.8" x14ac:dyDescent="0.25">
      <c r="P605" s="219"/>
    </row>
    <row r="606" spans="16:16" s="190" customFormat="1" ht="13.8" x14ac:dyDescent="0.25">
      <c r="P606" s="219"/>
    </row>
    <row r="607" spans="16:16" s="190" customFormat="1" ht="13.8" x14ac:dyDescent="0.25">
      <c r="P607" s="219"/>
    </row>
    <row r="608" spans="16:16" s="190" customFormat="1" ht="13.8" x14ac:dyDescent="0.25">
      <c r="P608" s="219"/>
    </row>
    <row r="609" spans="16:16" s="190" customFormat="1" ht="13.8" x14ac:dyDescent="0.25">
      <c r="P609" s="219"/>
    </row>
    <row r="610" spans="16:16" s="190" customFormat="1" ht="13.8" x14ac:dyDescent="0.25">
      <c r="P610" s="219"/>
    </row>
    <row r="611" spans="16:16" s="190" customFormat="1" ht="13.8" x14ac:dyDescent="0.25">
      <c r="P611" s="219"/>
    </row>
    <row r="612" spans="16:16" s="190" customFormat="1" ht="13.8" x14ac:dyDescent="0.25">
      <c r="P612" s="219"/>
    </row>
    <row r="613" spans="16:16" s="190" customFormat="1" ht="13.8" x14ac:dyDescent="0.25">
      <c r="P613" s="219"/>
    </row>
    <row r="614" spans="16:16" s="190" customFormat="1" ht="13.8" x14ac:dyDescent="0.25">
      <c r="P614" s="219"/>
    </row>
    <row r="615" spans="16:16" s="190" customFormat="1" ht="13.8" x14ac:dyDescent="0.25">
      <c r="P615" s="219"/>
    </row>
    <row r="616" spans="16:16" s="190" customFormat="1" ht="13.8" x14ac:dyDescent="0.25">
      <c r="P616" s="219"/>
    </row>
    <row r="617" spans="16:16" s="190" customFormat="1" ht="13.8" x14ac:dyDescent="0.25">
      <c r="P617" s="219"/>
    </row>
    <row r="618" spans="16:16" s="190" customFormat="1" ht="13.8" x14ac:dyDescent="0.25">
      <c r="P618" s="219"/>
    </row>
    <row r="619" spans="16:16" s="190" customFormat="1" ht="13.8" x14ac:dyDescent="0.25">
      <c r="P619" s="219"/>
    </row>
    <row r="620" spans="16:16" s="190" customFormat="1" ht="13.8" x14ac:dyDescent="0.25">
      <c r="P620" s="219"/>
    </row>
    <row r="621" spans="16:16" s="190" customFormat="1" ht="13.8" x14ac:dyDescent="0.25">
      <c r="P621" s="219"/>
    </row>
    <row r="622" spans="16:16" s="190" customFormat="1" ht="13.8" x14ac:dyDescent="0.25">
      <c r="P622" s="219"/>
    </row>
    <row r="623" spans="16:16" s="190" customFormat="1" ht="13.8" x14ac:dyDescent="0.25">
      <c r="P623" s="219"/>
    </row>
    <row r="624" spans="16:16" s="190" customFormat="1" ht="13.8" x14ac:dyDescent="0.25">
      <c r="P624" s="219"/>
    </row>
    <row r="625" spans="16:16" s="190" customFormat="1" ht="13.8" x14ac:dyDescent="0.25">
      <c r="P625" s="219"/>
    </row>
    <row r="626" spans="16:16" s="190" customFormat="1" ht="13.8" x14ac:dyDescent="0.25">
      <c r="P626" s="219"/>
    </row>
    <row r="627" spans="16:16" s="190" customFormat="1" ht="13.8" x14ac:dyDescent="0.25">
      <c r="P627" s="219"/>
    </row>
    <row r="628" spans="16:16" s="190" customFormat="1" ht="13.8" x14ac:dyDescent="0.25">
      <c r="P628" s="219"/>
    </row>
    <row r="629" spans="16:16" s="190" customFormat="1" ht="13.8" x14ac:dyDescent="0.25">
      <c r="P629" s="219"/>
    </row>
    <row r="630" spans="16:16" s="190" customFormat="1" ht="13.8" x14ac:dyDescent="0.25">
      <c r="P630" s="219"/>
    </row>
    <row r="631" spans="16:16" s="190" customFormat="1" ht="13.8" x14ac:dyDescent="0.25">
      <c r="P631" s="219"/>
    </row>
    <row r="632" spans="16:16" s="190" customFormat="1" ht="13.8" x14ac:dyDescent="0.25">
      <c r="P632" s="219"/>
    </row>
    <row r="633" spans="16:16" s="190" customFormat="1" ht="13.8" x14ac:dyDescent="0.25">
      <c r="P633" s="219"/>
    </row>
    <row r="634" spans="16:16" s="190" customFormat="1" ht="13.8" x14ac:dyDescent="0.25">
      <c r="P634" s="219"/>
    </row>
    <row r="635" spans="16:16" s="190" customFormat="1" ht="13.8" x14ac:dyDescent="0.25">
      <c r="P635" s="219"/>
    </row>
    <row r="636" spans="16:16" s="190" customFormat="1" ht="13.8" x14ac:dyDescent="0.25">
      <c r="P636" s="219"/>
    </row>
    <row r="637" spans="16:16" s="190" customFormat="1" ht="13.8" x14ac:dyDescent="0.25">
      <c r="P637" s="219"/>
    </row>
    <row r="638" spans="16:16" s="190" customFormat="1" ht="13.8" x14ac:dyDescent="0.25">
      <c r="P638" s="219"/>
    </row>
    <row r="639" spans="16:16" s="190" customFormat="1" ht="13.8" x14ac:dyDescent="0.25">
      <c r="P639" s="219"/>
    </row>
    <row r="640" spans="16:16" s="190" customFormat="1" ht="13.8" x14ac:dyDescent="0.25">
      <c r="P640" s="219"/>
    </row>
    <row r="641" spans="16:16" s="190" customFormat="1" ht="13.8" x14ac:dyDescent="0.25">
      <c r="P641" s="219"/>
    </row>
    <row r="642" spans="16:16" s="190" customFormat="1" ht="13.8" x14ac:dyDescent="0.25">
      <c r="P642" s="219"/>
    </row>
    <row r="643" spans="16:16" s="190" customFormat="1" ht="13.8" x14ac:dyDescent="0.25">
      <c r="P643" s="219"/>
    </row>
    <row r="644" spans="16:16" s="190" customFormat="1" ht="13.8" x14ac:dyDescent="0.25">
      <c r="P644" s="219"/>
    </row>
    <row r="645" spans="16:16" s="190" customFormat="1" ht="13.8" x14ac:dyDescent="0.25">
      <c r="P645" s="219"/>
    </row>
    <row r="646" spans="16:16" s="190" customFormat="1" ht="13.8" x14ac:dyDescent="0.25">
      <c r="P646" s="219"/>
    </row>
    <row r="647" spans="16:16" s="190" customFormat="1" ht="13.8" x14ac:dyDescent="0.25">
      <c r="P647" s="219"/>
    </row>
    <row r="648" spans="16:16" s="190" customFormat="1" ht="13.8" x14ac:dyDescent="0.25">
      <c r="P648" s="219"/>
    </row>
    <row r="649" spans="16:16" s="190" customFormat="1" ht="13.8" x14ac:dyDescent="0.25">
      <c r="P649" s="219"/>
    </row>
    <row r="650" spans="16:16" s="190" customFormat="1" ht="13.8" x14ac:dyDescent="0.25">
      <c r="P650" s="219"/>
    </row>
    <row r="651" spans="16:16" s="190" customFormat="1" ht="13.8" x14ac:dyDescent="0.25">
      <c r="P651" s="219"/>
    </row>
    <row r="652" spans="16:16" s="190" customFormat="1" ht="13.8" x14ac:dyDescent="0.25">
      <c r="P652" s="219"/>
    </row>
    <row r="653" spans="16:16" s="190" customFormat="1" ht="13.8" x14ac:dyDescent="0.25">
      <c r="P653" s="219"/>
    </row>
    <row r="654" spans="16:16" s="190" customFormat="1" ht="13.8" x14ac:dyDescent="0.25">
      <c r="P654" s="219"/>
    </row>
    <row r="655" spans="16:16" s="190" customFormat="1" ht="13.8" x14ac:dyDescent="0.25">
      <c r="P655" s="219"/>
    </row>
    <row r="656" spans="16:16" s="190" customFormat="1" ht="13.8" x14ac:dyDescent="0.25">
      <c r="P656" s="219"/>
    </row>
    <row r="657" spans="16:16" s="190" customFormat="1" ht="13.8" x14ac:dyDescent="0.25">
      <c r="P657" s="219"/>
    </row>
    <row r="658" spans="16:16" s="190" customFormat="1" ht="13.8" x14ac:dyDescent="0.25">
      <c r="P658" s="219"/>
    </row>
    <row r="659" spans="16:16" s="190" customFormat="1" ht="13.8" x14ac:dyDescent="0.25">
      <c r="P659" s="219"/>
    </row>
    <row r="660" spans="16:16" s="190" customFormat="1" ht="13.8" x14ac:dyDescent="0.25">
      <c r="P660" s="219"/>
    </row>
    <row r="661" spans="16:16" s="190" customFormat="1" ht="13.8" x14ac:dyDescent="0.25">
      <c r="P661" s="219"/>
    </row>
    <row r="662" spans="16:16" s="190" customFormat="1" ht="13.8" x14ac:dyDescent="0.25">
      <c r="P662" s="219"/>
    </row>
    <row r="663" spans="16:16" s="190" customFormat="1" ht="13.8" x14ac:dyDescent="0.25">
      <c r="P663" s="219"/>
    </row>
    <row r="664" spans="16:16" s="190" customFormat="1" ht="13.8" x14ac:dyDescent="0.25">
      <c r="P664" s="219"/>
    </row>
    <row r="665" spans="16:16" s="190" customFormat="1" ht="13.8" x14ac:dyDescent="0.25">
      <c r="P665" s="219"/>
    </row>
    <row r="666" spans="16:16" s="190" customFormat="1" ht="13.8" x14ac:dyDescent="0.25">
      <c r="P666" s="219"/>
    </row>
    <row r="667" spans="16:16" s="190" customFormat="1" ht="13.8" x14ac:dyDescent="0.25">
      <c r="P667" s="219"/>
    </row>
    <row r="668" spans="16:16" s="190" customFormat="1" ht="13.8" x14ac:dyDescent="0.25">
      <c r="P668" s="219"/>
    </row>
    <row r="669" spans="16:16" s="190" customFormat="1" ht="13.8" x14ac:dyDescent="0.25">
      <c r="P669" s="219"/>
    </row>
    <row r="670" spans="16:16" s="190" customFormat="1" ht="13.8" x14ac:dyDescent="0.25">
      <c r="P670" s="219"/>
    </row>
    <row r="671" spans="16:16" s="190" customFormat="1" ht="13.8" x14ac:dyDescent="0.25">
      <c r="P671" s="219"/>
    </row>
    <row r="672" spans="16:16" s="190" customFormat="1" ht="13.8" x14ac:dyDescent="0.25">
      <c r="P672" s="219"/>
    </row>
    <row r="673" spans="16:16" s="190" customFormat="1" ht="13.8" x14ac:dyDescent="0.25">
      <c r="P673" s="219"/>
    </row>
    <row r="674" spans="16:16" s="190" customFormat="1" ht="13.8" x14ac:dyDescent="0.25">
      <c r="P674" s="219"/>
    </row>
    <row r="675" spans="16:16" s="190" customFormat="1" ht="13.8" x14ac:dyDescent="0.25">
      <c r="P675" s="219"/>
    </row>
    <row r="676" spans="16:16" s="190" customFormat="1" ht="13.8" x14ac:dyDescent="0.25">
      <c r="P676" s="219"/>
    </row>
    <row r="677" spans="16:16" s="190" customFormat="1" ht="13.8" x14ac:dyDescent="0.25">
      <c r="P677" s="219"/>
    </row>
    <row r="678" spans="16:16" s="190" customFormat="1" ht="13.8" x14ac:dyDescent="0.25">
      <c r="P678" s="219"/>
    </row>
    <row r="679" spans="16:16" s="190" customFormat="1" ht="13.8" x14ac:dyDescent="0.25">
      <c r="P679" s="219"/>
    </row>
    <row r="680" spans="16:16" s="190" customFormat="1" ht="13.8" x14ac:dyDescent="0.25">
      <c r="P680" s="219"/>
    </row>
    <row r="681" spans="16:16" s="190" customFormat="1" ht="13.8" x14ac:dyDescent="0.25">
      <c r="P681" s="219"/>
    </row>
    <row r="682" spans="16:16" s="190" customFormat="1" ht="13.8" x14ac:dyDescent="0.25">
      <c r="P682" s="219"/>
    </row>
    <row r="683" spans="16:16" s="190" customFormat="1" ht="13.8" x14ac:dyDescent="0.25">
      <c r="P683" s="219"/>
    </row>
    <row r="684" spans="16:16" s="190" customFormat="1" ht="13.8" x14ac:dyDescent="0.25">
      <c r="P684" s="219"/>
    </row>
    <row r="685" spans="16:16" s="190" customFormat="1" ht="13.8" x14ac:dyDescent="0.25">
      <c r="P685" s="219"/>
    </row>
    <row r="686" spans="16:16" s="190" customFormat="1" ht="13.8" x14ac:dyDescent="0.25">
      <c r="P686" s="219"/>
    </row>
    <row r="687" spans="16:16" s="190" customFormat="1" ht="13.8" x14ac:dyDescent="0.25">
      <c r="P687" s="219"/>
    </row>
    <row r="688" spans="16:16" s="190" customFormat="1" ht="13.8" x14ac:dyDescent="0.25">
      <c r="P688" s="219"/>
    </row>
    <row r="689" spans="16:16" s="190" customFormat="1" ht="13.8" x14ac:dyDescent="0.25">
      <c r="P689" s="219"/>
    </row>
    <row r="690" spans="16:16" s="190" customFormat="1" ht="13.8" x14ac:dyDescent="0.25">
      <c r="P690" s="219"/>
    </row>
    <row r="691" spans="16:16" s="190" customFormat="1" ht="13.8" x14ac:dyDescent="0.25">
      <c r="P691" s="219"/>
    </row>
    <row r="692" spans="16:16" s="190" customFormat="1" ht="13.8" x14ac:dyDescent="0.25">
      <c r="P692" s="219"/>
    </row>
    <row r="693" spans="16:16" s="190" customFormat="1" ht="13.8" x14ac:dyDescent="0.25">
      <c r="P693" s="219"/>
    </row>
    <row r="694" spans="16:16" s="190" customFormat="1" ht="13.8" x14ac:dyDescent="0.25">
      <c r="P694" s="219"/>
    </row>
    <row r="695" spans="16:16" s="190" customFormat="1" ht="13.8" x14ac:dyDescent="0.25">
      <c r="P695" s="219"/>
    </row>
    <row r="696" spans="16:16" s="190" customFormat="1" ht="13.8" x14ac:dyDescent="0.25">
      <c r="P696" s="219"/>
    </row>
    <row r="697" spans="16:16" s="190" customFormat="1" ht="13.8" x14ac:dyDescent="0.25">
      <c r="P697" s="219"/>
    </row>
    <row r="698" spans="16:16" s="190" customFormat="1" ht="13.8" x14ac:dyDescent="0.25">
      <c r="P698" s="219"/>
    </row>
    <row r="699" spans="16:16" s="190" customFormat="1" ht="13.8" x14ac:dyDescent="0.25">
      <c r="P699" s="219"/>
    </row>
    <row r="700" spans="16:16" s="190" customFormat="1" ht="13.8" x14ac:dyDescent="0.25">
      <c r="P700" s="219"/>
    </row>
    <row r="701" spans="16:16" s="190" customFormat="1" ht="13.8" x14ac:dyDescent="0.25">
      <c r="P701" s="219"/>
    </row>
    <row r="702" spans="16:16" s="190" customFormat="1" ht="13.8" x14ac:dyDescent="0.25">
      <c r="P702" s="219"/>
    </row>
    <row r="703" spans="16:16" s="190" customFormat="1" ht="13.8" x14ac:dyDescent="0.25">
      <c r="P703" s="219"/>
    </row>
    <row r="704" spans="16:16" s="190" customFormat="1" ht="13.8" x14ac:dyDescent="0.25">
      <c r="P704" s="219"/>
    </row>
    <row r="705" spans="16:16" s="190" customFormat="1" ht="13.8" x14ac:dyDescent="0.25">
      <c r="P705" s="219"/>
    </row>
    <row r="706" spans="16:16" s="190" customFormat="1" ht="13.8" x14ac:dyDescent="0.25">
      <c r="P706" s="219"/>
    </row>
    <row r="707" spans="16:16" s="190" customFormat="1" ht="13.8" x14ac:dyDescent="0.25">
      <c r="P707" s="219"/>
    </row>
    <row r="708" spans="16:16" s="190" customFormat="1" ht="13.8" x14ac:dyDescent="0.25">
      <c r="P708" s="219"/>
    </row>
    <row r="709" spans="16:16" s="190" customFormat="1" ht="13.8" x14ac:dyDescent="0.25">
      <c r="P709" s="219"/>
    </row>
    <row r="710" spans="16:16" s="190" customFormat="1" ht="13.8" x14ac:dyDescent="0.25">
      <c r="P710" s="219"/>
    </row>
    <row r="711" spans="16:16" s="190" customFormat="1" ht="13.8" x14ac:dyDescent="0.25">
      <c r="P711" s="219"/>
    </row>
    <row r="712" spans="16:16" s="190" customFormat="1" ht="13.8" x14ac:dyDescent="0.25">
      <c r="P712" s="219"/>
    </row>
    <row r="713" spans="16:16" s="190" customFormat="1" ht="13.8" x14ac:dyDescent="0.25">
      <c r="P713" s="219"/>
    </row>
    <row r="714" spans="16:16" s="190" customFormat="1" ht="13.8" x14ac:dyDescent="0.25">
      <c r="P714" s="219"/>
    </row>
    <row r="715" spans="16:16" s="190" customFormat="1" ht="13.8" x14ac:dyDescent="0.25">
      <c r="P715" s="219"/>
    </row>
    <row r="716" spans="16:16" s="190" customFormat="1" ht="13.8" x14ac:dyDescent="0.25">
      <c r="P716" s="219"/>
    </row>
    <row r="717" spans="16:16" s="190" customFormat="1" ht="13.8" x14ac:dyDescent="0.25">
      <c r="P717" s="219"/>
    </row>
    <row r="718" spans="16:16" s="190" customFormat="1" ht="13.8" x14ac:dyDescent="0.25">
      <c r="P718" s="219"/>
    </row>
    <row r="719" spans="16:16" s="190" customFormat="1" ht="13.8" x14ac:dyDescent="0.25">
      <c r="P719" s="219"/>
    </row>
    <row r="720" spans="16:16" s="190" customFormat="1" ht="13.8" x14ac:dyDescent="0.25">
      <c r="P720" s="219"/>
    </row>
    <row r="721" spans="16:16" s="190" customFormat="1" ht="13.8" x14ac:dyDescent="0.25">
      <c r="P721" s="219"/>
    </row>
    <row r="722" spans="16:16" s="190" customFormat="1" ht="13.8" x14ac:dyDescent="0.25">
      <c r="P722" s="219"/>
    </row>
    <row r="723" spans="16:16" s="190" customFormat="1" ht="13.8" x14ac:dyDescent="0.25">
      <c r="P723" s="219"/>
    </row>
    <row r="724" spans="16:16" s="190" customFormat="1" ht="13.8" x14ac:dyDescent="0.25">
      <c r="P724" s="219"/>
    </row>
    <row r="725" spans="16:16" s="190" customFormat="1" ht="13.8" x14ac:dyDescent="0.25">
      <c r="P725" s="219"/>
    </row>
    <row r="726" spans="16:16" s="190" customFormat="1" ht="13.8" x14ac:dyDescent="0.25">
      <c r="P726" s="219"/>
    </row>
    <row r="727" spans="16:16" s="190" customFormat="1" ht="13.8" x14ac:dyDescent="0.25">
      <c r="P727" s="219"/>
    </row>
    <row r="728" spans="16:16" s="190" customFormat="1" ht="13.8" x14ac:dyDescent="0.25">
      <c r="P728" s="219"/>
    </row>
    <row r="729" spans="16:16" s="190" customFormat="1" ht="13.8" x14ac:dyDescent="0.25">
      <c r="P729" s="219"/>
    </row>
    <row r="730" spans="16:16" s="190" customFormat="1" ht="13.8" x14ac:dyDescent="0.25">
      <c r="P730" s="219"/>
    </row>
    <row r="731" spans="16:16" s="190" customFormat="1" ht="13.8" x14ac:dyDescent="0.25">
      <c r="P731" s="219"/>
    </row>
    <row r="732" spans="16:16" s="190" customFormat="1" ht="13.8" x14ac:dyDescent="0.25">
      <c r="P732" s="219"/>
    </row>
    <row r="733" spans="16:16" s="190" customFormat="1" ht="13.8" x14ac:dyDescent="0.25">
      <c r="P733" s="219"/>
    </row>
    <row r="734" spans="16:16" s="190" customFormat="1" ht="13.8" x14ac:dyDescent="0.25">
      <c r="P734" s="219"/>
    </row>
    <row r="735" spans="16:16" s="190" customFormat="1" ht="13.8" x14ac:dyDescent="0.25">
      <c r="P735" s="219"/>
    </row>
    <row r="736" spans="16:16" s="190" customFormat="1" ht="13.8" x14ac:dyDescent="0.25">
      <c r="P736" s="219"/>
    </row>
    <row r="737" spans="16:16" s="190" customFormat="1" ht="13.8" x14ac:dyDescent="0.25">
      <c r="P737" s="219"/>
    </row>
    <row r="738" spans="16:16" s="190" customFormat="1" ht="13.8" x14ac:dyDescent="0.25">
      <c r="P738" s="219"/>
    </row>
    <row r="739" spans="16:16" s="190" customFormat="1" ht="13.8" x14ac:dyDescent="0.25">
      <c r="P739" s="219"/>
    </row>
    <row r="740" spans="16:16" s="190" customFormat="1" ht="13.8" x14ac:dyDescent="0.25">
      <c r="P740" s="219"/>
    </row>
    <row r="741" spans="16:16" s="190" customFormat="1" ht="13.8" x14ac:dyDescent="0.25">
      <c r="P741" s="219"/>
    </row>
    <row r="742" spans="16:16" s="190" customFormat="1" ht="13.8" x14ac:dyDescent="0.25">
      <c r="P742" s="219"/>
    </row>
    <row r="743" spans="16:16" s="190" customFormat="1" ht="13.8" x14ac:dyDescent="0.25">
      <c r="P743" s="219"/>
    </row>
    <row r="744" spans="16:16" s="190" customFormat="1" ht="13.8" x14ac:dyDescent="0.25">
      <c r="P744" s="219"/>
    </row>
    <row r="745" spans="16:16" s="190" customFormat="1" ht="13.8" x14ac:dyDescent="0.25">
      <c r="P745" s="219"/>
    </row>
    <row r="746" spans="16:16" s="190" customFormat="1" ht="13.8" x14ac:dyDescent="0.25">
      <c r="P746" s="219"/>
    </row>
    <row r="747" spans="16:16" s="190" customFormat="1" ht="13.8" x14ac:dyDescent="0.25">
      <c r="P747" s="219"/>
    </row>
    <row r="748" spans="16:16" s="190" customFormat="1" ht="13.8" x14ac:dyDescent="0.25">
      <c r="P748" s="219"/>
    </row>
    <row r="749" spans="16:16" s="190" customFormat="1" ht="13.8" x14ac:dyDescent="0.25">
      <c r="P749" s="219"/>
    </row>
    <row r="750" spans="16:16" s="190" customFormat="1" ht="13.8" x14ac:dyDescent="0.25">
      <c r="P750" s="219"/>
    </row>
    <row r="751" spans="16:16" s="190" customFormat="1" ht="13.8" x14ac:dyDescent="0.25">
      <c r="P751" s="219"/>
    </row>
    <row r="752" spans="16:16" s="190" customFormat="1" ht="13.8" x14ac:dyDescent="0.25">
      <c r="P752" s="219"/>
    </row>
    <row r="753" spans="16:16" s="190" customFormat="1" ht="13.8" x14ac:dyDescent="0.25">
      <c r="P753" s="219"/>
    </row>
    <row r="754" spans="16:16" s="190" customFormat="1" ht="13.8" x14ac:dyDescent="0.25">
      <c r="P754" s="219"/>
    </row>
    <row r="755" spans="16:16" s="190" customFormat="1" ht="13.8" x14ac:dyDescent="0.25">
      <c r="P755" s="219"/>
    </row>
    <row r="756" spans="16:16" s="190" customFormat="1" ht="13.8" x14ac:dyDescent="0.25">
      <c r="P756" s="219"/>
    </row>
    <row r="757" spans="16:16" s="190" customFormat="1" ht="13.8" x14ac:dyDescent="0.25">
      <c r="P757" s="219"/>
    </row>
    <row r="758" spans="16:16" s="190" customFormat="1" ht="13.8" x14ac:dyDescent="0.25">
      <c r="P758" s="219"/>
    </row>
    <row r="759" spans="16:16" s="190" customFormat="1" ht="13.8" x14ac:dyDescent="0.25">
      <c r="P759" s="219"/>
    </row>
    <row r="760" spans="16:16" s="190" customFormat="1" ht="13.8" x14ac:dyDescent="0.25">
      <c r="P760" s="219"/>
    </row>
    <row r="761" spans="16:16" s="190" customFormat="1" ht="13.8" x14ac:dyDescent="0.25">
      <c r="P761" s="219"/>
    </row>
    <row r="762" spans="16:16" s="190" customFormat="1" ht="13.8" x14ac:dyDescent="0.25">
      <c r="P762" s="219"/>
    </row>
    <row r="763" spans="16:16" s="190" customFormat="1" ht="13.8" x14ac:dyDescent="0.25">
      <c r="P763" s="219"/>
    </row>
    <row r="764" spans="16:16" s="190" customFormat="1" ht="13.8" x14ac:dyDescent="0.25">
      <c r="P764" s="219"/>
    </row>
    <row r="765" spans="16:16" s="190" customFormat="1" ht="13.8" x14ac:dyDescent="0.25">
      <c r="P765" s="219"/>
    </row>
    <row r="766" spans="16:16" s="190" customFormat="1" ht="13.8" x14ac:dyDescent="0.25">
      <c r="P766" s="219"/>
    </row>
    <row r="767" spans="16:16" s="190" customFormat="1" ht="13.8" x14ac:dyDescent="0.25">
      <c r="P767" s="219"/>
    </row>
    <row r="768" spans="16:16" s="190" customFormat="1" ht="13.8" x14ac:dyDescent="0.25">
      <c r="P768" s="219"/>
    </row>
    <row r="769" spans="16:16" s="190" customFormat="1" ht="13.8" x14ac:dyDescent="0.25">
      <c r="P769" s="219"/>
    </row>
    <row r="770" spans="16:16" s="190" customFormat="1" ht="13.8" x14ac:dyDescent="0.25">
      <c r="P770" s="219"/>
    </row>
    <row r="771" spans="16:16" s="190" customFormat="1" ht="13.8" x14ac:dyDescent="0.25">
      <c r="P771" s="219"/>
    </row>
    <row r="772" spans="16:16" s="190" customFormat="1" ht="13.8" x14ac:dyDescent="0.25">
      <c r="P772" s="219"/>
    </row>
    <row r="773" spans="16:16" s="190" customFormat="1" ht="13.8" x14ac:dyDescent="0.25">
      <c r="P773" s="219"/>
    </row>
    <row r="774" spans="16:16" s="190" customFormat="1" ht="13.8" x14ac:dyDescent="0.25">
      <c r="P774" s="219"/>
    </row>
    <row r="775" spans="16:16" s="190" customFormat="1" ht="13.8" x14ac:dyDescent="0.25">
      <c r="P775" s="219"/>
    </row>
    <row r="776" spans="16:16" s="190" customFormat="1" ht="13.8" x14ac:dyDescent="0.25">
      <c r="P776" s="219"/>
    </row>
    <row r="777" spans="16:16" s="190" customFormat="1" ht="13.8" x14ac:dyDescent="0.25">
      <c r="P777" s="219"/>
    </row>
    <row r="778" spans="16:16" s="190" customFormat="1" ht="13.8" x14ac:dyDescent="0.25">
      <c r="P778" s="219"/>
    </row>
    <row r="779" spans="16:16" s="190" customFormat="1" ht="13.8" x14ac:dyDescent="0.25">
      <c r="P779" s="219"/>
    </row>
    <row r="780" spans="16:16" s="190" customFormat="1" ht="13.8" x14ac:dyDescent="0.25">
      <c r="P780" s="219"/>
    </row>
    <row r="781" spans="16:16" s="190" customFormat="1" ht="13.8" x14ac:dyDescent="0.25">
      <c r="P781" s="219"/>
    </row>
    <row r="782" spans="16:16" s="190" customFormat="1" ht="13.8" x14ac:dyDescent="0.25">
      <c r="P782" s="219"/>
    </row>
    <row r="783" spans="16:16" s="190" customFormat="1" ht="13.8" x14ac:dyDescent="0.25">
      <c r="P783" s="219"/>
    </row>
    <row r="784" spans="16:16" s="190" customFormat="1" ht="13.8" x14ac:dyDescent="0.25">
      <c r="P784" s="219"/>
    </row>
    <row r="785" spans="16:16" s="190" customFormat="1" ht="13.8" x14ac:dyDescent="0.25">
      <c r="P785" s="219"/>
    </row>
    <row r="786" spans="16:16" s="190" customFormat="1" ht="13.8" x14ac:dyDescent="0.25">
      <c r="P786" s="219"/>
    </row>
    <row r="787" spans="16:16" s="190" customFormat="1" ht="13.8" x14ac:dyDescent="0.25">
      <c r="P787" s="219"/>
    </row>
    <row r="788" spans="16:16" s="190" customFormat="1" ht="13.8" x14ac:dyDescent="0.25">
      <c r="P788" s="219"/>
    </row>
    <row r="789" spans="16:16" s="190" customFormat="1" ht="13.8" x14ac:dyDescent="0.25">
      <c r="P789" s="219"/>
    </row>
    <row r="790" spans="16:16" s="190" customFormat="1" ht="13.8" x14ac:dyDescent="0.25">
      <c r="P790" s="219"/>
    </row>
    <row r="791" spans="16:16" s="190" customFormat="1" ht="13.8" x14ac:dyDescent="0.25">
      <c r="P791" s="219"/>
    </row>
    <row r="792" spans="16:16" s="190" customFormat="1" ht="13.8" x14ac:dyDescent="0.25">
      <c r="P792" s="219"/>
    </row>
    <row r="793" spans="16:16" s="190" customFormat="1" ht="13.8" x14ac:dyDescent="0.25">
      <c r="P793" s="219"/>
    </row>
    <row r="794" spans="16:16" s="190" customFormat="1" ht="13.8" x14ac:dyDescent="0.25">
      <c r="P794" s="219"/>
    </row>
    <row r="795" spans="16:16" s="190" customFormat="1" ht="13.8" x14ac:dyDescent="0.25">
      <c r="P795" s="219"/>
    </row>
    <row r="796" spans="16:16" s="190" customFormat="1" ht="13.8" x14ac:dyDescent="0.25">
      <c r="P796" s="219"/>
    </row>
    <row r="797" spans="16:16" s="190" customFormat="1" ht="13.8" x14ac:dyDescent="0.25">
      <c r="P797" s="219"/>
    </row>
    <row r="798" spans="16:16" s="190" customFormat="1" ht="13.8" x14ac:dyDescent="0.25">
      <c r="P798" s="219"/>
    </row>
    <row r="799" spans="16:16" s="190" customFormat="1" ht="13.8" x14ac:dyDescent="0.25">
      <c r="P799" s="219"/>
    </row>
    <row r="800" spans="16:16" s="190" customFormat="1" ht="13.8" x14ac:dyDescent="0.25">
      <c r="P800" s="219"/>
    </row>
    <row r="801" spans="16:16" s="190" customFormat="1" ht="13.8" x14ac:dyDescent="0.25">
      <c r="P801" s="219"/>
    </row>
    <row r="802" spans="16:16" s="190" customFormat="1" ht="13.8" x14ac:dyDescent="0.25">
      <c r="P802" s="219"/>
    </row>
    <row r="803" spans="16:16" s="190" customFormat="1" ht="13.8" x14ac:dyDescent="0.25">
      <c r="P803" s="219"/>
    </row>
    <row r="804" spans="16:16" s="190" customFormat="1" ht="13.8" x14ac:dyDescent="0.25">
      <c r="P804" s="219"/>
    </row>
    <row r="805" spans="16:16" s="190" customFormat="1" ht="13.8" x14ac:dyDescent="0.25">
      <c r="P805" s="219"/>
    </row>
    <row r="806" spans="16:16" s="190" customFormat="1" ht="13.8" x14ac:dyDescent="0.25">
      <c r="P806" s="219"/>
    </row>
    <row r="807" spans="16:16" s="190" customFormat="1" ht="13.8" x14ac:dyDescent="0.25">
      <c r="P807" s="219"/>
    </row>
    <row r="808" spans="16:16" s="190" customFormat="1" ht="13.8" x14ac:dyDescent="0.25">
      <c r="P808" s="219"/>
    </row>
    <row r="809" spans="16:16" s="190" customFormat="1" ht="13.8" x14ac:dyDescent="0.25">
      <c r="P809" s="219"/>
    </row>
    <row r="810" spans="16:16" s="190" customFormat="1" ht="13.8" x14ac:dyDescent="0.25">
      <c r="P810" s="219"/>
    </row>
    <row r="811" spans="16:16" s="190" customFormat="1" ht="13.8" x14ac:dyDescent="0.25">
      <c r="P811" s="219"/>
    </row>
    <row r="812" spans="16:16" s="190" customFormat="1" ht="13.8" x14ac:dyDescent="0.25">
      <c r="P812" s="219"/>
    </row>
    <row r="813" spans="16:16" s="190" customFormat="1" ht="13.8" x14ac:dyDescent="0.25">
      <c r="P813" s="219"/>
    </row>
    <row r="814" spans="16:16" s="190" customFormat="1" ht="13.8" x14ac:dyDescent="0.25">
      <c r="P814" s="219"/>
    </row>
    <row r="815" spans="16:16" s="190" customFormat="1" ht="13.8" x14ac:dyDescent="0.25">
      <c r="P815" s="219"/>
    </row>
    <row r="816" spans="16:16" s="190" customFormat="1" ht="13.8" x14ac:dyDescent="0.25">
      <c r="P816" s="219"/>
    </row>
    <row r="817" spans="16:16" s="190" customFormat="1" ht="13.8" x14ac:dyDescent="0.25">
      <c r="P817" s="219"/>
    </row>
    <row r="818" spans="16:16" s="190" customFormat="1" ht="13.8" x14ac:dyDescent="0.25">
      <c r="P818" s="219"/>
    </row>
    <row r="819" spans="16:16" s="190" customFormat="1" ht="13.8" x14ac:dyDescent="0.25">
      <c r="P819" s="219"/>
    </row>
    <row r="820" spans="16:16" s="190" customFormat="1" ht="13.8" x14ac:dyDescent="0.25">
      <c r="P820" s="219"/>
    </row>
    <row r="821" spans="16:16" s="190" customFormat="1" ht="13.8" x14ac:dyDescent="0.25">
      <c r="P821" s="219"/>
    </row>
    <row r="822" spans="16:16" s="190" customFormat="1" ht="13.8" x14ac:dyDescent="0.25">
      <c r="P822" s="219"/>
    </row>
    <row r="823" spans="16:16" s="190" customFormat="1" ht="13.8" x14ac:dyDescent="0.25">
      <c r="P823" s="219"/>
    </row>
    <row r="824" spans="16:16" s="190" customFormat="1" ht="13.8" x14ac:dyDescent="0.25">
      <c r="P824" s="219"/>
    </row>
    <row r="825" spans="16:16" s="190" customFormat="1" ht="13.8" x14ac:dyDescent="0.25">
      <c r="P825" s="219"/>
    </row>
    <row r="826" spans="16:16" s="190" customFormat="1" ht="13.8" x14ac:dyDescent="0.25">
      <c r="P826" s="219"/>
    </row>
    <row r="827" spans="16:16" s="190" customFormat="1" ht="13.8" x14ac:dyDescent="0.25">
      <c r="P827" s="219"/>
    </row>
    <row r="828" spans="16:16" s="190" customFormat="1" ht="13.8" x14ac:dyDescent="0.25">
      <c r="P828" s="219"/>
    </row>
    <row r="829" spans="16:16" s="190" customFormat="1" ht="13.8" x14ac:dyDescent="0.25">
      <c r="P829" s="219"/>
    </row>
    <row r="830" spans="16:16" s="190" customFormat="1" ht="13.8" x14ac:dyDescent="0.25">
      <c r="P830" s="219"/>
    </row>
    <row r="831" spans="16:16" s="190" customFormat="1" ht="13.8" x14ac:dyDescent="0.25">
      <c r="P831" s="219"/>
    </row>
    <row r="832" spans="16:16" s="190" customFormat="1" ht="13.8" x14ac:dyDescent="0.25">
      <c r="P832" s="219"/>
    </row>
    <row r="833" spans="16:16" s="190" customFormat="1" ht="13.8" x14ac:dyDescent="0.25">
      <c r="P833" s="219"/>
    </row>
    <row r="834" spans="16:16" s="190" customFormat="1" ht="13.8" x14ac:dyDescent="0.25">
      <c r="P834" s="219"/>
    </row>
    <row r="835" spans="16:16" s="190" customFormat="1" ht="13.8" x14ac:dyDescent="0.25">
      <c r="P835" s="219"/>
    </row>
    <row r="836" spans="16:16" s="190" customFormat="1" ht="13.8" x14ac:dyDescent="0.25">
      <c r="P836" s="219"/>
    </row>
    <row r="837" spans="16:16" s="190" customFormat="1" ht="13.8" x14ac:dyDescent="0.25">
      <c r="P837" s="219"/>
    </row>
    <row r="838" spans="16:16" s="190" customFormat="1" ht="13.8" x14ac:dyDescent="0.25">
      <c r="P838" s="219"/>
    </row>
    <row r="839" spans="16:16" s="190" customFormat="1" ht="13.8" x14ac:dyDescent="0.25">
      <c r="P839" s="219"/>
    </row>
    <row r="840" spans="16:16" s="190" customFormat="1" ht="13.8" x14ac:dyDescent="0.25">
      <c r="P840" s="219"/>
    </row>
    <row r="841" spans="16:16" s="190" customFormat="1" ht="13.8" x14ac:dyDescent="0.25">
      <c r="P841" s="219"/>
    </row>
    <row r="842" spans="16:16" s="190" customFormat="1" ht="13.8" x14ac:dyDescent="0.25">
      <c r="P842" s="219"/>
    </row>
    <row r="843" spans="16:16" s="190" customFormat="1" ht="13.8" x14ac:dyDescent="0.25">
      <c r="P843" s="219"/>
    </row>
    <row r="844" spans="16:16" s="190" customFormat="1" ht="13.8" x14ac:dyDescent="0.25">
      <c r="P844" s="219"/>
    </row>
    <row r="845" spans="16:16" s="190" customFormat="1" ht="13.8" x14ac:dyDescent="0.25">
      <c r="P845" s="219"/>
    </row>
    <row r="846" spans="16:16" s="190" customFormat="1" ht="13.8" x14ac:dyDescent="0.25">
      <c r="P846" s="219"/>
    </row>
    <row r="847" spans="16:16" s="190" customFormat="1" ht="13.8" x14ac:dyDescent="0.25">
      <c r="P847" s="219"/>
    </row>
    <row r="848" spans="16:16" s="190" customFormat="1" ht="13.8" x14ac:dyDescent="0.25">
      <c r="P848" s="219"/>
    </row>
    <row r="849" spans="16:16" s="190" customFormat="1" ht="13.8" x14ac:dyDescent="0.25">
      <c r="P849" s="219"/>
    </row>
    <row r="850" spans="16:16" s="190" customFormat="1" ht="13.8" x14ac:dyDescent="0.25">
      <c r="P850" s="219"/>
    </row>
    <row r="851" spans="16:16" s="190" customFormat="1" ht="13.8" x14ac:dyDescent="0.25">
      <c r="P851" s="219"/>
    </row>
    <row r="852" spans="16:16" s="190" customFormat="1" ht="13.8" x14ac:dyDescent="0.25">
      <c r="P852" s="219"/>
    </row>
    <row r="853" spans="16:16" s="190" customFormat="1" ht="13.8" x14ac:dyDescent="0.25">
      <c r="P853" s="219"/>
    </row>
    <row r="854" spans="16:16" s="190" customFormat="1" ht="13.8" x14ac:dyDescent="0.25">
      <c r="P854" s="219"/>
    </row>
    <row r="855" spans="16:16" s="190" customFormat="1" ht="13.8" x14ac:dyDescent="0.25">
      <c r="P855" s="219"/>
    </row>
    <row r="856" spans="16:16" s="190" customFormat="1" ht="13.8" x14ac:dyDescent="0.25">
      <c r="P856" s="219"/>
    </row>
    <row r="857" spans="16:16" s="190" customFormat="1" ht="13.8" x14ac:dyDescent="0.25">
      <c r="P857" s="219"/>
    </row>
    <row r="858" spans="16:16" s="190" customFormat="1" ht="13.8" x14ac:dyDescent="0.25">
      <c r="P858" s="219"/>
    </row>
    <row r="859" spans="16:16" s="190" customFormat="1" ht="13.8" x14ac:dyDescent="0.25">
      <c r="P859" s="219"/>
    </row>
    <row r="860" spans="16:16" s="190" customFormat="1" ht="13.8" x14ac:dyDescent="0.25">
      <c r="P860" s="219"/>
    </row>
    <row r="861" spans="16:16" s="190" customFormat="1" ht="13.8" x14ac:dyDescent="0.25">
      <c r="P861" s="219"/>
    </row>
    <row r="862" spans="16:16" s="190" customFormat="1" ht="13.8" x14ac:dyDescent="0.25">
      <c r="P862" s="219"/>
    </row>
    <row r="863" spans="16:16" s="190" customFormat="1" ht="13.8" x14ac:dyDescent="0.25">
      <c r="P863" s="219"/>
    </row>
    <row r="864" spans="16:16" s="190" customFormat="1" ht="13.8" x14ac:dyDescent="0.25">
      <c r="P864" s="219"/>
    </row>
    <row r="865" spans="16:16" s="190" customFormat="1" ht="13.8" x14ac:dyDescent="0.25">
      <c r="P865" s="219"/>
    </row>
    <row r="866" spans="16:16" s="190" customFormat="1" ht="13.8" x14ac:dyDescent="0.25">
      <c r="P866" s="219"/>
    </row>
    <row r="867" spans="16:16" s="190" customFormat="1" ht="13.8" x14ac:dyDescent="0.25">
      <c r="P867" s="219"/>
    </row>
    <row r="868" spans="16:16" s="190" customFormat="1" ht="13.8" x14ac:dyDescent="0.25">
      <c r="P868" s="219"/>
    </row>
    <row r="869" spans="16:16" s="190" customFormat="1" ht="13.8" x14ac:dyDescent="0.25">
      <c r="P869" s="219"/>
    </row>
    <row r="870" spans="16:16" s="190" customFormat="1" ht="13.8" x14ac:dyDescent="0.25">
      <c r="P870" s="219"/>
    </row>
    <row r="871" spans="16:16" s="190" customFormat="1" ht="13.8" x14ac:dyDescent="0.25">
      <c r="P871" s="219"/>
    </row>
    <row r="872" spans="16:16" s="190" customFormat="1" ht="13.8" x14ac:dyDescent="0.25">
      <c r="P872" s="219"/>
    </row>
    <row r="873" spans="16:16" s="190" customFormat="1" ht="13.8" x14ac:dyDescent="0.25">
      <c r="P873" s="219"/>
    </row>
    <row r="874" spans="16:16" s="190" customFormat="1" ht="13.8" x14ac:dyDescent="0.25">
      <c r="P874" s="219"/>
    </row>
    <row r="875" spans="16:16" s="190" customFormat="1" ht="13.8" x14ac:dyDescent="0.25">
      <c r="P875" s="219"/>
    </row>
    <row r="876" spans="16:16" s="190" customFormat="1" ht="13.8" x14ac:dyDescent="0.25">
      <c r="P876" s="219"/>
    </row>
    <row r="877" spans="16:16" s="190" customFormat="1" ht="13.8" x14ac:dyDescent="0.25">
      <c r="P877" s="219"/>
    </row>
    <row r="878" spans="16:16" s="190" customFormat="1" ht="13.8" x14ac:dyDescent="0.25">
      <c r="P878" s="219"/>
    </row>
    <row r="879" spans="16:16" s="190" customFormat="1" ht="13.8" x14ac:dyDescent="0.25">
      <c r="P879" s="219"/>
    </row>
    <row r="880" spans="16:16" s="190" customFormat="1" ht="13.8" x14ac:dyDescent="0.25">
      <c r="P880" s="219"/>
    </row>
    <row r="881" spans="16:16" s="190" customFormat="1" ht="13.8" x14ac:dyDescent="0.25">
      <c r="P881" s="219"/>
    </row>
    <row r="882" spans="16:16" s="190" customFormat="1" ht="13.8" x14ac:dyDescent="0.25">
      <c r="P882" s="219"/>
    </row>
    <row r="883" spans="16:16" s="190" customFormat="1" ht="13.8" x14ac:dyDescent="0.25">
      <c r="P883" s="219"/>
    </row>
    <row r="884" spans="16:16" s="190" customFormat="1" ht="13.8" x14ac:dyDescent="0.25">
      <c r="P884" s="219"/>
    </row>
    <row r="885" spans="16:16" s="190" customFormat="1" ht="13.8" x14ac:dyDescent="0.25">
      <c r="P885" s="219"/>
    </row>
    <row r="886" spans="16:16" s="190" customFormat="1" ht="13.8" x14ac:dyDescent="0.25">
      <c r="P886" s="219"/>
    </row>
    <row r="887" spans="16:16" s="190" customFormat="1" ht="13.8" x14ac:dyDescent="0.25">
      <c r="P887" s="219"/>
    </row>
    <row r="888" spans="16:16" s="190" customFormat="1" ht="13.8" x14ac:dyDescent="0.25">
      <c r="P888" s="219"/>
    </row>
    <row r="889" spans="16:16" s="190" customFormat="1" ht="13.8" x14ac:dyDescent="0.25">
      <c r="P889" s="219"/>
    </row>
    <row r="890" spans="16:16" s="190" customFormat="1" ht="13.8" x14ac:dyDescent="0.25">
      <c r="P890" s="219"/>
    </row>
    <row r="891" spans="16:16" s="190" customFormat="1" ht="13.8" x14ac:dyDescent="0.25">
      <c r="P891" s="219"/>
    </row>
    <row r="892" spans="16:16" s="190" customFormat="1" ht="13.8" x14ac:dyDescent="0.25">
      <c r="P892" s="219"/>
    </row>
    <row r="893" spans="16:16" s="190" customFormat="1" ht="13.8" x14ac:dyDescent="0.25">
      <c r="P893" s="219"/>
    </row>
    <row r="894" spans="16:16" s="190" customFormat="1" ht="13.8" x14ac:dyDescent="0.25">
      <c r="P894" s="219"/>
    </row>
    <row r="895" spans="16:16" s="190" customFormat="1" ht="13.8" x14ac:dyDescent="0.25">
      <c r="P895" s="219"/>
    </row>
    <row r="896" spans="16:16" s="190" customFormat="1" ht="13.8" x14ac:dyDescent="0.25">
      <c r="P896" s="219"/>
    </row>
    <row r="897" spans="16:16" s="190" customFormat="1" ht="13.8" x14ac:dyDescent="0.25">
      <c r="P897" s="219"/>
    </row>
    <row r="898" spans="16:16" s="190" customFormat="1" ht="13.8" x14ac:dyDescent="0.25">
      <c r="P898" s="219"/>
    </row>
    <row r="899" spans="16:16" s="190" customFormat="1" ht="13.8" x14ac:dyDescent="0.25">
      <c r="P899" s="219"/>
    </row>
    <row r="900" spans="16:16" s="190" customFormat="1" ht="13.8" x14ac:dyDescent="0.25">
      <c r="P900" s="219"/>
    </row>
    <row r="901" spans="16:16" s="190" customFormat="1" ht="13.8" x14ac:dyDescent="0.25">
      <c r="P901" s="219"/>
    </row>
    <row r="902" spans="16:16" s="190" customFormat="1" ht="13.8" x14ac:dyDescent="0.25">
      <c r="P902" s="219"/>
    </row>
    <row r="903" spans="16:16" s="190" customFormat="1" ht="13.8" x14ac:dyDescent="0.25">
      <c r="P903" s="219"/>
    </row>
    <row r="904" spans="16:16" s="190" customFormat="1" ht="13.8" x14ac:dyDescent="0.25">
      <c r="P904" s="219"/>
    </row>
    <row r="905" spans="16:16" s="190" customFormat="1" ht="13.8" x14ac:dyDescent="0.25">
      <c r="P905" s="219"/>
    </row>
    <row r="906" spans="16:16" s="190" customFormat="1" ht="13.8" x14ac:dyDescent="0.25">
      <c r="P906" s="219"/>
    </row>
    <row r="907" spans="16:16" s="190" customFormat="1" ht="13.8" x14ac:dyDescent="0.25">
      <c r="P907" s="219"/>
    </row>
    <row r="908" spans="16:16" s="190" customFormat="1" ht="13.8" x14ac:dyDescent="0.25">
      <c r="P908" s="219"/>
    </row>
    <row r="909" spans="16:16" s="190" customFormat="1" ht="13.8" x14ac:dyDescent="0.25">
      <c r="P909" s="219"/>
    </row>
    <row r="910" spans="16:16" s="190" customFormat="1" ht="13.8" x14ac:dyDescent="0.25">
      <c r="P910" s="219"/>
    </row>
    <row r="911" spans="16:16" s="190" customFormat="1" ht="13.8" x14ac:dyDescent="0.25">
      <c r="P911" s="219"/>
    </row>
    <row r="912" spans="16:16" s="190" customFormat="1" ht="13.8" x14ac:dyDescent="0.25">
      <c r="P912" s="219"/>
    </row>
    <row r="913" spans="16:16" s="190" customFormat="1" ht="13.8" x14ac:dyDescent="0.25">
      <c r="P913" s="219"/>
    </row>
    <row r="914" spans="16:16" s="190" customFormat="1" ht="13.8" x14ac:dyDescent="0.25">
      <c r="P914" s="219"/>
    </row>
    <row r="915" spans="16:16" s="190" customFormat="1" ht="13.8" x14ac:dyDescent="0.25">
      <c r="P915" s="219"/>
    </row>
    <row r="916" spans="16:16" s="190" customFormat="1" ht="13.8" x14ac:dyDescent="0.25">
      <c r="P916" s="219"/>
    </row>
    <row r="917" spans="16:16" s="190" customFormat="1" ht="13.8" x14ac:dyDescent="0.25">
      <c r="P917" s="219"/>
    </row>
    <row r="918" spans="16:16" s="190" customFormat="1" ht="13.8" x14ac:dyDescent="0.25">
      <c r="P918" s="219"/>
    </row>
    <row r="919" spans="16:16" s="190" customFormat="1" ht="13.8" x14ac:dyDescent="0.25">
      <c r="P919" s="219"/>
    </row>
    <row r="920" spans="16:16" s="190" customFormat="1" ht="13.8" x14ac:dyDescent="0.25">
      <c r="P920" s="219"/>
    </row>
    <row r="921" spans="16:16" s="190" customFormat="1" ht="13.8" x14ac:dyDescent="0.25">
      <c r="P921" s="219"/>
    </row>
    <row r="922" spans="16:16" s="190" customFormat="1" ht="13.8" x14ac:dyDescent="0.25">
      <c r="P922" s="219"/>
    </row>
    <row r="923" spans="16:16" s="190" customFormat="1" ht="13.8" x14ac:dyDescent="0.25">
      <c r="P923" s="219"/>
    </row>
    <row r="924" spans="16:16" s="190" customFormat="1" ht="13.8" x14ac:dyDescent="0.25">
      <c r="P924" s="219"/>
    </row>
    <row r="925" spans="16:16" s="190" customFormat="1" ht="13.8" x14ac:dyDescent="0.25">
      <c r="P925" s="219"/>
    </row>
    <row r="926" spans="16:16" s="190" customFormat="1" ht="13.8" x14ac:dyDescent="0.25">
      <c r="P926" s="219"/>
    </row>
    <row r="927" spans="16:16" s="190" customFormat="1" ht="13.8" x14ac:dyDescent="0.25">
      <c r="P927" s="219"/>
    </row>
    <row r="928" spans="16:16" s="190" customFormat="1" ht="13.8" x14ac:dyDescent="0.25">
      <c r="P928" s="219"/>
    </row>
    <row r="929" spans="16:16" s="190" customFormat="1" ht="13.8" x14ac:dyDescent="0.25">
      <c r="P929" s="219"/>
    </row>
    <row r="930" spans="16:16" s="190" customFormat="1" ht="13.8" x14ac:dyDescent="0.25">
      <c r="P930" s="219"/>
    </row>
    <row r="931" spans="16:16" s="190" customFormat="1" ht="13.8" x14ac:dyDescent="0.25">
      <c r="P931" s="219"/>
    </row>
    <row r="932" spans="16:16" s="190" customFormat="1" ht="13.8" x14ac:dyDescent="0.25">
      <c r="P932" s="219"/>
    </row>
    <row r="933" spans="16:16" s="190" customFormat="1" ht="13.8" x14ac:dyDescent="0.25">
      <c r="P933" s="219"/>
    </row>
    <row r="934" spans="16:16" s="190" customFormat="1" ht="13.8" x14ac:dyDescent="0.25">
      <c r="P934" s="219"/>
    </row>
    <row r="935" spans="16:16" s="190" customFormat="1" ht="13.8" x14ac:dyDescent="0.25">
      <c r="P935" s="219"/>
    </row>
    <row r="936" spans="16:16" s="190" customFormat="1" ht="13.8" x14ac:dyDescent="0.25">
      <c r="P936" s="219"/>
    </row>
    <row r="937" spans="16:16" s="190" customFormat="1" ht="13.8" x14ac:dyDescent="0.25">
      <c r="P937" s="219"/>
    </row>
    <row r="938" spans="16:16" s="190" customFormat="1" ht="13.8" x14ac:dyDescent="0.25">
      <c r="P938" s="219"/>
    </row>
    <row r="939" spans="16:16" s="190" customFormat="1" ht="13.8" x14ac:dyDescent="0.25">
      <c r="P939" s="219"/>
    </row>
    <row r="940" spans="16:16" s="190" customFormat="1" ht="13.8" x14ac:dyDescent="0.25">
      <c r="P940" s="219"/>
    </row>
    <row r="941" spans="16:16" s="190" customFormat="1" ht="13.8" x14ac:dyDescent="0.25">
      <c r="P941" s="219"/>
    </row>
    <row r="942" spans="16:16" s="190" customFormat="1" ht="13.8" x14ac:dyDescent="0.25">
      <c r="P942" s="219"/>
    </row>
    <row r="943" spans="16:16" s="190" customFormat="1" ht="13.8" x14ac:dyDescent="0.25">
      <c r="P943" s="219"/>
    </row>
    <row r="944" spans="16:16" s="190" customFormat="1" ht="13.8" x14ac:dyDescent="0.25">
      <c r="P944" s="219"/>
    </row>
    <row r="945" spans="16:16" s="190" customFormat="1" ht="13.8" x14ac:dyDescent="0.25">
      <c r="P945" s="219"/>
    </row>
    <row r="946" spans="16:16" s="190" customFormat="1" ht="13.8" x14ac:dyDescent="0.25">
      <c r="P946" s="219"/>
    </row>
    <row r="947" spans="16:16" s="190" customFormat="1" ht="13.8" x14ac:dyDescent="0.25">
      <c r="P947" s="219"/>
    </row>
    <row r="948" spans="16:16" s="190" customFormat="1" ht="13.8" x14ac:dyDescent="0.25">
      <c r="P948" s="219"/>
    </row>
    <row r="949" spans="16:16" s="190" customFormat="1" ht="13.8" x14ac:dyDescent="0.25">
      <c r="P949" s="219"/>
    </row>
    <row r="950" spans="16:16" s="190" customFormat="1" ht="13.8" x14ac:dyDescent="0.25">
      <c r="P950" s="219"/>
    </row>
    <row r="951" spans="16:16" s="190" customFormat="1" ht="13.8" x14ac:dyDescent="0.25">
      <c r="P951" s="219"/>
    </row>
    <row r="952" spans="16:16" s="190" customFormat="1" ht="13.8" x14ac:dyDescent="0.25">
      <c r="P952" s="219"/>
    </row>
    <row r="953" spans="16:16" s="190" customFormat="1" ht="13.8" x14ac:dyDescent="0.25">
      <c r="P953" s="219"/>
    </row>
    <row r="954" spans="16:16" s="190" customFormat="1" ht="13.8" x14ac:dyDescent="0.25">
      <c r="P954" s="219"/>
    </row>
    <row r="955" spans="16:16" s="190" customFormat="1" ht="13.8" x14ac:dyDescent="0.25">
      <c r="P955" s="219"/>
    </row>
    <row r="956" spans="16:16" s="190" customFormat="1" ht="13.8" x14ac:dyDescent="0.25">
      <c r="P956" s="219"/>
    </row>
    <row r="957" spans="16:16" s="190" customFormat="1" ht="13.8" x14ac:dyDescent="0.25">
      <c r="P957" s="219"/>
    </row>
    <row r="958" spans="16:16" s="190" customFormat="1" ht="13.8" x14ac:dyDescent="0.25">
      <c r="P958" s="219"/>
    </row>
    <row r="959" spans="16:16" s="190" customFormat="1" ht="13.8" x14ac:dyDescent="0.25">
      <c r="P959" s="219"/>
    </row>
    <row r="960" spans="16:16" s="190" customFormat="1" ht="13.8" x14ac:dyDescent="0.25">
      <c r="P960" s="219"/>
    </row>
    <row r="961" spans="16:16" s="190" customFormat="1" ht="13.8" x14ac:dyDescent="0.25">
      <c r="P961" s="219"/>
    </row>
    <row r="962" spans="16:16" s="190" customFormat="1" ht="13.8" x14ac:dyDescent="0.25">
      <c r="P962" s="219"/>
    </row>
    <row r="963" spans="16:16" s="190" customFormat="1" ht="13.8" x14ac:dyDescent="0.25">
      <c r="P963" s="219"/>
    </row>
    <row r="964" spans="16:16" s="190" customFormat="1" ht="13.8" x14ac:dyDescent="0.25">
      <c r="P964" s="219"/>
    </row>
    <row r="965" spans="16:16" s="190" customFormat="1" ht="13.8" x14ac:dyDescent="0.25">
      <c r="P965" s="219"/>
    </row>
    <row r="966" spans="16:16" s="190" customFormat="1" ht="13.8" x14ac:dyDescent="0.25">
      <c r="P966" s="219"/>
    </row>
    <row r="967" spans="16:16" s="190" customFormat="1" ht="13.8" x14ac:dyDescent="0.25">
      <c r="P967" s="219"/>
    </row>
    <row r="968" spans="16:16" s="190" customFormat="1" ht="13.8" x14ac:dyDescent="0.25">
      <c r="P968" s="219"/>
    </row>
    <row r="969" spans="16:16" s="190" customFormat="1" ht="13.8" x14ac:dyDescent="0.25">
      <c r="P969" s="219"/>
    </row>
    <row r="970" spans="16:16" s="190" customFormat="1" ht="13.8" x14ac:dyDescent="0.25">
      <c r="P970" s="219"/>
    </row>
    <row r="971" spans="16:16" s="190" customFormat="1" ht="13.8" x14ac:dyDescent="0.25">
      <c r="P971" s="219"/>
    </row>
    <row r="972" spans="16:16" s="190" customFormat="1" ht="13.8" x14ac:dyDescent="0.25">
      <c r="P972" s="219"/>
    </row>
    <row r="973" spans="16:16" s="190" customFormat="1" ht="13.8" x14ac:dyDescent="0.25">
      <c r="P973" s="219"/>
    </row>
    <row r="974" spans="16:16" s="190" customFormat="1" ht="13.8" x14ac:dyDescent="0.25">
      <c r="P974" s="219"/>
    </row>
    <row r="975" spans="16:16" s="190" customFormat="1" ht="13.8" x14ac:dyDescent="0.25">
      <c r="P975" s="219"/>
    </row>
    <row r="976" spans="16:16" s="190" customFormat="1" ht="13.8" x14ac:dyDescent="0.25">
      <c r="P976" s="219"/>
    </row>
    <row r="977" spans="16:16" s="190" customFormat="1" ht="13.8" x14ac:dyDescent="0.25">
      <c r="P977" s="219"/>
    </row>
    <row r="978" spans="16:16" s="190" customFormat="1" ht="13.8" x14ac:dyDescent="0.25">
      <c r="P978" s="219"/>
    </row>
    <row r="979" spans="16:16" s="190" customFormat="1" ht="13.8" x14ac:dyDescent="0.25">
      <c r="P979" s="219"/>
    </row>
    <row r="980" spans="16:16" s="190" customFormat="1" ht="13.8" x14ac:dyDescent="0.25">
      <c r="P980" s="219"/>
    </row>
    <row r="981" spans="16:16" s="190" customFormat="1" ht="13.8" x14ac:dyDescent="0.25">
      <c r="P981" s="219"/>
    </row>
    <row r="982" spans="16:16" s="190" customFormat="1" ht="13.8" x14ac:dyDescent="0.25">
      <c r="P982" s="219"/>
    </row>
    <row r="983" spans="16:16" s="190" customFormat="1" ht="13.8" x14ac:dyDescent="0.25">
      <c r="P983" s="219"/>
    </row>
    <row r="984" spans="16:16" s="190" customFormat="1" ht="13.8" x14ac:dyDescent="0.25">
      <c r="P984" s="219"/>
    </row>
    <row r="985" spans="16:16" s="190" customFormat="1" ht="13.8" x14ac:dyDescent="0.25">
      <c r="P985" s="219"/>
    </row>
    <row r="986" spans="16:16" s="190" customFormat="1" ht="13.8" x14ac:dyDescent="0.25">
      <c r="P986" s="219"/>
    </row>
    <row r="987" spans="16:16" s="190" customFormat="1" ht="13.8" x14ac:dyDescent="0.25">
      <c r="P987" s="219"/>
    </row>
    <row r="988" spans="16:16" s="190" customFormat="1" ht="13.8" x14ac:dyDescent="0.25">
      <c r="P988" s="219"/>
    </row>
    <row r="989" spans="16:16" s="190" customFormat="1" ht="13.8" x14ac:dyDescent="0.25">
      <c r="P989" s="219"/>
    </row>
    <row r="990" spans="16:16" s="190" customFormat="1" ht="13.8" x14ac:dyDescent="0.25">
      <c r="P990" s="219"/>
    </row>
    <row r="991" spans="16:16" s="190" customFormat="1" ht="13.8" x14ac:dyDescent="0.25">
      <c r="P991" s="219"/>
    </row>
    <row r="992" spans="16:16" s="190" customFormat="1" ht="13.8" x14ac:dyDescent="0.25">
      <c r="P992" s="219"/>
    </row>
    <row r="993" spans="16:16" s="190" customFormat="1" ht="13.8" x14ac:dyDescent="0.25">
      <c r="P993" s="219"/>
    </row>
    <row r="994" spans="16:16" s="190" customFormat="1" ht="13.8" x14ac:dyDescent="0.25">
      <c r="P994" s="219"/>
    </row>
    <row r="995" spans="16:16" s="190" customFormat="1" ht="13.8" x14ac:dyDescent="0.25">
      <c r="P995" s="219"/>
    </row>
    <row r="996" spans="16:16" s="190" customFormat="1" ht="13.8" x14ac:dyDescent="0.25">
      <c r="P996" s="219"/>
    </row>
    <row r="997" spans="16:16" s="190" customFormat="1" ht="13.8" x14ac:dyDescent="0.25">
      <c r="P997" s="219"/>
    </row>
    <row r="998" spans="16:16" s="190" customFormat="1" ht="13.8" x14ac:dyDescent="0.25">
      <c r="P998" s="219"/>
    </row>
    <row r="999" spans="16:16" s="190" customFormat="1" ht="13.8" x14ac:dyDescent="0.25">
      <c r="P999" s="219"/>
    </row>
    <row r="1000" spans="16:16" s="190" customFormat="1" ht="13.8" x14ac:dyDescent="0.25">
      <c r="P1000" s="219"/>
    </row>
    <row r="1001" spans="16:16" s="190" customFormat="1" ht="13.8" x14ac:dyDescent="0.25">
      <c r="P1001" s="219"/>
    </row>
    <row r="1002" spans="16:16" s="190" customFormat="1" ht="13.8" x14ac:dyDescent="0.25">
      <c r="P1002" s="219"/>
    </row>
    <row r="1003" spans="16:16" s="190" customFormat="1" ht="13.8" x14ac:dyDescent="0.25">
      <c r="P1003" s="219"/>
    </row>
    <row r="1004" spans="16:16" s="190" customFormat="1" ht="13.8" x14ac:dyDescent="0.25">
      <c r="P1004" s="219"/>
    </row>
    <row r="1005" spans="16:16" s="190" customFormat="1" ht="13.8" x14ac:dyDescent="0.25">
      <c r="P1005" s="219"/>
    </row>
    <row r="1006" spans="16:16" s="190" customFormat="1" ht="13.8" x14ac:dyDescent="0.25">
      <c r="P1006" s="219"/>
    </row>
    <row r="1007" spans="16:16" s="190" customFormat="1" ht="13.8" x14ac:dyDescent="0.25">
      <c r="P1007" s="219"/>
    </row>
    <row r="1008" spans="16:16" s="190" customFormat="1" ht="13.8" x14ac:dyDescent="0.25">
      <c r="P1008" s="219"/>
    </row>
    <row r="1009" spans="16:16" s="190" customFormat="1" ht="13.8" x14ac:dyDescent="0.25">
      <c r="P1009" s="219"/>
    </row>
    <row r="1010" spans="16:16" s="190" customFormat="1" ht="13.8" x14ac:dyDescent="0.25">
      <c r="P1010" s="219"/>
    </row>
    <row r="1011" spans="16:16" s="190" customFormat="1" ht="13.8" x14ac:dyDescent="0.25">
      <c r="P1011" s="219"/>
    </row>
    <row r="1012" spans="16:16" s="190" customFormat="1" ht="13.8" x14ac:dyDescent="0.25">
      <c r="P1012" s="219"/>
    </row>
    <row r="1013" spans="16:16" s="190" customFormat="1" ht="13.8" x14ac:dyDescent="0.25">
      <c r="P1013" s="219"/>
    </row>
    <row r="1014" spans="16:16" s="190" customFormat="1" ht="13.8" x14ac:dyDescent="0.25">
      <c r="P1014" s="219"/>
    </row>
    <row r="1015" spans="16:16" s="190" customFormat="1" ht="13.8" x14ac:dyDescent="0.25">
      <c r="P1015" s="219"/>
    </row>
    <row r="1016" spans="16:16" s="190" customFormat="1" ht="13.8" x14ac:dyDescent="0.25">
      <c r="P1016" s="219"/>
    </row>
    <row r="1017" spans="16:16" s="190" customFormat="1" ht="13.8" x14ac:dyDescent="0.25">
      <c r="P1017" s="219"/>
    </row>
    <row r="1018" spans="16:16" s="190" customFormat="1" ht="13.8" x14ac:dyDescent="0.25">
      <c r="P1018" s="219"/>
    </row>
    <row r="1019" spans="16:16" s="190" customFormat="1" ht="13.8" x14ac:dyDescent="0.25">
      <c r="P1019" s="219"/>
    </row>
    <row r="1020" spans="16:16" s="190" customFormat="1" ht="13.8" x14ac:dyDescent="0.25">
      <c r="P1020" s="219"/>
    </row>
    <row r="1021" spans="16:16" s="190" customFormat="1" ht="13.8" x14ac:dyDescent="0.25">
      <c r="P1021" s="219"/>
    </row>
    <row r="1022" spans="16:16" s="190" customFormat="1" ht="13.8" x14ac:dyDescent="0.25">
      <c r="P1022" s="219"/>
    </row>
    <row r="1023" spans="16:16" s="190" customFormat="1" ht="13.8" x14ac:dyDescent="0.25">
      <c r="P1023" s="219"/>
    </row>
    <row r="1024" spans="16:16" s="190" customFormat="1" ht="13.8" x14ac:dyDescent="0.25">
      <c r="P1024" s="219"/>
    </row>
    <row r="1025" spans="16:16" s="190" customFormat="1" ht="13.8" x14ac:dyDescent="0.25">
      <c r="P1025" s="219"/>
    </row>
    <row r="1026" spans="16:16" s="190" customFormat="1" ht="13.8" x14ac:dyDescent="0.25">
      <c r="P1026" s="219"/>
    </row>
    <row r="1027" spans="16:16" s="190" customFormat="1" ht="13.8" x14ac:dyDescent="0.25">
      <c r="P1027" s="219"/>
    </row>
    <row r="1028" spans="16:16" s="190" customFormat="1" ht="13.8" x14ac:dyDescent="0.25">
      <c r="P1028" s="219"/>
    </row>
    <row r="1029" spans="16:16" s="190" customFormat="1" ht="13.8" x14ac:dyDescent="0.25">
      <c r="P1029" s="219"/>
    </row>
    <row r="1030" spans="16:16" s="190" customFormat="1" ht="13.8" x14ac:dyDescent="0.25">
      <c r="P1030" s="219"/>
    </row>
    <row r="1031" spans="16:16" s="190" customFormat="1" ht="13.8" x14ac:dyDescent="0.25">
      <c r="P1031" s="219"/>
    </row>
    <row r="1032" spans="16:16" s="190" customFormat="1" ht="13.8" x14ac:dyDescent="0.25">
      <c r="P1032" s="219"/>
    </row>
    <row r="1033" spans="16:16" s="190" customFormat="1" ht="13.8" x14ac:dyDescent="0.25">
      <c r="P1033" s="219"/>
    </row>
    <row r="1034" spans="16:16" s="190" customFormat="1" ht="13.8" x14ac:dyDescent="0.25">
      <c r="P1034" s="219"/>
    </row>
    <row r="1035" spans="16:16" s="190" customFormat="1" ht="13.8" x14ac:dyDescent="0.25">
      <c r="P1035" s="219"/>
    </row>
    <row r="1036" spans="16:16" s="190" customFormat="1" ht="13.8" x14ac:dyDescent="0.25">
      <c r="P1036" s="219"/>
    </row>
    <row r="1037" spans="16:16" s="190" customFormat="1" ht="13.8" x14ac:dyDescent="0.25">
      <c r="P1037" s="219"/>
    </row>
    <row r="1038" spans="16:16" s="190" customFormat="1" ht="13.8" x14ac:dyDescent="0.25">
      <c r="P1038" s="219"/>
    </row>
    <row r="1039" spans="16:16" s="190" customFormat="1" ht="13.8" x14ac:dyDescent="0.25">
      <c r="P1039" s="219"/>
    </row>
    <row r="1040" spans="16:16" s="190" customFormat="1" ht="13.8" x14ac:dyDescent="0.25">
      <c r="P1040" s="219"/>
    </row>
    <row r="1041" spans="16:16" s="190" customFormat="1" ht="13.8" x14ac:dyDescent="0.25">
      <c r="P1041" s="219"/>
    </row>
    <row r="1042" spans="16:16" s="190" customFormat="1" ht="13.8" x14ac:dyDescent="0.25">
      <c r="P1042" s="219"/>
    </row>
    <row r="1043" spans="16:16" s="190" customFormat="1" ht="13.8" x14ac:dyDescent="0.25">
      <c r="P1043" s="219"/>
    </row>
    <row r="1044" spans="16:16" s="190" customFormat="1" ht="13.8" x14ac:dyDescent="0.25">
      <c r="P1044" s="219"/>
    </row>
    <row r="1045" spans="16:16" s="190" customFormat="1" ht="13.8" x14ac:dyDescent="0.25">
      <c r="P1045" s="219"/>
    </row>
    <row r="1046" spans="16:16" s="190" customFormat="1" ht="13.8" x14ac:dyDescent="0.25">
      <c r="P1046" s="219"/>
    </row>
    <row r="1047" spans="16:16" s="190" customFormat="1" ht="13.8" x14ac:dyDescent="0.25">
      <c r="P1047" s="219"/>
    </row>
    <row r="1048" spans="16:16" s="190" customFormat="1" ht="13.8" x14ac:dyDescent="0.25">
      <c r="P1048" s="219"/>
    </row>
    <row r="1049" spans="16:16" s="190" customFormat="1" ht="13.8" x14ac:dyDescent="0.25">
      <c r="P1049" s="219"/>
    </row>
    <row r="1050" spans="16:16" s="190" customFormat="1" ht="13.8" x14ac:dyDescent="0.25">
      <c r="P1050" s="219"/>
    </row>
    <row r="1051" spans="16:16" s="190" customFormat="1" ht="13.8" x14ac:dyDescent="0.25">
      <c r="P1051" s="219"/>
    </row>
    <row r="1052" spans="16:16" s="190" customFormat="1" ht="13.8" x14ac:dyDescent="0.25">
      <c r="P1052" s="219"/>
    </row>
    <row r="1053" spans="16:16" s="190" customFormat="1" ht="13.8" x14ac:dyDescent="0.25">
      <c r="P1053" s="219"/>
    </row>
    <row r="1054" spans="16:16" s="190" customFormat="1" ht="13.8" x14ac:dyDescent="0.25">
      <c r="P1054" s="219"/>
    </row>
    <row r="1055" spans="16:16" s="190" customFormat="1" ht="13.8" x14ac:dyDescent="0.25">
      <c r="P1055" s="219"/>
    </row>
    <row r="1056" spans="16:16" s="190" customFormat="1" ht="13.8" x14ac:dyDescent="0.25">
      <c r="P1056" s="219"/>
    </row>
    <row r="1057" spans="16:16" s="190" customFormat="1" ht="13.8" x14ac:dyDescent="0.25">
      <c r="P1057" s="219"/>
    </row>
    <row r="1058" spans="16:16" s="190" customFormat="1" ht="13.8" x14ac:dyDescent="0.25">
      <c r="P1058" s="219"/>
    </row>
    <row r="1059" spans="16:16" s="190" customFormat="1" ht="13.8" x14ac:dyDescent="0.25">
      <c r="P1059" s="219"/>
    </row>
    <row r="1060" spans="16:16" s="190" customFormat="1" ht="13.8" x14ac:dyDescent="0.25">
      <c r="P1060" s="219"/>
    </row>
    <row r="1061" spans="16:16" s="190" customFormat="1" ht="13.8" x14ac:dyDescent="0.25">
      <c r="P1061" s="219"/>
    </row>
    <row r="1062" spans="16:16" s="190" customFormat="1" ht="13.8" x14ac:dyDescent="0.25">
      <c r="P1062" s="219"/>
    </row>
    <row r="1063" spans="16:16" s="190" customFormat="1" ht="13.8" x14ac:dyDescent="0.25">
      <c r="P1063" s="219"/>
    </row>
    <row r="1064" spans="16:16" s="190" customFormat="1" ht="13.8" x14ac:dyDescent="0.25">
      <c r="P1064" s="219"/>
    </row>
    <row r="1065" spans="16:16" s="190" customFormat="1" ht="13.8" x14ac:dyDescent="0.25">
      <c r="P1065" s="219"/>
    </row>
    <row r="1066" spans="16:16" s="190" customFormat="1" ht="13.8" x14ac:dyDescent="0.25">
      <c r="P1066" s="219"/>
    </row>
    <row r="1067" spans="16:16" s="190" customFormat="1" ht="13.8" x14ac:dyDescent="0.25">
      <c r="P1067" s="219"/>
    </row>
    <row r="1068" spans="16:16" s="190" customFormat="1" ht="13.8" x14ac:dyDescent="0.25">
      <c r="P1068" s="219"/>
    </row>
    <row r="1069" spans="16:16" s="190" customFormat="1" ht="13.8" x14ac:dyDescent="0.25">
      <c r="P1069" s="219"/>
    </row>
    <row r="1070" spans="16:16" s="190" customFormat="1" ht="13.8" x14ac:dyDescent="0.25">
      <c r="P1070" s="219"/>
    </row>
    <row r="1071" spans="16:16" s="190" customFormat="1" ht="13.8" x14ac:dyDescent="0.25">
      <c r="P1071" s="219"/>
    </row>
    <row r="1072" spans="16:16" s="190" customFormat="1" ht="13.8" x14ac:dyDescent="0.25">
      <c r="P1072" s="219"/>
    </row>
    <row r="1073" spans="16:16" s="190" customFormat="1" ht="13.8" x14ac:dyDescent="0.25">
      <c r="P1073" s="219"/>
    </row>
    <row r="1074" spans="16:16" s="190" customFormat="1" ht="13.8" x14ac:dyDescent="0.25">
      <c r="P1074" s="219"/>
    </row>
    <row r="1075" spans="16:16" s="190" customFormat="1" ht="13.8" x14ac:dyDescent="0.25">
      <c r="P1075" s="219"/>
    </row>
    <row r="1076" spans="16:16" s="190" customFormat="1" ht="13.8" x14ac:dyDescent="0.25">
      <c r="P1076" s="219"/>
    </row>
    <row r="1077" spans="16:16" s="190" customFormat="1" ht="13.8" x14ac:dyDescent="0.25">
      <c r="P1077" s="219"/>
    </row>
    <row r="1078" spans="16:16" s="190" customFormat="1" ht="13.8" x14ac:dyDescent="0.25">
      <c r="P1078" s="219"/>
    </row>
    <row r="1079" spans="16:16" s="190" customFormat="1" ht="13.8" x14ac:dyDescent="0.25">
      <c r="P1079" s="219"/>
    </row>
    <row r="1080" spans="16:16" s="190" customFormat="1" ht="13.8" x14ac:dyDescent="0.25">
      <c r="P1080" s="219"/>
    </row>
    <row r="1081" spans="16:16" s="190" customFormat="1" ht="13.8" x14ac:dyDescent="0.25">
      <c r="P1081" s="219"/>
    </row>
    <row r="1082" spans="16:16" s="190" customFormat="1" ht="13.8" x14ac:dyDescent="0.25">
      <c r="P1082" s="219"/>
    </row>
    <row r="1083" spans="16:16" s="190" customFormat="1" ht="13.8" x14ac:dyDescent="0.25">
      <c r="P1083" s="219"/>
    </row>
    <row r="1084" spans="16:16" s="190" customFormat="1" ht="13.8" x14ac:dyDescent="0.25">
      <c r="P1084" s="219"/>
    </row>
    <row r="1085" spans="16:16" s="190" customFormat="1" ht="13.8" x14ac:dyDescent="0.25">
      <c r="P1085" s="219"/>
    </row>
    <row r="1086" spans="16:16" s="190" customFormat="1" ht="13.8" x14ac:dyDescent="0.25">
      <c r="P1086" s="219"/>
    </row>
    <row r="1087" spans="16:16" s="190" customFormat="1" ht="13.8" x14ac:dyDescent="0.25">
      <c r="P1087" s="219"/>
    </row>
    <row r="1088" spans="16:16" s="190" customFormat="1" ht="13.8" x14ac:dyDescent="0.25">
      <c r="P1088" s="219"/>
    </row>
    <row r="1089" spans="16:16" s="190" customFormat="1" ht="13.8" x14ac:dyDescent="0.25">
      <c r="P1089" s="219"/>
    </row>
    <row r="1090" spans="16:16" s="190" customFormat="1" ht="13.8" x14ac:dyDescent="0.25">
      <c r="P1090" s="219"/>
    </row>
    <row r="1091" spans="16:16" s="190" customFormat="1" ht="13.8" x14ac:dyDescent="0.25">
      <c r="P1091" s="219"/>
    </row>
    <row r="1092" spans="16:16" s="190" customFormat="1" ht="13.8" x14ac:dyDescent="0.25">
      <c r="P1092" s="219"/>
    </row>
    <row r="1093" spans="16:16" s="190" customFormat="1" ht="13.8" x14ac:dyDescent="0.25">
      <c r="P1093" s="219"/>
    </row>
    <row r="1094" spans="16:16" s="190" customFormat="1" ht="13.8" x14ac:dyDescent="0.25">
      <c r="P1094" s="219"/>
    </row>
    <row r="1095" spans="16:16" s="190" customFormat="1" ht="13.8" x14ac:dyDescent="0.25">
      <c r="P1095" s="219"/>
    </row>
    <row r="1096" spans="16:16" s="190" customFormat="1" ht="13.8" x14ac:dyDescent="0.25">
      <c r="P1096" s="219"/>
    </row>
    <row r="1097" spans="16:16" s="190" customFormat="1" ht="13.8" x14ac:dyDescent="0.25">
      <c r="P1097" s="219"/>
    </row>
    <row r="1098" spans="16:16" s="190" customFormat="1" ht="13.8" x14ac:dyDescent="0.25">
      <c r="P1098" s="219"/>
    </row>
    <row r="1099" spans="16:16" s="190" customFormat="1" ht="13.8" x14ac:dyDescent="0.25">
      <c r="P1099" s="219"/>
    </row>
    <row r="1100" spans="16:16" s="190" customFormat="1" ht="13.8" x14ac:dyDescent="0.25">
      <c r="P1100" s="219"/>
    </row>
    <row r="1101" spans="16:16" s="190" customFormat="1" ht="13.8" x14ac:dyDescent="0.25">
      <c r="P1101" s="219"/>
    </row>
    <row r="1102" spans="16:16" s="190" customFormat="1" ht="13.8" x14ac:dyDescent="0.25">
      <c r="P1102" s="219"/>
    </row>
    <row r="1103" spans="16:16" s="190" customFormat="1" ht="13.8" x14ac:dyDescent="0.25">
      <c r="P1103" s="219"/>
    </row>
    <row r="1104" spans="16:16" s="190" customFormat="1" ht="13.8" x14ac:dyDescent="0.25">
      <c r="P1104" s="219"/>
    </row>
    <row r="1105" spans="16:16" s="190" customFormat="1" ht="13.8" x14ac:dyDescent="0.25">
      <c r="P1105" s="219"/>
    </row>
    <row r="1106" spans="16:16" s="190" customFormat="1" ht="13.8" x14ac:dyDescent="0.25">
      <c r="P1106" s="219"/>
    </row>
    <row r="1107" spans="16:16" s="190" customFormat="1" ht="13.8" x14ac:dyDescent="0.25">
      <c r="P1107" s="219"/>
    </row>
    <row r="1108" spans="16:16" s="190" customFormat="1" ht="13.8" x14ac:dyDescent="0.25">
      <c r="P1108" s="219"/>
    </row>
    <row r="1109" spans="16:16" s="190" customFormat="1" ht="13.8" x14ac:dyDescent="0.25">
      <c r="P1109" s="219"/>
    </row>
    <row r="1110" spans="16:16" s="190" customFormat="1" ht="13.8" x14ac:dyDescent="0.25">
      <c r="P1110" s="219"/>
    </row>
    <row r="1111" spans="16:16" s="190" customFormat="1" ht="13.8" x14ac:dyDescent="0.25">
      <c r="P1111" s="219"/>
    </row>
    <row r="1112" spans="16:16" s="190" customFormat="1" ht="13.8" x14ac:dyDescent="0.25">
      <c r="P1112" s="219"/>
    </row>
    <row r="1113" spans="16:16" s="190" customFormat="1" ht="13.8" x14ac:dyDescent="0.25">
      <c r="P1113" s="219"/>
    </row>
    <row r="1114" spans="16:16" s="190" customFormat="1" ht="13.8" x14ac:dyDescent="0.25">
      <c r="P1114" s="219"/>
    </row>
    <row r="1115" spans="16:16" s="190" customFormat="1" ht="13.8" x14ac:dyDescent="0.25">
      <c r="P1115" s="219"/>
    </row>
    <row r="1116" spans="16:16" s="190" customFormat="1" ht="13.8" x14ac:dyDescent="0.25">
      <c r="P1116" s="219"/>
    </row>
    <row r="1117" spans="16:16" s="190" customFormat="1" ht="13.8" x14ac:dyDescent="0.25">
      <c r="P1117" s="219"/>
    </row>
    <row r="1118" spans="16:16" s="190" customFormat="1" ht="13.8" x14ac:dyDescent="0.25">
      <c r="P1118" s="219"/>
    </row>
    <row r="1119" spans="16:16" s="190" customFormat="1" ht="13.8" x14ac:dyDescent="0.25">
      <c r="P1119" s="219"/>
    </row>
    <row r="1120" spans="16:16" s="190" customFormat="1" ht="13.8" x14ac:dyDescent="0.25">
      <c r="P1120" s="219"/>
    </row>
    <row r="1121" spans="16:16" s="190" customFormat="1" ht="13.8" x14ac:dyDescent="0.25">
      <c r="P1121" s="219"/>
    </row>
    <row r="1122" spans="16:16" s="190" customFormat="1" ht="13.8" x14ac:dyDescent="0.25">
      <c r="P1122" s="219"/>
    </row>
    <row r="1123" spans="16:16" s="190" customFormat="1" ht="13.8" x14ac:dyDescent="0.25">
      <c r="P1123" s="219"/>
    </row>
    <row r="1124" spans="16:16" s="190" customFormat="1" ht="13.8" x14ac:dyDescent="0.25">
      <c r="P1124" s="219"/>
    </row>
    <row r="1125" spans="16:16" s="190" customFormat="1" ht="13.8" x14ac:dyDescent="0.25">
      <c r="P1125" s="219"/>
    </row>
    <row r="1126" spans="16:16" s="190" customFormat="1" ht="13.8" x14ac:dyDescent="0.25">
      <c r="P1126" s="219"/>
    </row>
    <row r="1127" spans="16:16" s="190" customFormat="1" ht="13.8" x14ac:dyDescent="0.25">
      <c r="P1127" s="219"/>
    </row>
    <row r="1128" spans="16:16" s="190" customFormat="1" ht="13.8" x14ac:dyDescent="0.25">
      <c r="P1128" s="219"/>
    </row>
    <row r="1129" spans="16:16" s="190" customFormat="1" ht="13.8" x14ac:dyDescent="0.25">
      <c r="P1129" s="219"/>
    </row>
    <row r="1130" spans="16:16" s="190" customFormat="1" ht="13.8" x14ac:dyDescent="0.25">
      <c r="P1130" s="219"/>
    </row>
    <row r="1131" spans="16:16" s="190" customFormat="1" ht="13.8" x14ac:dyDescent="0.25">
      <c r="P1131" s="219"/>
    </row>
    <row r="1132" spans="16:16" s="190" customFormat="1" ht="13.8" x14ac:dyDescent="0.25">
      <c r="P1132" s="219"/>
    </row>
    <row r="1133" spans="16:16" s="190" customFormat="1" ht="13.8" x14ac:dyDescent="0.25">
      <c r="P1133" s="219"/>
    </row>
    <row r="1134" spans="16:16" s="190" customFormat="1" ht="13.8" x14ac:dyDescent="0.25">
      <c r="P1134" s="219"/>
    </row>
    <row r="1135" spans="16:16" s="190" customFormat="1" ht="13.8" x14ac:dyDescent="0.25">
      <c r="P1135" s="219"/>
    </row>
    <row r="1136" spans="16:16" s="190" customFormat="1" ht="13.8" x14ac:dyDescent="0.25">
      <c r="P1136" s="219"/>
    </row>
    <row r="1137" spans="16:16" s="190" customFormat="1" ht="13.8" x14ac:dyDescent="0.25">
      <c r="P1137" s="219"/>
    </row>
    <row r="1138" spans="16:16" s="190" customFormat="1" ht="13.8" x14ac:dyDescent="0.25">
      <c r="P1138" s="219"/>
    </row>
    <row r="1139" spans="16:16" s="190" customFormat="1" ht="13.8" x14ac:dyDescent="0.25">
      <c r="P1139" s="219"/>
    </row>
    <row r="1140" spans="16:16" s="190" customFormat="1" ht="13.8" x14ac:dyDescent="0.25">
      <c r="P1140" s="219"/>
    </row>
    <row r="1141" spans="16:16" s="190" customFormat="1" ht="13.8" x14ac:dyDescent="0.25">
      <c r="P1141" s="219"/>
    </row>
    <row r="1142" spans="16:16" s="190" customFormat="1" ht="13.8" x14ac:dyDescent="0.25">
      <c r="P1142" s="219"/>
    </row>
    <row r="1143" spans="16:16" s="190" customFormat="1" ht="13.8" x14ac:dyDescent="0.25">
      <c r="P1143" s="219"/>
    </row>
    <row r="1144" spans="16:16" s="190" customFormat="1" ht="13.8" x14ac:dyDescent="0.25">
      <c r="P1144" s="219"/>
    </row>
    <row r="1145" spans="16:16" s="190" customFormat="1" ht="13.8" x14ac:dyDescent="0.25">
      <c r="P1145" s="219"/>
    </row>
    <row r="1146" spans="16:16" s="190" customFormat="1" ht="13.8" x14ac:dyDescent="0.25">
      <c r="P1146" s="219"/>
    </row>
    <row r="1147" spans="16:16" s="190" customFormat="1" ht="13.8" x14ac:dyDescent="0.25">
      <c r="P1147" s="219"/>
    </row>
    <row r="1148" spans="16:16" s="190" customFormat="1" ht="13.8" x14ac:dyDescent="0.25">
      <c r="P1148" s="219"/>
    </row>
    <row r="1149" spans="16:16" s="190" customFormat="1" ht="13.8" x14ac:dyDescent="0.25">
      <c r="P1149" s="219"/>
    </row>
    <row r="1150" spans="16:16" s="190" customFormat="1" ht="13.8" x14ac:dyDescent="0.25">
      <c r="P1150" s="219"/>
    </row>
    <row r="1151" spans="16:16" s="190" customFormat="1" ht="13.8" x14ac:dyDescent="0.25">
      <c r="P1151" s="219"/>
    </row>
    <row r="1152" spans="16:16" s="190" customFormat="1" ht="13.8" x14ac:dyDescent="0.25">
      <c r="P1152" s="219"/>
    </row>
    <row r="1153" spans="16:16" s="190" customFormat="1" ht="13.8" x14ac:dyDescent="0.25">
      <c r="P1153" s="219"/>
    </row>
    <row r="1154" spans="16:16" s="190" customFormat="1" ht="13.8" x14ac:dyDescent="0.25">
      <c r="P1154" s="219"/>
    </row>
    <row r="1155" spans="16:16" s="190" customFormat="1" ht="13.8" x14ac:dyDescent="0.25">
      <c r="P1155" s="219"/>
    </row>
    <row r="1156" spans="16:16" s="190" customFormat="1" ht="13.8" x14ac:dyDescent="0.25">
      <c r="P1156" s="219"/>
    </row>
    <row r="1157" spans="16:16" s="190" customFormat="1" ht="13.8" x14ac:dyDescent="0.25">
      <c r="P1157" s="219"/>
    </row>
    <row r="1158" spans="16:16" s="190" customFormat="1" ht="13.8" x14ac:dyDescent="0.25">
      <c r="P1158" s="219"/>
    </row>
    <row r="1159" spans="16:16" s="190" customFormat="1" ht="13.8" x14ac:dyDescent="0.25">
      <c r="P1159" s="219"/>
    </row>
    <row r="1160" spans="16:16" s="190" customFormat="1" ht="13.8" x14ac:dyDescent="0.25">
      <c r="P1160" s="219"/>
    </row>
    <row r="1161" spans="16:16" s="190" customFormat="1" ht="13.8" x14ac:dyDescent="0.25">
      <c r="P1161" s="219"/>
    </row>
    <row r="1162" spans="16:16" s="190" customFormat="1" ht="13.8" x14ac:dyDescent="0.25">
      <c r="P1162" s="219"/>
    </row>
    <row r="1163" spans="16:16" s="190" customFormat="1" ht="13.8" x14ac:dyDescent="0.25">
      <c r="P1163" s="219"/>
    </row>
    <row r="1164" spans="16:16" s="190" customFormat="1" ht="13.8" x14ac:dyDescent="0.25">
      <c r="P1164" s="219"/>
    </row>
    <row r="1165" spans="16:16" s="190" customFormat="1" ht="13.8" x14ac:dyDescent="0.25">
      <c r="P1165" s="219"/>
    </row>
    <row r="1166" spans="16:16" s="190" customFormat="1" ht="13.8" x14ac:dyDescent="0.25">
      <c r="P1166" s="219"/>
    </row>
    <row r="1167" spans="16:16" s="190" customFormat="1" ht="13.8" x14ac:dyDescent="0.25">
      <c r="P1167" s="219"/>
    </row>
    <row r="1168" spans="16:16" s="190" customFormat="1" ht="13.8" x14ac:dyDescent="0.25">
      <c r="P1168" s="219"/>
    </row>
    <row r="1169" spans="16:16" s="190" customFormat="1" ht="13.8" x14ac:dyDescent="0.25">
      <c r="P1169" s="219"/>
    </row>
    <row r="1170" spans="16:16" s="190" customFormat="1" ht="13.8" x14ac:dyDescent="0.25">
      <c r="P1170" s="219"/>
    </row>
    <row r="1171" spans="16:16" s="190" customFormat="1" ht="13.8" x14ac:dyDescent="0.25">
      <c r="P1171" s="219"/>
    </row>
    <row r="1172" spans="16:16" s="190" customFormat="1" ht="13.8" x14ac:dyDescent="0.25">
      <c r="P1172" s="219"/>
    </row>
    <row r="1173" spans="16:16" s="190" customFormat="1" ht="13.8" x14ac:dyDescent="0.25">
      <c r="P1173" s="219"/>
    </row>
    <row r="1174" spans="16:16" s="190" customFormat="1" ht="13.8" x14ac:dyDescent="0.25">
      <c r="P1174" s="219"/>
    </row>
    <row r="1175" spans="16:16" s="190" customFormat="1" ht="13.8" x14ac:dyDescent="0.25">
      <c r="P1175" s="219"/>
    </row>
    <row r="1176" spans="16:16" s="190" customFormat="1" ht="13.8" x14ac:dyDescent="0.25">
      <c r="P1176" s="219"/>
    </row>
    <row r="1177" spans="16:16" s="190" customFormat="1" ht="13.8" x14ac:dyDescent="0.25">
      <c r="P1177" s="219"/>
    </row>
    <row r="1178" spans="16:16" s="190" customFormat="1" ht="13.8" x14ac:dyDescent="0.25">
      <c r="P1178" s="219"/>
    </row>
    <row r="1179" spans="16:16" s="190" customFormat="1" ht="13.8" x14ac:dyDescent="0.25">
      <c r="P1179" s="219"/>
    </row>
    <row r="1180" spans="16:16" s="190" customFormat="1" ht="13.8" x14ac:dyDescent="0.25">
      <c r="P1180" s="219"/>
    </row>
    <row r="1181" spans="16:16" s="190" customFormat="1" ht="13.8" x14ac:dyDescent="0.25">
      <c r="P1181" s="219"/>
    </row>
    <row r="1182" spans="16:16" s="190" customFormat="1" ht="13.8" x14ac:dyDescent="0.25">
      <c r="P1182" s="219"/>
    </row>
    <row r="1183" spans="16:16" s="190" customFormat="1" ht="13.8" x14ac:dyDescent="0.25">
      <c r="P1183" s="219"/>
    </row>
    <row r="1184" spans="16:16" s="190" customFormat="1" ht="13.8" x14ac:dyDescent="0.25">
      <c r="P1184" s="219"/>
    </row>
    <row r="1185" spans="16:16" s="190" customFormat="1" ht="13.8" x14ac:dyDescent="0.25">
      <c r="P1185" s="219"/>
    </row>
    <row r="1186" spans="16:16" s="190" customFormat="1" ht="13.8" x14ac:dyDescent="0.25">
      <c r="P1186" s="219"/>
    </row>
    <row r="1187" spans="16:16" s="190" customFormat="1" ht="13.8" x14ac:dyDescent="0.25">
      <c r="P1187" s="219"/>
    </row>
    <row r="1188" spans="16:16" s="190" customFormat="1" ht="13.8" x14ac:dyDescent="0.25">
      <c r="P1188" s="219"/>
    </row>
    <row r="1189" spans="16:16" s="190" customFormat="1" ht="13.8" x14ac:dyDescent="0.25">
      <c r="P1189" s="219"/>
    </row>
    <row r="1190" spans="16:16" s="190" customFormat="1" ht="13.8" x14ac:dyDescent="0.25">
      <c r="P1190" s="219"/>
    </row>
    <row r="1191" spans="16:16" s="190" customFormat="1" ht="13.8" x14ac:dyDescent="0.25">
      <c r="P1191" s="219"/>
    </row>
    <row r="1192" spans="16:16" s="190" customFormat="1" ht="13.8" x14ac:dyDescent="0.25">
      <c r="P1192" s="219"/>
    </row>
    <row r="1193" spans="16:16" s="190" customFormat="1" ht="13.8" x14ac:dyDescent="0.25">
      <c r="P1193" s="219"/>
    </row>
    <row r="1194" spans="16:16" s="190" customFormat="1" ht="13.8" x14ac:dyDescent="0.25">
      <c r="P1194" s="219"/>
    </row>
    <row r="1195" spans="16:16" s="190" customFormat="1" ht="13.8" x14ac:dyDescent="0.25">
      <c r="P1195" s="219"/>
    </row>
    <row r="1196" spans="16:16" s="190" customFormat="1" ht="13.8" x14ac:dyDescent="0.25">
      <c r="P1196" s="219"/>
    </row>
    <row r="1197" spans="16:16" s="190" customFormat="1" ht="13.8" x14ac:dyDescent="0.25">
      <c r="P1197" s="219"/>
    </row>
    <row r="1198" spans="16:16" s="190" customFormat="1" ht="13.8" x14ac:dyDescent="0.25">
      <c r="P1198" s="219"/>
    </row>
    <row r="1199" spans="16:16" s="190" customFormat="1" ht="13.8" x14ac:dyDescent="0.25">
      <c r="P1199" s="219"/>
    </row>
    <row r="1200" spans="16:16" s="190" customFormat="1" ht="13.8" x14ac:dyDescent="0.25">
      <c r="P1200" s="219"/>
    </row>
    <row r="1201" spans="16:16" s="190" customFormat="1" ht="13.8" x14ac:dyDescent="0.25">
      <c r="P1201" s="219"/>
    </row>
    <row r="1202" spans="16:16" s="190" customFormat="1" ht="13.8" x14ac:dyDescent="0.25">
      <c r="P1202" s="219"/>
    </row>
    <row r="1203" spans="16:16" s="190" customFormat="1" ht="13.8" x14ac:dyDescent="0.25">
      <c r="P1203" s="219"/>
    </row>
    <row r="1204" spans="16:16" s="190" customFormat="1" ht="13.8" x14ac:dyDescent="0.25">
      <c r="P1204" s="219"/>
    </row>
    <row r="1205" spans="16:16" s="190" customFormat="1" ht="13.8" x14ac:dyDescent="0.25">
      <c r="P1205" s="219"/>
    </row>
    <row r="1206" spans="16:16" s="190" customFormat="1" ht="13.8" x14ac:dyDescent="0.25">
      <c r="P1206" s="219"/>
    </row>
    <row r="1207" spans="16:16" s="190" customFormat="1" ht="13.8" x14ac:dyDescent="0.25">
      <c r="P1207" s="219"/>
    </row>
    <row r="1208" spans="16:16" s="190" customFormat="1" ht="13.8" x14ac:dyDescent="0.25">
      <c r="P1208" s="219"/>
    </row>
    <row r="1209" spans="16:16" s="190" customFormat="1" ht="13.8" x14ac:dyDescent="0.25">
      <c r="P1209" s="219"/>
    </row>
    <row r="1210" spans="16:16" s="190" customFormat="1" ht="13.8" x14ac:dyDescent="0.25">
      <c r="P1210" s="219"/>
    </row>
    <row r="1211" spans="16:16" s="190" customFormat="1" ht="13.8" x14ac:dyDescent="0.25">
      <c r="P1211" s="219"/>
    </row>
    <row r="1212" spans="16:16" s="190" customFormat="1" ht="13.8" x14ac:dyDescent="0.25">
      <c r="P1212" s="219"/>
    </row>
    <row r="1213" spans="16:16" s="190" customFormat="1" ht="13.8" x14ac:dyDescent="0.25">
      <c r="P1213" s="219"/>
    </row>
    <row r="1214" spans="16:16" s="190" customFormat="1" ht="13.8" x14ac:dyDescent="0.25">
      <c r="P1214" s="219"/>
    </row>
    <row r="1215" spans="16:16" s="190" customFormat="1" ht="13.8" x14ac:dyDescent="0.25">
      <c r="P1215" s="219"/>
    </row>
    <row r="1216" spans="16:16" s="190" customFormat="1" ht="13.8" x14ac:dyDescent="0.25">
      <c r="P1216" s="219"/>
    </row>
    <row r="1217" spans="16:16" s="190" customFormat="1" ht="13.8" x14ac:dyDescent="0.25">
      <c r="P1217" s="219"/>
    </row>
    <row r="1218" spans="16:16" s="190" customFormat="1" ht="13.8" x14ac:dyDescent="0.25">
      <c r="P1218" s="219"/>
    </row>
    <row r="1219" spans="16:16" s="190" customFormat="1" ht="13.8" x14ac:dyDescent="0.25">
      <c r="P1219" s="219"/>
    </row>
    <row r="1220" spans="16:16" s="190" customFormat="1" ht="13.8" x14ac:dyDescent="0.25">
      <c r="P1220" s="219"/>
    </row>
    <row r="1221" spans="16:16" s="190" customFormat="1" ht="13.8" x14ac:dyDescent="0.25">
      <c r="P1221" s="219"/>
    </row>
    <row r="1222" spans="16:16" s="190" customFormat="1" ht="13.8" x14ac:dyDescent="0.25">
      <c r="P1222" s="219"/>
    </row>
    <row r="1223" spans="16:16" s="190" customFormat="1" ht="13.8" x14ac:dyDescent="0.25">
      <c r="P1223" s="219"/>
    </row>
    <row r="1224" spans="16:16" s="190" customFormat="1" ht="13.8" x14ac:dyDescent="0.25">
      <c r="P1224" s="219"/>
    </row>
    <row r="1225" spans="16:16" s="190" customFormat="1" ht="13.8" x14ac:dyDescent="0.25">
      <c r="P1225" s="219"/>
    </row>
    <row r="1226" spans="16:16" s="190" customFormat="1" ht="13.8" x14ac:dyDescent="0.25">
      <c r="P1226" s="219"/>
    </row>
    <row r="1227" spans="16:16" s="190" customFormat="1" ht="13.8" x14ac:dyDescent="0.25">
      <c r="P1227" s="219"/>
    </row>
    <row r="1228" spans="16:16" s="190" customFormat="1" ht="13.8" x14ac:dyDescent="0.25">
      <c r="P1228" s="219"/>
    </row>
    <row r="1229" spans="16:16" s="190" customFormat="1" ht="13.8" x14ac:dyDescent="0.25">
      <c r="P1229" s="219"/>
    </row>
    <row r="1230" spans="16:16" s="190" customFormat="1" ht="13.8" x14ac:dyDescent="0.25">
      <c r="P1230" s="219"/>
    </row>
    <row r="1231" spans="16:16" s="190" customFormat="1" ht="13.8" x14ac:dyDescent="0.25">
      <c r="P1231" s="219"/>
    </row>
    <row r="1232" spans="16:16" s="190" customFormat="1" ht="13.8" x14ac:dyDescent="0.25">
      <c r="P1232" s="219"/>
    </row>
    <row r="1233" spans="16:16" s="190" customFormat="1" ht="13.8" x14ac:dyDescent="0.25">
      <c r="P1233" s="219"/>
    </row>
    <row r="1234" spans="16:16" s="190" customFormat="1" ht="13.8" x14ac:dyDescent="0.25">
      <c r="P1234" s="219"/>
    </row>
    <row r="1235" spans="16:16" s="190" customFormat="1" ht="13.8" x14ac:dyDescent="0.25">
      <c r="P1235" s="219"/>
    </row>
    <row r="1236" spans="16:16" s="190" customFormat="1" ht="13.8" x14ac:dyDescent="0.25">
      <c r="P1236" s="219"/>
    </row>
    <row r="1237" spans="16:16" s="190" customFormat="1" ht="13.8" x14ac:dyDescent="0.25">
      <c r="P1237" s="219"/>
    </row>
    <row r="1238" spans="16:16" s="190" customFormat="1" ht="13.8" x14ac:dyDescent="0.25">
      <c r="P1238" s="219"/>
    </row>
    <row r="1239" spans="16:16" s="190" customFormat="1" ht="13.8" x14ac:dyDescent="0.25">
      <c r="P1239" s="219"/>
    </row>
    <row r="1240" spans="16:16" s="190" customFormat="1" ht="13.8" x14ac:dyDescent="0.25">
      <c r="P1240" s="219"/>
    </row>
    <row r="1241" spans="16:16" s="190" customFormat="1" ht="13.8" x14ac:dyDescent="0.25">
      <c r="P1241" s="219"/>
    </row>
    <row r="1242" spans="16:16" s="190" customFormat="1" ht="13.8" x14ac:dyDescent="0.25">
      <c r="P1242" s="219"/>
    </row>
    <row r="1243" spans="16:16" s="190" customFormat="1" ht="13.8" x14ac:dyDescent="0.25">
      <c r="P1243" s="219"/>
    </row>
    <row r="1244" spans="16:16" s="190" customFormat="1" ht="13.8" x14ac:dyDescent="0.25">
      <c r="P1244" s="219"/>
    </row>
    <row r="1245" spans="16:16" s="190" customFormat="1" ht="13.8" x14ac:dyDescent="0.25">
      <c r="P1245" s="219"/>
    </row>
    <row r="1246" spans="16:16" s="190" customFormat="1" ht="13.8" x14ac:dyDescent="0.25">
      <c r="P1246" s="219"/>
    </row>
    <row r="1247" spans="16:16" s="190" customFormat="1" ht="13.8" x14ac:dyDescent="0.25">
      <c r="P1247" s="219"/>
    </row>
    <row r="1248" spans="16:16" s="190" customFormat="1" ht="13.8" x14ac:dyDescent="0.25">
      <c r="P1248" s="219"/>
    </row>
    <row r="1249" spans="16:16" s="190" customFormat="1" ht="13.8" x14ac:dyDescent="0.25">
      <c r="P1249" s="219"/>
    </row>
    <row r="1250" spans="16:16" s="190" customFormat="1" ht="13.8" x14ac:dyDescent="0.25">
      <c r="P1250" s="219"/>
    </row>
    <row r="1251" spans="16:16" s="190" customFormat="1" ht="13.8" x14ac:dyDescent="0.25">
      <c r="P1251" s="219"/>
    </row>
    <row r="1252" spans="16:16" s="190" customFormat="1" ht="13.8" x14ac:dyDescent="0.25">
      <c r="P1252" s="219"/>
    </row>
    <row r="1253" spans="16:16" s="190" customFormat="1" ht="13.8" x14ac:dyDescent="0.25">
      <c r="P1253" s="219"/>
    </row>
    <row r="1254" spans="16:16" s="190" customFormat="1" ht="13.8" x14ac:dyDescent="0.25">
      <c r="P1254" s="219"/>
    </row>
    <row r="1255" spans="16:16" s="190" customFormat="1" ht="13.8" x14ac:dyDescent="0.25">
      <c r="P1255" s="219"/>
    </row>
    <row r="1256" spans="16:16" s="190" customFormat="1" ht="13.8" x14ac:dyDescent="0.25">
      <c r="P1256" s="219"/>
    </row>
    <row r="1257" spans="16:16" s="190" customFormat="1" ht="13.8" x14ac:dyDescent="0.25">
      <c r="P1257" s="219"/>
    </row>
    <row r="1258" spans="16:16" s="190" customFormat="1" ht="13.8" x14ac:dyDescent="0.25">
      <c r="P1258" s="219"/>
    </row>
    <row r="1259" spans="16:16" s="190" customFormat="1" ht="13.8" x14ac:dyDescent="0.25">
      <c r="P1259" s="219"/>
    </row>
    <row r="1260" spans="16:16" s="190" customFormat="1" ht="13.8" x14ac:dyDescent="0.25">
      <c r="P1260" s="219"/>
    </row>
    <row r="1261" spans="16:16" s="190" customFormat="1" ht="13.8" x14ac:dyDescent="0.25">
      <c r="P1261" s="219"/>
    </row>
    <row r="1262" spans="16:16" s="190" customFormat="1" ht="13.8" x14ac:dyDescent="0.25">
      <c r="P1262" s="219"/>
    </row>
    <row r="1263" spans="16:16" s="190" customFormat="1" ht="13.8" x14ac:dyDescent="0.25">
      <c r="P1263" s="219"/>
    </row>
    <row r="1264" spans="16:16" s="190" customFormat="1" ht="13.8" x14ac:dyDescent="0.25">
      <c r="P1264" s="219"/>
    </row>
    <row r="1265" spans="16:16" s="190" customFormat="1" ht="13.8" x14ac:dyDescent="0.25">
      <c r="P1265" s="219"/>
    </row>
    <row r="1266" spans="16:16" s="190" customFormat="1" ht="13.8" x14ac:dyDescent="0.25">
      <c r="P1266" s="219"/>
    </row>
  </sheetData>
  <autoFilter ref="A12:O332">
    <sortState ref="A13:O331">
      <sortCondition ref="A12:A331"/>
    </sortState>
  </autoFilter>
  <sortState ref="A13:A334">
    <sortCondition ref="A13:A334"/>
  </sortState>
  <mergeCells count="1">
    <mergeCell ref="A1:O1"/>
  </mergeCells>
  <dataValidations count="2">
    <dataValidation type="list" allowBlank="1" showInputMessage="1" showErrorMessage="1" sqref="C84:C85">
      <formula1>$N$3763:$N$3783</formula1>
    </dataValidation>
    <dataValidation type="list" allowBlank="1" showInputMessage="1" showErrorMessage="1" sqref="B121">
      <formula1>$N$3760:$N$3780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rowBreaks count="2" manualBreakCount="2">
    <brk id="11" max="16383" man="1"/>
    <brk id="11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'D:\Juin 23\Compta Juin\[Compta_Oracle Juin 2023.xlsx]Feuil1'!#REF!</xm:f>
          </x14:formula1>
          <xm:sqref>C310:C315 C317:C330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Récapitulatif</vt:lpstr>
      <vt:lpstr>Feuil2</vt:lpstr>
      <vt:lpstr>Donateur</vt:lpstr>
      <vt:lpstr>DATA JUIN 2023</vt:lpstr>
      <vt:lpstr>'DATA JUIN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MAMAN_DE_OZA'S</cp:lastModifiedBy>
  <cp:lastPrinted>2022-12-19T11:25:20Z</cp:lastPrinted>
  <dcterms:created xsi:type="dcterms:W3CDTF">2020-09-02T13:35:58Z</dcterms:created>
  <dcterms:modified xsi:type="dcterms:W3CDTF">2023-09-10T09:52:13Z</dcterms:modified>
</cp:coreProperties>
</file>