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LF\Mol PALF\2023\Juillet 23\"/>
    </mc:Choice>
  </mc:AlternateContent>
  <bookViews>
    <workbookView xWindow="-120" yWindow="-120" windowWidth="20736" windowHeight="11160" activeTab="3"/>
  </bookViews>
  <sheets>
    <sheet name="Récapitulatif" sheetId="16" r:id="rId1"/>
    <sheet name="Donateurs" sheetId="177" r:id="rId2"/>
    <sheet name="Feuil4" sheetId="179" r:id="rId3"/>
    <sheet name="DATA JUILLET 2023" sheetId="1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'DATA JUILLET 2023'!$A$12:$O$333</definedName>
    <definedName name="_xlnm.Print_Area" localSheetId="3">'DATA JUILLET 2023'!$A$1:$N$220</definedName>
  </definedNames>
  <calcPr calcId="162913"/>
  <pivotCaches>
    <pivotCache cacheId="3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7" i="179" l="1"/>
  <c r="AT7" i="179"/>
  <c r="AT8" i="179"/>
  <c r="AT9" i="179"/>
  <c r="AT10" i="179"/>
  <c r="AT11" i="179"/>
  <c r="AT12" i="179"/>
  <c r="AT13" i="179"/>
  <c r="AT14" i="179"/>
  <c r="AT15" i="179"/>
  <c r="AT16" i="179"/>
  <c r="AT17" i="179"/>
  <c r="AT18" i="179"/>
  <c r="AT19" i="179"/>
  <c r="AT20" i="179"/>
  <c r="AT6" i="179"/>
  <c r="AS7" i="179"/>
  <c r="AS8" i="179"/>
  <c r="AS9" i="179"/>
  <c r="AS10" i="179"/>
  <c r="AS11" i="179"/>
  <c r="AS12" i="179"/>
  <c r="AS13" i="179"/>
  <c r="AS14" i="179"/>
  <c r="AS15" i="179"/>
  <c r="AS16" i="179"/>
  <c r="AS17" i="179"/>
  <c r="AS18" i="179"/>
  <c r="AS19" i="179"/>
  <c r="AS20" i="179"/>
  <c r="AS6" i="179"/>
  <c r="AR7" i="179"/>
  <c r="AR8" i="179"/>
  <c r="AR9" i="179"/>
  <c r="AR10" i="179"/>
  <c r="AR11" i="179"/>
  <c r="AR12" i="179"/>
  <c r="AR13" i="179"/>
  <c r="AR14" i="179"/>
  <c r="AR15" i="179"/>
  <c r="AR16" i="179"/>
  <c r="AR17" i="179"/>
  <c r="AR18" i="179"/>
  <c r="AR19" i="179"/>
  <c r="AR20" i="179"/>
  <c r="AR6" i="179"/>
  <c r="AQ7" i="179"/>
  <c r="AQ8" i="179"/>
  <c r="AQ9" i="179"/>
  <c r="AQ10" i="179"/>
  <c r="AQ11" i="179"/>
  <c r="AQ12" i="179"/>
  <c r="AQ13" i="179"/>
  <c r="AQ14" i="179"/>
  <c r="AQ15" i="179"/>
  <c r="AQ16" i="179"/>
  <c r="AQ17" i="179"/>
  <c r="AQ18" i="179"/>
  <c r="AQ19" i="179"/>
  <c r="AQ20" i="179"/>
  <c r="AQ21" i="179"/>
  <c r="AQ6" i="179"/>
  <c r="AU6" i="179"/>
  <c r="C20" i="177"/>
  <c r="C19" i="177"/>
  <c r="AU21" i="179" l="1"/>
  <c r="AT21" i="179"/>
  <c r="AS21" i="179"/>
  <c r="AR21" i="179"/>
  <c r="F70" i="153"/>
  <c r="F83" i="153"/>
  <c r="F208" i="153"/>
  <c r="F125" i="153"/>
  <c r="F93" i="153"/>
  <c r="F68" i="153"/>
  <c r="F21" i="153"/>
  <c r="AS23" i="179"/>
  <c r="AR23" i="179" l="1"/>
  <c r="C50" i="16"/>
  <c r="C49" i="16"/>
  <c r="C47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A33" i="16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7" i="16" s="1"/>
  <c r="A49" i="16" s="1"/>
  <c r="A50" i="16" s="1"/>
  <c r="C32" i="16"/>
  <c r="O21" i="16"/>
  <c r="N21" i="16"/>
  <c r="M21" i="16"/>
  <c r="L21" i="16"/>
  <c r="H21" i="16"/>
  <c r="C21" i="16"/>
  <c r="A24" i="16" s="1"/>
  <c r="G20" i="16"/>
  <c r="F20" i="16"/>
  <c r="H45" i="16" s="1"/>
  <c r="E20" i="16"/>
  <c r="I45" i="16" s="1"/>
  <c r="D20" i="16"/>
  <c r="E45" i="16" s="1"/>
  <c r="A20" i="16"/>
  <c r="B45" i="16" s="1"/>
  <c r="G19" i="16"/>
  <c r="F19" i="16"/>
  <c r="H44" i="16" s="1"/>
  <c r="E19" i="16"/>
  <c r="I44" i="16" s="1"/>
  <c r="D19" i="16"/>
  <c r="E44" i="16" s="1"/>
  <c r="A19" i="16"/>
  <c r="B44" i="16" s="1"/>
  <c r="G18" i="16"/>
  <c r="F18" i="16"/>
  <c r="H43" i="16" s="1"/>
  <c r="E18" i="16"/>
  <c r="I43" i="16" s="1"/>
  <c r="D18" i="16"/>
  <c r="E43" i="16" s="1"/>
  <c r="A18" i="16"/>
  <c r="B43" i="16" s="1"/>
  <c r="G17" i="16"/>
  <c r="F17" i="16"/>
  <c r="H42" i="16" s="1"/>
  <c r="E17" i="16"/>
  <c r="I42" i="16" s="1"/>
  <c r="D17" i="16"/>
  <c r="E42" i="16" s="1"/>
  <c r="A17" i="16"/>
  <c r="B42" i="16" s="1"/>
  <c r="G16" i="16"/>
  <c r="F16" i="16"/>
  <c r="H41" i="16" s="1"/>
  <c r="E16" i="16"/>
  <c r="I41" i="16" s="1"/>
  <c r="D16" i="16"/>
  <c r="E41" i="16" s="1"/>
  <c r="A16" i="16"/>
  <c r="B41" i="16" s="1"/>
  <c r="G15" i="16"/>
  <c r="F15" i="16"/>
  <c r="H40" i="16" s="1"/>
  <c r="E15" i="16"/>
  <c r="I40" i="16" s="1"/>
  <c r="D15" i="16"/>
  <c r="E40" i="16" s="1"/>
  <c r="A15" i="16"/>
  <c r="B40" i="16" s="1"/>
  <c r="G14" i="16"/>
  <c r="F14" i="16"/>
  <c r="H39" i="16" s="1"/>
  <c r="E14" i="16"/>
  <c r="I39" i="16" s="1"/>
  <c r="D14" i="16"/>
  <c r="E39" i="16" s="1"/>
  <c r="A14" i="16"/>
  <c r="B39" i="16" s="1"/>
  <c r="G13" i="16"/>
  <c r="F13" i="16"/>
  <c r="H38" i="16" s="1"/>
  <c r="E13" i="16"/>
  <c r="I38" i="16" s="1"/>
  <c r="D13" i="16"/>
  <c r="E38" i="16" s="1"/>
  <c r="A13" i="16"/>
  <c r="B38" i="16" s="1"/>
  <c r="G12" i="16"/>
  <c r="F12" i="16"/>
  <c r="H37" i="16" s="1"/>
  <c r="E12" i="16"/>
  <c r="I37" i="16" s="1"/>
  <c r="D12" i="16"/>
  <c r="E37" i="16" s="1"/>
  <c r="A12" i="16"/>
  <c r="B37" i="16" s="1"/>
  <c r="G11" i="16"/>
  <c r="F11" i="16"/>
  <c r="H36" i="16" s="1"/>
  <c r="E11" i="16"/>
  <c r="I36" i="16" s="1"/>
  <c r="D11" i="16"/>
  <c r="E36" i="16" s="1"/>
  <c r="A11" i="16"/>
  <c r="B36" i="16" s="1"/>
  <c r="G10" i="16"/>
  <c r="F10" i="16"/>
  <c r="H35" i="16" s="1"/>
  <c r="E10" i="16"/>
  <c r="I35" i="16" s="1"/>
  <c r="D10" i="16"/>
  <c r="E35" i="16" s="1"/>
  <c r="A10" i="16"/>
  <c r="B35" i="16" s="1"/>
  <c r="G9" i="16"/>
  <c r="F9" i="16"/>
  <c r="H34" i="16" s="1"/>
  <c r="E9" i="16"/>
  <c r="I34" i="16" s="1"/>
  <c r="D9" i="16"/>
  <c r="E34" i="16" s="1"/>
  <c r="A9" i="16"/>
  <c r="B34" i="16" s="1"/>
  <c r="G8" i="16"/>
  <c r="F8" i="16"/>
  <c r="H33" i="16" s="1"/>
  <c r="E8" i="16"/>
  <c r="I33" i="16" s="1"/>
  <c r="D8" i="16"/>
  <c r="E33" i="16" s="1"/>
  <c r="A8" i="16"/>
  <c r="B33" i="16" s="1"/>
  <c r="G7" i="16"/>
  <c r="F7" i="16"/>
  <c r="H32" i="16" s="1"/>
  <c r="E7" i="16"/>
  <c r="I32" i="16" s="1"/>
  <c r="D7" i="16"/>
  <c r="E32" i="16" s="1"/>
  <c r="A7" i="16"/>
  <c r="B32" i="16" s="1"/>
  <c r="G6" i="16"/>
  <c r="F6" i="16"/>
  <c r="H47" i="16" s="1"/>
  <c r="E6" i="16"/>
  <c r="I47" i="16" s="1"/>
  <c r="D6" i="16"/>
  <c r="E47" i="16" s="1"/>
  <c r="A6" i="16"/>
  <c r="G5" i="16"/>
  <c r="D50" i="16" s="1"/>
  <c r="F5" i="16"/>
  <c r="H50" i="16" s="1"/>
  <c r="E5" i="16"/>
  <c r="I50" i="16" s="1"/>
  <c r="D5" i="16"/>
  <c r="A5" i="16"/>
  <c r="G4" i="16"/>
  <c r="D49" i="16" s="1"/>
  <c r="F4" i="16"/>
  <c r="H49" i="16" s="1"/>
  <c r="E4" i="16"/>
  <c r="I49" i="16" s="1"/>
  <c r="D4" i="16"/>
  <c r="A4" i="16"/>
  <c r="C51" i="16" l="1"/>
  <c r="I5" i="16"/>
  <c r="J5" i="16" s="1"/>
  <c r="D21" i="16"/>
  <c r="J47" i="16"/>
  <c r="I51" i="16"/>
  <c r="J35" i="16"/>
  <c r="J39" i="16"/>
  <c r="J43" i="16"/>
  <c r="J34" i="16"/>
  <c r="J38" i="16"/>
  <c r="J42" i="16"/>
  <c r="J49" i="16"/>
  <c r="J33" i="16"/>
  <c r="J37" i="16"/>
  <c r="J41" i="16"/>
  <c r="J45" i="16"/>
  <c r="J32" i="16"/>
  <c r="J36" i="16"/>
  <c r="J40" i="16"/>
  <c r="J44" i="16"/>
  <c r="I8" i="16"/>
  <c r="J8" i="16" s="1"/>
  <c r="I16" i="16"/>
  <c r="J16" i="16" s="1"/>
  <c r="I6" i="16"/>
  <c r="J6" i="16" s="1"/>
  <c r="I10" i="16"/>
  <c r="J10" i="16" s="1"/>
  <c r="I14" i="16"/>
  <c r="J14" i="16" s="1"/>
  <c r="I18" i="16"/>
  <c r="J18" i="16" s="1"/>
  <c r="G21" i="16"/>
  <c r="B24" i="16" s="1"/>
  <c r="G50" i="16"/>
  <c r="J50" i="16" s="1"/>
  <c r="I4" i="16"/>
  <c r="I12" i="16"/>
  <c r="J12" i="16" s="1"/>
  <c r="I7" i="16"/>
  <c r="J7" i="16" s="1"/>
  <c r="I11" i="16"/>
  <c r="J11" i="16" s="1"/>
  <c r="I15" i="16"/>
  <c r="J15" i="16" s="1"/>
  <c r="I19" i="16"/>
  <c r="J19" i="16" s="1"/>
  <c r="F21" i="16"/>
  <c r="I20" i="16"/>
  <c r="J20" i="16" s="1"/>
  <c r="E21" i="16"/>
  <c r="C24" i="16" s="1"/>
  <c r="I9" i="16"/>
  <c r="J9" i="16" s="1"/>
  <c r="I13" i="16"/>
  <c r="J13" i="16" s="1"/>
  <c r="I17" i="16"/>
  <c r="J17" i="16" s="1"/>
  <c r="K50" i="16" l="1"/>
  <c r="G23" i="16"/>
  <c r="K39" i="16"/>
  <c r="K33" i="16"/>
  <c r="K36" i="16"/>
  <c r="K47" i="16"/>
  <c r="D24" i="16"/>
  <c r="K35" i="16"/>
  <c r="K40" i="16"/>
  <c r="K37" i="16"/>
  <c r="K43" i="16"/>
  <c r="K44" i="16"/>
  <c r="K34" i="16"/>
  <c r="K41" i="16"/>
  <c r="K38" i="16"/>
  <c r="K42" i="16"/>
  <c r="I21" i="16"/>
  <c r="J4" i="16"/>
  <c r="J51" i="16"/>
  <c r="K32" i="16"/>
  <c r="K45" i="16"/>
  <c r="K49" i="16"/>
  <c r="C102" i="16"/>
  <c r="K51" i="16" l="1"/>
  <c r="E24" i="16"/>
  <c r="I22" i="16"/>
  <c r="G57" i="16"/>
  <c r="G58" i="16"/>
  <c r="G59" i="16"/>
  <c r="G60" i="16"/>
  <c r="G61" i="16"/>
  <c r="G62" i="16"/>
  <c r="G63" i="16"/>
  <c r="F67" i="16"/>
  <c r="F68" i="16"/>
  <c r="F69" i="16"/>
  <c r="F70" i="16"/>
  <c r="F71" i="16"/>
  <c r="F72" i="16"/>
  <c r="F66" i="16"/>
  <c r="F57" i="16"/>
  <c r="F58" i="16"/>
  <c r="F59" i="16"/>
  <c r="F60" i="16"/>
  <c r="F61" i="16"/>
  <c r="F62" i="16"/>
  <c r="H87" i="16" s="1"/>
  <c r="F63" i="16"/>
  <c r="E67" i="16"/>
  <c r="E68" i="16"/>
  <c r="E69" i="16"/>
  <c r="E70" i="16"/>
  <c r="E71" i="16"/>
  <c r="E72" i="16"/>
  <c r="E57" i="16"/>
  <c r="E58" i="16"/>
  <c r="E59" i="16"/>
  <c r="E60" i="16"/>
  <c r="E61" i="16"/>
  <c r="E62" i="16"/>
  <c r="I87" i="16" s="1"/>
  <c r="E63" i="16"/>
  <c r="E56" i="16"/>
  <c r="D67" i="16"/>
  <c r="D68" i="16"/>
  <c r="D69" i="16"/>
  <c r="D70" i="16"/>
  <c r="D71" i="16"/>
  <c r="D72" i="16"/>
  <c r="D58" i="16"/>
  <c r="D59" i="16"/>
  <c r="I59" i="16" s="1"/>
  <c r="D60" i="16"/>
  <c r="D61" i="16"/>
  <c r="D62" i="16"/>
  <c r="D63" i="16"/>
  <c r="D57" i="16"/>
  <c r="G102" i="16" s="1"/>
  <c r="L73" i="16"/>
  <c r="E87" i="16"/>
  <c r="C87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I62" i="16" l="1"/>
  <c r="J62" i="16" s="1"/>
  <c r="I60" i="16"/>
  <c r="I58" i="16"/>
  <c r="I63" i="16"/>
  <c r="I61" i="16"/>
  <c r="I57" i="16"/>
  <c r="J58" i="16"/>
  <c r="J87" i="16"/>
  <c r="K87" i="16" s="1"/>
  <c r="C101" i="16" l="1"/>
  <c r="C99" i="16"/>
  <c r="C97" i="16"/>
  <c r="C96" i="16"/>
  <c r="C95" i="16"/>
  <c r="C94" i="16"/>
  <c r="C93" i="16"/>
  <c r="C92" i="16"/>
  <c r="C91" i="16"/>
  <c r="C90" i="16"/>
  <c r="C89" i="16"/>
  <c r="C88" i="16"/>
  <c r="C86" i="16"/>
  <c r="C85" i="16"/>
  <c r="A85" i="16"/>
  <c r="C84" i="16"/>
  <c r="O73" i="16"/>
  <c r="N73" i="16"/>
  <c r="M73" i="16"/>
  <c r="H73" i="16"/>
  <c r="C73" i="16"/>
  <c r="A76" i="16" s="1"/>
  <c r="G72" i="16"/>
  <c r="I72" i="16" s="1"/>
  <c r="H97" i="16"/>
  <c r="I97" i="16"/>
  <c r="E97" i="16"/>
  <c r="G71" i="16"/>
  <c r="I71" i="16" s="1"/>
  <c r="H96" i="16"/>
  <c r="I96" i="16"/>
  <c r="E96" i="16"/>
  <c r="G70" i="16"/>
  <c r="I70" i="16" s="1"/>
  <c r="H95" i="16"/>
  <c r="I95" i="16"/>
  <c r="E95" i="16"/>
  <c r="G69" i="16"/>
  <c r="I69" i="16" s="1"/>
  <c r="H94" i="16"/>
  <c r="I94" i="16"/>
  <c r="E94" i="16"/>
  <c r="G68" i="16"/>
  <c r="I68" i="16" s="1"/>
  <c r="H93" i="16"/>
  <c r="I93" i="16"/>
  <c r="E93" i="16"/>
  <c r="G67" i="16"/>
  <c r="I67" i="16" s="1"/>
  <c r="H92" i="16"/>
  <c r="I92" i="16"/>
  <c r="E92" i="16"/>
  <c r="G66" i="16"/>
  <c r="H91" i="16"/>
  <c r="E66" i="16"/>
  <c r="I91" i="16" s="1"/>
  <c r="D66" i="16"/>
  <c r="E91" i="16" s="1"/>
  <c r="G65" i="16"/>
  <c r="F65" i="16"/>
  <c r="H90" i="16" s="1"/>
  <c r="E65" i="16"/>
  <c r="I90" i="16" s="1"/>
  <c r="D65" i="16"/>
  <c r="E90" i="16" s="1"/>
  <c r="G64" i="16"/>
  <c r="F64" i="16"/>
  <c r="H89" i="16" s="1"/>
  <c r="E64" i="16"/>
  <c r="I89" i="16" s="1"/>
  <c r="D64" i="16"/>
  <c r="E89" i="16" s="1"/>
  <c r="H88" i="16"/>
  <c r="I88" i="16"/>
  <c r="E88" i="16"/>
  <c r="H86" i="16"/>
  <c r="I86" i="16"/>
  <c r="E86" i="16"/>
  <c r="H85" i="16"/>
  <c r="I85" i="16"/>
  <c r="E85" i="16"/>
  <c r="H84" i="16"/>
  <c r="I84" i="16"/>
  <c r="E84" i="16"/>
  <c r="H99" i="16"/>
  <c r="I99" i="16"/>
  <c r="E99" i="16"/>
  <c r="A58" i="16"/>
  <c r="D102" i="16"/>
  <c r="H102" i="16"/>
  <c r="I102" i="16"/>
  <c r="A57" i="16"/>
  <c r="G56" i="16"/>
  <c r="F56" i="16"/>
  <c r="H101" i="16" s="1"/>
  <c r="D56" i="16"/>
  <c r="A56" i="16"/>
  <c r="J102" i="16" l="1"/>
  <c r="K102" i="16" s="1"/>
  <c r="A92" i="16"/>
  <c r="A93" i="16" s="1"/>
  <c r="A94" i="16" s="1"/>
  <c r="A95" i="16" s="1"/>
  <c r="A96" i="16" s="1"/>
  <c r="A97" i="16" s="1"/>
  <c r="A99" i="16" s="1"/>
  <c r="A101" i="16" s="1"/>
  <c r="A102" i="16" s="1"/>
  <c r="A86" i="16"/>
  <c r="A87" i="16" s="1"/>
  <c r="A88" i="16" s="1"/>
  <c r="A89" i="16" s="1"/>
  <c r="A90" i="16" s="1"/>
  <c r="A91" i="16" s="1"/>
  <c r="D73" i="16"/>
  <c r="J94" i="16"/>
  <c r="J96" i="16"/>
  <c r="J88" i="16"/>
  <c r="J90" i="16"/>
  <c r="J92" i="16"/>
  <c r="I56" i="16"/>
  <c r="J56" i="16" s="1"/>
  <c r="C103" i="16"/>
  <c r="J57" i="16"/>
  <c r="J84" i="16"/>
  <c r="J59" i="16"/>
  <c r="J86" i="16"/>
  <c r="J61" i="16"/>
  <c r="J89" i="16"/>
  <c r="I64" i="16"/>
  <c r="J64" i="16" s="1"/>
  <c r="J91" i="16"/>
  <c r="I66" i="16"/>
  <c r="J66" i="16" s="1"/>
  <c r="J93" i="16"/>
  <c r="J68" i="16"/>
  <c r="F73" i="16"/>
  <c r="J85" i="16"/>
  <c r="E73" i="16"/>
  <c r="C76" i="16" s="1"/>
  <c r="I101" i="16"/>
  <c r="I103" i="16" s="1"/>
  <c r="G73" i="16"/>
  <c r="B76" i="16" s="1"/>
  <c r="D101" i="16"/>
  <c r="J69" i="16"/>
  <c r="J70" i="16"/>
  <c r="J95" i="16"/>
  <c r="J71" i="16"/>
  <c r="J72" i="16"/>
  <c r="J97" i="16"/>
  <c r="J99" i="16"/>
  <c r="J60" i="16"/>
  <c r="J63" i="16"/>
  <c r="I65" i="16"/>
  <c r="J65" i="16" s="1"/>
  <c r="J67" i="16"/>
  <c r="G75" i="16" l="1"/>
  <c r="D76" i="16"/>
  <c r="K95" i="16"/>
  <c r="J101" i="16"/>
  <c r="K101" i="16" s="1"/>
  <c r="K90" i="16"/>
  <c r="I73" i="16"/>
  <c r="K94" i="16"/>
  <c r="K99" i="16"/>
  <c r="K97" i="16"/>
  <c r="K85" i="16"/>
  <c r="K93" i="16"/>
  <c r="K91" i="16"/>
  <c r="K89" i="16"/>
  <c r="K86" i="16"/>
  <c r="K84" i="16"/>
  <c r="K92" i="16"/>
  <c r="K88" i="16"/>
  <c r="K96" i="16"/>
  <c r="J103" i="16" l="1"/>
  <c r="K103" i="16" s="1"/>
  <c r="E76" i="16"/>
  <c r="I74" i="16"/>
  <c r="C150" i="16"/>
  <c r="C143" i="16"/>
  <c r="C144" i="16"/>
  <c r="C145" i="16"/>
  <c r="C146" i="16"/>
  <c r="C147" i="16"/>
  <c r="C148" i="16"/>
  <c r="N125" i="16"/>
  <c r="G119" i="16"/>
  <c r="G120" i="16"/>
  <c r="G121" i="16"/>
  <c r="G122" i="16"/>
  <c r="G123" i="16"/>
  <c r="G124" i="16"/>
  <c r="F119" i="16"/>
  <c r="H143" i="16" s="1"/>
  <c r="F120" i="16"/>
  <c r="H144" i="16" s="1"/>
  <c r="F121" i="16"/>
  <c r="H145" i="16" s="1"/>
  <c r="F122" i="16"/>
  <c r="H146" i="16" s="1"/>
  <c r="F123" i="16"/>
  <c r="H147" i="16" s="1"/>
  <c r="F124" i="16"/>
  <c r="H148" i="16" s="1"/>
  <c r="E119" i="16"/>
  <c r="E120" i="16"/>
  <c r="E121" i="16"/>
  <c r="I145" i="16" s="1"/>
  <c r="E122" i="16"/>
  <c r="E123" i="16"/>
  <c r="E124" i="16"/>
  <c r="D119" i="16"/>
  <c r="E143" i="16" s="1"/>
  <c r="D120" i="16"/>
  <c r="E144" i="16" s="1"/>
  <c r="D121" i="16"/>
  <c r="E145" i="16" s="1"/>
  <c r="D122" i="16"/>
  <c r="E146" i="16" s="1"/>
  <c r="D123" i="16"/>
  <c r="E147" i="16" s="1"/>
  <c r="D124" i="16"/>
  <c r="E148" i="16" s="1"/>
  <c r="I121" i="16" l="1"/>
  <c r="J121" i="16" s="1"/>
  <c r="J145" i="16"/>
  <c r="K145" i="16" l="1"/>
  <c r="C153" i="16" l="1"/>
  <c r="C152" i="16"/>
  <c r="I144" i="16"/>
  <c r="C142" i="16"/>
  <c r="C141" i="16"/>
  <c r="C140" i="16"/>
  <c r="C139" i="16"/>
  <c r="C138" i="16"/>
  <c r="C137" i="16"/>
  <c r="A137" i="16"/>
  <c r="A138" i="16" s="1"/>
  <c r="A139" i="16" s="1"/>
  <c r="A140" i="16" s="1"/>
  <c r="A141" i="16" s="1"/>
  <c r="A142" i="16" s="1"/>
  <c r="C136" i="16"/>
  <c r="O125" i="16"/>
  <c r="M125" i="16"/>
  <c r="L125" i="16"/>
  <c r="H125" i="16"/>
  <c r="C125" i="16"/>
  <c r="A128" i="16" s="1"/>
  <c r="I148" i="16"/>
  <c r="A124" i="16"/>
  <c r="I147" i="16"/>
  <c r="I123" i="16"/>
  <c r="J123" i="16" s="1"/>
  <c r="A123" i="16"/>
  <c r="I146" i="16"/>
  <c r="A122" i="16"/>
  <c r="A120" i="16"/>
  <c r="I143" i="16"/>
  <c r="A119" i="16"/>
  <c r="G118" i="16"/>
  <c r="F118" i="16"/>
  <c r="H142" i="16" s="1"/>
  <c r="E118" i="16"/>
  <c r="I142" i="16" s="1"/>
  <c r="D118" i="16"/>
  <c r="E142" i="16" s="1"/>
  <c r="A118" i="16"/>
  <c r="G117" i="16"/>
  <c r="F117" i="16"/>
  <c r="H141" i="16" s="1"/>
  <c r="E117" i="16"/>
  <c r="I141" i="16" s="1"/>
  <c r="D117" i="16"/>
  <c r="E141" i="16" s="1"/>
  <c r="A117" i="16"/>
  <c r="G116" i="16"/>
  <c r="F116" i="16"/>
  <c r="H140" i="16" s="1"/>
  <c r="E116" i="16"/>
  <c r="I140" i="16" s="1"/>
  <c r="D116" i="16"/>
  <c r="E140" i="16" s="1"/>
  <c r="A116" i="16"/>
  <c r="G115" i="16"/>
  <c r="F115" i="16"/>
  <c r="H139" i="16" s="1"/>
  <c r="E115" i="16"/>
  <c r="I139" i="16" s="1"/>
  <c r="D115" i="16"/>
  <c r="E139" i="16" s="1"/>
  <c r="A115" i="16"/>
  <c r="G114" i="16"/>
  <c r="F114" i="16"/>
  <c r="H138" i="16" s="1"/>
  <c r="E114" i="16"/>
  <c r="I138" i="16" s="1"/>
  <c r="D114" i="16"/>
  <c r="A114" i="16"/>
  <c r="G113" i="16"/>
  <c r="F113" i="16"/>
  <c r="H137" i="16" s="1"/>
  <c r="E113" i="16"/>
  <c r="I137" i="16" s="1"/>
  <c r="D113" i="16"/>
  <c r="E137" i="16" s="1"/>
  <c r="A113" i="16"/>
  <c r="G112" i="16"/>
  <c r="F112" i="16"/>
  <c r="H136" i="16" s="1"/>
  <c r="E112" i="16"/>
  <c r="I136" i="16" s="1"/>
  <c r="D112" i="16"/>
  <c r="E136" i="16" s="1"/>
  <c r="A112" i="16"/>
  <c r="G111" i="16"/>
  <c r="F111" i="16"/>
  <c r="H150" i="16" s="1"/>
  <c r="E111" i="16"/>
  <c r="I150" i="16" s="1"/>
  <c r="D111" i="16"/>
  <c r="E150" i="16" s="1"/>
  <c r="A111" i="16"/>
  <c r="G110" i="16"/>
  <c r="D153" i="16" s="1"/>
  <c r="F110" i="16"/>
  <c r="H153" i="16" s="1"/>
  <c r="E110" i="16"/>
  <c r="I153" i="16" s="1"/>
  <c r="D110" i="16"/>
  <c r="A110" i="16"/>
  <c r="G109" i="16"/>
  <c r="D152" i="16" s="1"/>
  <c r="F109" i="16"/>
  <c r="H152" i="16" s="1"/>
  <c r="E109" i="16"/>
  <c r="I152" i="16" s="1"/>
  <c r="D109" i="16"/>
  <c r="A109" i="16"/>
  <c r="A143" i="16" l="1"/>
  <c r="A144" i="16" s="1"/>
  <c r="A145" i="16" s="1"/>
  <c r="A146" i="16" s="1"/>
  <c r="A147" i="16" s="1"/>
  <c r="A148" i="16" s="1"/>
  <c r="A150" i="16" s="1"/>
  <c r="A152" i="16" s="1"/>
  <c r="A153" i="16" s="1"/>
  <c r="I110" i="16"/>
  <c r="J110" i="16" s="1"/>
  <c r="I109" i="16"/>
  <c r="I114" i="16"/>
  <c r="J114" i="16" s="1"/>
  <c r="J142" i="16"/>
  <c r="C154" i="16"/>
  <c r="J153" i="16"/>
  <c r="J139" i="16"/>
  <c r="J152" i="16"/>
  <c r="J137" i="16"/>
  <c r="J141" i="16"/>
  <c r="J146" i="16"/>
  <c r="I154" i="16"/>
  <c r="J148" i="16"/>
  <c r="J136" i="16"/>
  <c r="J140" i="16"/>
  <c r="J144" i="16"/>
  <c r="J143" i="16"/>
  <c r="J109" i="16"/>
  <c r="J150" i="16"/>
  <c r="I118" i="16"/>
  <c r="J118" i="16" s="1"/>
  <c r="F125" i="16"/>
  <c r="E138" i="16"/>
  <c r="J138" i="16" s="1"/>
  <c r="J147" i="16"/>
  <c r="K147" i="16" s="1"/>
  <c r="I111" i="16"/>
  <c r="J111" i="16" s="1"/>
  <c r="I115" i="16"/>
  <c r="J115" i="16" s="1"/>
  <c r="I119" i="16"/>
  <c r="J119" i="16" s="1"/>
  <c r="I124" i="16"/>
  <c r="J124" i="16" s="1"/>
  <c r="E125" i="16"/>
  <c r="C128" i="16" s="1"/>
  <c r="I112" i="16"/>
  <c r="J112" i="16" s="1"/>
  <c r="I116" i="16"/>
  <c r="J116" i="16" s="1"/>
  <c r="I120" i="16"/>
  <c r="J120" i="16" s="1"/>
  <c r="D125" i="16"/>
  <c r="I113" i="16"/>
  <c r="J113" i="16" s="1"/>
  <c r="I117" i="16"/>
  <c r="J117" i="16" s="1"/>
  <c r="I122" i="16"/>
  <c r="J122" i="16" s="1"/>
  <c r="G125" i="16"/>
  <c r="B128" i="16" s="1"/>
  <c r="D128" i="16" l="1"/>
  <c r="K143" i="16"/>
  <c r="K153" i="16"/>
  <c r="K138" i="16"/>
  <c r="K152" i="16"/>
  <c r="K150" i="16"/>
  <c r="K148" i="16"/>
  <c r="K146" i="16"/>
  <c r="K136" i="16"/>
  <c r="J154" i="16"/>
  <c r="K139" i="16"/>
  <c r="I125" i="16"/>
  <c r="K140" i="16"/>
  <c r="K142" i="16"/>
  <c r="K137" i="16"/>
  <c r="G127" i="16"/>
  <c r="K144" i="16"/>
  <c r="K141" i="16"/>
  <c r="K154" i="16" l="1"/>
  <c r="I126" i="16"/>
  <c r="E128" i="16"/>
  <c r="J125" i="16"/>
  <c r="J126" i="16"/>
  <c r="N175" i="16" l="1"/>
  <c r="C202" i="16" l="1"/>
  <c r="C201" i="16"/>
  <c r="C199" i="16"/>
  <c r="C197" i="16"/>
  <c r="C196" i="16"/>
  <c r="C195" i="16"/>
  <c r="C194" i="16"/>
  <c r="C193" i="16"/>
  <c r="C192" i="16"/>
  <c r="C191" i="16"/>
  <c r="C190" i="16"/>
  <c r="C189" i="16"/>
  <c r="C188" i="16"/>
  <c r="C187" i="16"/>
  <c r="A187" i="16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9" i="16" s="1"/>
  <c r="A201" i="16" s="1"/>
  <c r="A202" i="16" s="1"/>
  <c r="C186" i="16"/>
  <c r="O175" i="16"/>
  <c r="M175" i="16"/>
  <c r="L175" i="16"/>
  <c r="H175" i="16"/>
  <c r="C175" i="16"/>
  <c r="A178" i="16" s="1"/>
  <c r="G174" i="16"/>
  <c r="F174" i="16"/>
  <c r="H197" i="16" s="1"/>
  <c r="E174" i="16"/>
  <c r="I197" i="16" s="1"/>
  <c r="D174" i="16"/>
  <c r="E197" i="16" s="1"/>
  <c r="A174" i="16"/>
  <c r="G173" i="16"/>
  <c r="F173" i="16"/>
  <c r="H196" i="16" s="1"/>
  <c r="E173" i="16"/>
  <c r="I196" i="16" s="1"/>
  <c r="D173" i="16"/>
  <c r="E196" i="16" s="1"/>
  <c r="A173" i="16"/>
  <c r="G172" i="16"/>
  <c r="F172" i="16"/>
  <c r="H195" i="16" s="1"/>
  <c r="E172" i="16"/>
  <c r="I195" i="16" s="1"/>
  <c r="D172" i="16"/>
  <c r="E195" i="16" s="1"/>
  <c r="A172" i="16"/>
  <c r="G171" i="16"/>
  <c r="F171" i="16"/>
  <c r="H194" i="16" s="1"/>
  <c r="E171" i="16"/>
  <c r="I194" i="16" s="1"/>
  <c r="D171" i="16"/>
  <c r="E194" i="16" s="1"/>
  <c r="A171" i="16"/>
  <c r="G170" i="16"/>
  <c r="F170" i="16"/>
  <c r="H193" i="16" s="1"/>
  <c r="E170" i="16"/>
  <c r="I193" i="16" s="1"/>
  <c r="D170" i="16"/>
  <c r="E193" i="16" s="1"/>
  <c r="A170" i="16"/>
  <c r="G169" i="16"/>
  <c r="F169" i="16"/>
  <c r="H192" i="16" s="1"/>
  <c r="E169" i="16"/>
  <c r="I192" i="16" s="1"/>
  <c r="D169" i="16"/>
  <c r="E192" i="16" s="1"/>
  <c r="A169" i="16"/>
  <c r="G168" i="16"/>
  <c r="F168" i="16"/>
  <c r="H191" i="16" s="1"/>
  <c r="E168" i="16"/>
  <c r="I191" i="16" s="1"/>
  <c r="D168" i="16"/>
  <c r="E191" i="16" s="1"/>
  <c r="A168" i="16"/>
  <c r="G167" i="16"/>
  <c r="F167" i="16"/>
  <c r="H190" i="16" s="1"/>
  <c r="E167" i="16"/>
  <c r="I190" i="16" s="1"/>
  <c r="D167" i="16"/>
  <c r="E190" i="16" s="1"/>
  <c r="A167" i="16"/>
  <c r="G166" i="16"/>
  <c r="F166" i="16"/>
  <c r="H189" i="16" s="1"/>
  <c r="E166" i="16"/>
  <c r="I189" i="16" s="1"/>
  <c r="D166" i="16"/>
  <c r="E189" i="16" s="1"/>
  <c r="A166" i="16"/>
  <c r="G165" i="16"/>
  <c r="F165" i="16"/>
  <c r="H188" i="16" s="1"/>
  <c r="E165" i="16"/>
  <c r="I188" i="16" s="1"/>
  <c r="D165" i="16"/>
  <c r="E188" i="16" s="1"/>
  <c r="A165" i="16"/>
  <c r="G164" i="16"/>
  <c r="F164" i="16"/>
  <c r="H187" i="16" s="1"/>
  <c r="E164" i="16"/>
  <c r="I187" i="16" s="1"/>
  <c r="D164" i="16"/>
  <c r="E187" i="16" s="1"/>
  <c r="A164" i="16"/>
  <c r="G163" i="16"/>
  <c r="F163" i="16"/>
  <c r="H186" i="16" s="1"/>
  <c r="E163" i="16"/>
  <c r="I186" i="16" s="1"/>
  <c r="D163" i="16"/>
  <c r="E186" i="16" s="1"/>
  <c r="A163" i="16"/>
  <c r="G162" i="16"/>
  <c r="F162" i="16"/>
  <c r="H199" i="16" s="1"/>
  <c r="E162" i="16"/>
  <c r="I199" i="16" s="1"/>
  <c r="D162" i="16"/>
  <c r="E199" i="16" s="1"/>
  <c r="A162" i="16"/>
  <c r="G161" i="16"/>
  <c r="D202" i="16" s="1"/>
  <c r="F161" i="16"/>
  <c r="H202" i="16" s="1"/>
  <c r="E161" i="16"/>
  <c r="I202" i="16" s="1"/>
  <c r="D161" i="16"/>
  <c r="A161" i="16"/>
  <c r="G160" i="16"/>
  <c r="D201" i="16" s="1"/>
  <c r="F160" i="16"/>
  <c r="H201" i="16" s="1"/>
  <c r="E160" i="16"/>
  <c r="I201" i="16" s="1"/>
  <c r="D160" i="16"/>
  <c r="A160" i="16"/>
  <c r="M223" i="16"/>
  <c r="J190" i="16" l="1"/>
  <c r="J187" i="16"/>
  <c r="J194" i="16"/>
  <c r="J186" i="16"/>
  <c r="J201" i="16"/>
  <c r="I161" i="16"/>
  <c r="J161" i="16" s="1"/>
  <c r="D175" i="16"/>
  <c r="C203" i="16"/>
  <c r="J202" i="16"/>
  <c r="J188" i="16"/>
  <c r="J192" i="16"/>
  <c r="J196" i="16"/>
  <c r="J191" i="16"/>
  <c r="J195" i="16"/>
  <c r="J199" i="16"/>
  <c r="I203" i="16"/>
  <c r="J189" i="16"/>
  <c r="J193" i="16"/>
  <c r="J197" i="16"/>
  <c r="I163" i="16"/>
  <c r="J163" i="16" s="1"/>
  <c r="I160" i="16"/>
  <c r="I165" i="16"/>
  <c r="J165" i="16" s="1"/>
  <c r="I169" i="16"/>
  <c r="J169" i="16" s="1"/>
  <c r="I173" i="16"/>
  <c r="J173" i="16" s="1"/>
  <c r="F175" i="16"/>
  <c r="I167" i="16"/>
  <c r="J167" i="16" s="1"/>
  <c r="I171" i="16"/>
  <c r="J171" i="16" s="1"/>
  <c r="I164" i="16"/>
  <c r="J164" i="16" s="1"/>
  <c r="I162" i="16"/>
  <c r="J162" i="16" s="1"/>
  <c r="I166" i="16"/>
  <c r="J166" i="16" s="1"/>
  <c r="I170" i="16"/>
  <c r="J170" i="16" s="1"/>
  <c r="I174" i="16"/>
  <c r="J174" i="16" s="1"/>
  <c r="E175" i="16"/>
  <c r="C178" i="16" s="1"/>
  <c r="I168" i="16"/>
  <c r="J168" i="16" s="1"/>
  <c r="I172" i="16"/>
  <c r="J172" i="16" s="1"/>
  <c r="G175" i="16"/>
  <c r="B178" i="16" s="1"/>
  <c r="K190" i="16" l="1"/>
  <c r="D178" i="16"/>
  <c r="G177" i="16"/>
  <c r="K192" i="16"/>
  <c r="K201" i="16"/>
  <c r="K189" i="16"/>
  <c r="K196" i="16"/>
  <c r="K193" i="16"/>
  <c r="K194" i="16"/>
  <c r="K187" i="16"/>
  <c r="K202" i="16"/>
  <c r="K188" i="16"/>
  <c r="K186" i="16"/>
  <c r="J203" i="16"/>
  <c r="I175" i="16"/>
  <c r="J160" i="16"/>
  <c r="K191" i="16"/>
  <c r="K197" i="16"/>
  <c r="K199" i="16"/>
  <c r="K195" i="16"/>
  <c r="K203" i="16" l="1"/>
  <c r="I176" i="16"/>
  <c r="E178" i="16"/>
  <c r="J175" i="16"/>
  <c r="J176" i="16"/>
  <c r="C250" i="16" l="1"/>
  <c r="C249" i="16"/>
  <c r="C247" i="16"/>
  <c r="C245" i="16"/>
  <c r="C244" i="16"/>
  <c r="C243" i="16"/>
  <c r="C242" i="16"/>
  <c r="C241" i="16"/>
  <c r="C240" i="16"/>
  <c r="C239" i="16"/>
  <c r="C238" i="16"/>
  <c r="C237" i="16"/>
  <c r="C236" i="16"/>
  <c r="C235" i="16"/>
  <c r="A235" i="16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7" i="16" s="1"/>
  <c r="A249" i="16" s="1"/>
  <c r="A250" i="16" s="1"/>
  <c r="C234" i="16"/>
  <c r="O223" i="16"/>
  <c r="N223" i="16"/>
  <c r="L223" i="16"/>
  <c r="H223" i="16"/>
  <c r="C223" i="16"/>
  <c r="A226" i="16" s="1"/>
  <c r="G222" i="16"/>
  <c r="F222" i="16"/>
  <c r="H245" i="16" s="1"/>
  <c r="E222" i="16"/>
  <c r="I245" i="16" s="1"/>
  <c r="D222" i="16"/>
  <c r="E245" i="16" s="1"/>
  <c r="A222" i="16"/>
  <c r="G221" i="16"/>
  <c r="F221" i="16"/>
  <c r="H244" i="16" s="1"/>
  <c r="E221" i="16"/>
  <c r="I244" i="16" s="1"/>
  <c r="D221" i="16"/>
  <c r="E244" i="16" s="1"/>
  <c r="A221" i="16"/>
  <c r="G220" i="16"/>
  <c r="F220" i="16"/>
  <c r="H243" i="16" s="1"/>
  <c r="E220" i="16"/>
  <c r="I243" i="16" s="1"/>
  <c r="D220" i="16"/>
  <c r="E243" i="16" s="1"/>
  <c r="A220" i="16"/>
  <c r="G219" i="16"/>
  <c r="F219" i="16"/>
  <c r="H242" i="16" s="1"/>
  <c r="E219" i="16"/>
  <c r="I242" i="16" s="1"/>
  <c r="D219" i="16"/>
  <c r="E242" i="16" s="1"/>
  <c r="A219" i="16"/>
  <c r="G218" i="16"/>
  <c r="F218" i="16"/>
  <c r="H241" i="16" s="1"/>
  <c r="E218" i="16"/>
  <c r="I241" i="16" s="1"/>
  <c r="D218" i="16"/>
  <c r="E241" i="16" s="1"/>
  <c r="A218" i="16"/>
  <c r="G217" i="16"/>
  <c r="F217" i="16"/>
  <c r="H240" i="16" s="1"/>
  <c r="E217" i="16"/>
  <c r="I240" i="16" s="1"/>
  <c r="D217" i="16"/>
  <c r="E240" i="16" s="1"/>
  <c r="A217" i="16"/>
  <c r="G216" i="16"/>
  <c r="F216" i="16"/>
  <c r="H239" i="16" s="1"/>
  <c r="E216" i="16"/>
  <c r="I239" i="16" s="1"/>
  <c r="D216" i="16"/>
  <c r="E239" i="16" s="1"/>
  <c r="A216" i="16"/>
  <c r="G215" i="16"/>
  <c r="F215" i="16"/>
  <c r="H238" i="16" s="1"/>
  <c r="E215" i="16"/>
  <c r="I238" i="16" s="1"/>
  <c r="D215" i="16"/>
  <c r="E238" i="16" s="1"/>
  <c r="A215" i="16"/>
  <c r="G214" i="16"/>
  <c r="F214" i="16"/>
  <c r="H237" i="16" s="1"/>
  <c r="E214" i="16"/>
  <c r="I237" i="16" s="1"/>
  <c r="D214" i="16"/>
  <c r="E237" i="16" s="1"/>
  <c r="A214" i="16"/>
  <c r="G213" i="16"/>
  <c r="F213" i="16"/>
  <c r="H236" i="16" s="1"/>
  <c r="E213" i="16"/>
  <c r="I236" i="16" s="1"/>
  <c r="D213" i="16"/>
  <c r="E236" i="16" s="1"/>
  <c r="A213" i="16"/>
  <c r="G212" i="16"/>
  <c r="F212" i="16"/>
  <c r="H235" i="16" s="1"/>
  <c r="E212" i="16"/>
  <c r="I235" i="16" s="1"/>
  <c r="D212" i="16"/>
  <c r="E235" i="16" s="1"/>
  <c r="A212" i="16"/>
  <c r="G211" i="16"/>
  <c r="F211" i="16"/>
  <c r="E211" i="16"/>
  <c r="I234" i="16" s="1"/>
  <c r="D211" i="16"/>
  <c r="E234" i="16" s="1"/>
  <c r="A211" i="16"/>
  <c r="G210" i="16"/>
  <c r="F210" i="16"/>
  <c r="H247" i="16" s="1"/>
  <c r="E210" i="16"/>
  <c r="I247" i="16" s="1"/>
  <c r="D210" i="16"/>
  <c r="E247" i="16" s="1"/>
  <c r="A210" i="16"/>
  <c r="G209" i="16"/>
  <c r="D250" i="16" s="1"/>
  <c r="F209" i="16"/>
  <c r="H250" i="16" s="1"/>
  <c r="E209" i="16"/>
  <c r="I250" i="16" s="1"/>
  <c r="D209" i="16"/>
  <c r="A209" i="16"/>
  <c r="G208" i="16"/>
  <c r="D249" i="16" s="1"/>
  <c r="F208" i="16"/>
  <c r="H249" i="16" s="1"/>
  <c r="E208" i="16"/>
  <c r="I249" i="16" s="1"/>
  <c r="D208" i="16"/>
  <c r="A208" i="16"/>
  <c r="A256" i="16"/>
  <c r="D256" i="16"/>
  <c r="E256" i="16"/>
  <c r="F256" i="16"/>
  <c r="G256" i="16"/>
  <c r="A257" i="16"/>
  <c r="D257" i="16"/>
  <c r="E257" i="16"/>
  <c r="F257" i="16"/>
  <c r="G257" i="16"/>
  <c r="A258" i="16"/>
  <c r="D258" i="16"/>
  <c r="E258" i="16"/>
  <c r="F258" i="16"/>
  <c r="G258" i="16"/>
  <c r="A259" i="16"/>
  <c r="D259" i="16"/>
  <c r="E259" i="16"/>
  <c r="F259" i="16"/>
  <c r="G259" i="16"/>
  <c r="A260" i="16"/>
  <c r="D260" i="16"/>
  <c r="E260" i="16"/>
  <c r="F260" i="16"/>
  <c r="G260" i="16"/>
  <c r="A261" i="16"/>
  <c r="D261" i="16"/>
  <c r="E261" i="16"/>
  <c r="F261" i="16"/>
  <c r="G261" i="16"/>
  <c r="A262" i="16"/>
  <c r="D262" i="16"/>
  <c r="E262" i="16"/>
  <c r="F262" i="16"/>
  <c r="G262" i="16"/>
  <c r="A263" i="16"/>
  <c r="D263" i="16"/>
  <c r="E263" i="16"/>
  <c r="F263" i="16"/>
  <c r="G263" i="16"/>
  <c r="A264" i="16"/>
  <c r="D264" i="16"/>
  <c r="E264" i="16"/>
  <c r="F264" i="16"/>
  <c r="G264" i="16"/>
  <c r="A265" i="16"/>
  <c r="D265" i="16"/>
  <c r="E265" i="16"/>
  <c r="F265" i="16"/>
  <c r="G265" i="16"/>
  <c r="A266" i="16"/>
  <c r="D266" i="16"/>
  <c r="E266" i="16"/>
  <c r="F266" i="16"/>
  <c r="G266" i="16"/>
  <c r="I265" i="16" l="1"/>
  <c r="J265" i="16" s="1"/>
  <c r="I263" i="16"/>
  <c r="J263" i="16" s="1"/>
  <c r="I261" i="16"/>
  <c r="J261" i="16" s="1"/>
  <c r="J244" i="16"/>
  <c r="I260" i="16"/>
  <c r="J260" i="16" s="1"/>
  <c r="I258" i="16"/>
  <c r="J258" i="16" s="1"/>
  <c r="I264" i="16"/>
  <c r="J264" i="16" s="1"/>
  <c r="I262" i="16"/>
  <c r="J262" i="16" s="1"/>
  <c r="I209" i="16"/>
  <c r="J209" i="16" s="1"/>
  <c r="F223" i="16"/>
  <c r="C251" i="16"/>
  <c r="I266" i="16"/>
  <c r="J266" i="16" s="1"/>
  <c r="I259" i="16"/>
  <c r="J259" i="16" s="1"/>
  <c r="I257" i="16"/>
  <c r="J257" i="16" s="1"/>
  <c r="I256" i="16"/>
  <c r="J256" i="16" s="1"/>
  <c r="I208" i="16"/>
  <c r="J208" i="16" s="1"/>
  <c r="J240" i="16"/>
  <c r="J245" i="16"/>
  <c r="J243" i="16"/>
  <c r="I251" i="16"/>
  <c r="J237" i="16"/>
  <c r="J239" i="16"/>
  <c r="J250" i="16"/>
  <c r="J242" i="16"/>
  <c r="J236" i="16"/>
  <c r="J249" i="16"/>
  <c r="J235" i="16"/>
  <c r="J238" i="16"/>
  <c r="J241" i="16"/>
  <c r="J247" i="16"/>
  <c r="I213" i="16"/>
  <c r="J213" i="16" s="1"/>
  <c r="I217" i="16"/>
  <c r="J217" i="16" s="1"/>
  <c r="I210" i="16"/>
  <c r="J210" i="16" s="1"/>
  <c r="I214" i="16"/>
  <c r="J214" i="16" s="1"/>
  <c r="I218" i="16"/>
  <c r="J218" i="16" s="1"/>
  <c r="I222" i="16"/>
  <c r="J222" i="16" s="1"/>
  <c r="E223" i="16"/>
  <c r="C226" i="16" s="1"/>
  <c r="H234" i="16"/>
  <c r="J234" i="16" s="1"/>
  <c r="I221" i="16"/>
  <c r="J221" i="16" s="1"/>
  <c r="I211" i="16"/>
  <c r="J211" i="16" s="1"/>
  <c r="I215" i="16"/>
  <c r="J215" i="16" s="1"/>
  <c r="I219" i="16"/>
  <c r="J219" i="16" s="1"/>
  <c r="D223" i="16"/>
  <c r="I212" i="16"/>
  <c r="J212" i="16" s="1"/>
  <c r="I216" i="16"/>
  <c r="J216" i="16" s="1"/>
  <c r="I220" i="16"/>
  <c r="J220" i="16" s="1"/>
  <c r="G223" i="16"/>
  <c r="B226" i="16" s="1"/>
  <c r="G225" i="16" l="1"/>
  <c r="D226" i="16"/>
  <c r="K249" i="16"/>
  <c r="K250" i="16"/>
  <c r="K238" i="16"/>
  <c r="K247" i="16"/>
  <c r="K234" i="16"/>
  <c r="J251" i="16"/>
  <c r="I223" i="16"/>
  <c r="K242" i="16"/>
  <c r="K237" i="16"/>
  <c r="K240" i="16"/>
  <c r="K241" i="16"/>
  <c r="K236" i="16"/>
  <c r="K239" i="16"/>
  <c r="K245" i="16"/>
  <c r="K243" i="16"/>
  <c r="K235" i="16"/>
  <c r="K244" i="16"/>
  <c r="I224" i="16" l="1"/>
  <c r="E226" i="16"/>
  <c r="J223" i="16"/>
  <c r="J224" i="16"/>
  <c r="K251" i="16"/>
  <c r="C298" i="16" l="1"/>
  <c r="C297" i="16"/>
  <c r="C295" i="16"/>
  <c r="C293" i="16"/>
  <c r="C292" i="16"/>
  <c r="C291" i="16"/>
  <c r="C290" i="16"/>
  <c r="C289" i="16"/>
  <c r="C288" i="16"/>
  <c r="C287" i="16"/>
  <c r="C286" i="16"/>
  <c r="C285" i="16"/>
  <c r="C284" i="16"/>
  <c r="C283" i="16"/>
  <c r="A283" i="16"/>
  <c r="A284" i="16" s="1"/>
  <c r="A285" i="16" s="1"/>
  <c r="A286" i="16" s="1"/>
  <c r="A287" i="16" s="1"/>
  <c r="A288" i="16" s="1"/>
  <c r="A289" i="16" s="1"/>
  <c r="A290" i="16" s="1"/>
  <c r="C282" i="16"/>
  <c r="O271" i="16"/>
  <c r="N271" i="16"/>
  <c r="M271" i="16"/>
  <c r="L271" i="16"/>
  <c r="H271" i="16"/>
  <c r="C271" i="16"/>
  <c r="A274" i="16" s="1"/>
  <c r="G270" i="16"/>
  <c r="F270" i="16"/>
  <c r="H293" i="16" s="1"/>
  <c r="E270" i="16"/>
  <c r="I293" i="16" s="1"/>
  <c r="D270" i="16"/>
  <c r="E293" i="16" s="1"/>
  <c r="A270" i="16"/>
  <c r="G269" i="16"/>
  <c r="F269" i="16"/>
  <c r="H292" i="16" s="1"/>
  <c r="E269" i="16"/>
  <c r="I292" i="16" s="1"/>
  <c r="D269" i="16"/>
  <c r="E292" i="16" s="1"/>
  <c r="A269" i="16"/>
  <c r="G268" i="16"/>
  <c r="F268" i="16"/>
  <c r="H291" i="16" s="1"/>
  <c r="E268" i="16"/>
  <c r="I291" i="16" s="1"/>
  <c r="D268" i="16"/>
  <c r="A268" i="16"/>
  <c r="G267" i="16"/>
  <c r="F267" i="16"/>
  <c r="H290" i="16" s="1"/>
  <c r="E267" i="16"/>
  <c r="I290" i="16" s="1"/>
  <c r="D267" i="16"/>
  <c r="E290" i="16" s="1"/>
  <c r="A267" i="16"/>
  <c r="H289" i="16"/>
  <c r="I289" i="16"/>
  <c r="E289" i="16"/>
  <c r="H288" i="16"/>
  <c r="I288" i="16"/>
  <c r="E288" i="16"/>
  <c r="H287" i="16"/>
  <c r="I287" i="16"/>
  <c r="E287" i="16"/>
  <c r="H286" i="16"/>
  <c r="I286" i="16"/>
  <c r="E286" i="16"/>
  <c r="H285" i="16"/>
  <c r="I285" i="16"/>
  <c r="E285" i="16"/>
  <c r="H284" i="16"/>
  <c r="I284" i="16"/>
  <c r="E284" i="16"/>
  <c r="H283" i="16"/>
  <c r="I283" i="16"/>
  <c r="E283" i="16"/>
  <c r="H282" i="16"/>
  <c r="I282" i="16"/>
  <c r="H295" i="16"/>
  <c r="E295" i="16"/>
  <c r="D298" i="16"/>
  <c r="H298" i="16"/>
  <c r="I298" i="16"/>
  <c r="D297" i="16"/>
  <c r="I297" i="16"/>
  <c r="I295" i="16" l="1"/>
  <c r="J295" i="16" s="1"/>
  <c r="A291" i="16"/>
  <c r="A292" i="16" s="1"/>
  <c r="A293" i="16" s="1"/>
  <c r="A295" i="16" s="1"/>
  <c r="A297" i="16" s="1"/>
  <c r="A298" i="16" s="1"/>
  <c r="C299" i="16"/>
  <c r="J287" i="16"/>
  <c r="F271" i="16"/>
  <c r="J283" i="16"/>
  <c r="I268" i="16"/>
  <c r="J268" i="16" s="1"/>
  <c r="I269" i="16"/>
  <c r="J269" i="16" s="1"/>
  <c r="E291" i="16"/>
  <c r="J291" i="16" s="1"/>
  <c r="J285" i="16"/>
  <c r="J289" i="16"/>
  <c r="J298" i="16"/>
  <c r="J284" i="16"/>
  <c r="J288" i="16"/>
  <c r="J292" i="16"/>
  <c r="J286" i="16"/>
  <c r="J290" i="16"/>
  <c r="J293" i="16"/>
  <c r="I270" i="16"/>
  <c r="J270" i="16" s="1"/>
  <c r="E271" i="16"/>
  <c r="C274" i="16" s="1"/>
  <c r="D271" i="16"/>
  <c r="E282" i="16"/>
  <c r="J282" i="16" s="1"/>
  <c r="I267" i="16"/>
  <c r="J267" i="16" s="1"/>
  <c r="G271" i="16"/>
  <c r="B274" i="16" s="1"/>
  <c r="H297" i="16"/>
  <c r="J297" i="16" s="1"/>
  <c r="C478" i="16"/>
  <c r="C479" i="16"/>
  <c r="C480" i="16"/>
  <c r="C481" i="16"/>
  <c r="C482" i="16"/>
  <c r="C477" i="16"/>
  <c r="C476" i="16"/>
  <c r="C472" i="16"/>
  <c r="C523" i="16"/>
  <c r="C524" i="16"/>
  <c r="C525" i="16"/>
  <c r="C526" i="16"/>
  <c r="C527" i="16"/>
  <c r="C519" i="16"/>
  <c r="C338" i="16"/>
  <c r="C339" i="16"/>
  <c r="C340" i="16"/>
  <c r="C341" i="16"/>
  <c r="C342" i="16"/>
  <c r="C343" i="16"/>
  <c r="C332" i="16"/>
  <c r="C333" i="16"/>
  <c r="C334" i="16"/>
  <c r="E315" i="16"/>
  <c r="I339" i="16" s="1"/>
  <c r="E308" i="16"/>
  <c r="I332" i="16" s="1"/>
  <c r="G308" i="16"/>
  <c r="F315" i="16"/>
  <c r="H339" i="16" s="1"/>
  <c r="F308" i="16"/>
  <c r="H332" i="16" s="1"/>
  <c r="D315" i="16"/>
  <c r="E339" i="16" s="1"/>
  <c r="A315" i="16"/>
  <c r="D308" i="16"/>
  <c r="E332" i="16" s="1"/>
  <c r="A308" i="16"/>
  <c r="K291" i="16" l="1"/>
  <c r="I299" i="16"/>
  <c r="G273" i="16"/>
  <c r="K298" i="16"/>
  <c r="K297" i="16"/>
  <c r="J332" i="16"/>
  <c r="I308" i="16"/>
  <c r="J308" i="16" s="1"/>
  <c r="K284" i="16"/>
  <c r="K290" i="16"/>
  <c r="D274" i="16"/>
  <c r="K292" i="16"/>
  <c r="J299" i="16"/>
  <c r="K282" i="16"/>
  <c r="K287" i="16"/>
  <c r="I271" i="16"/>
  <c r="K293" i="16"/>
  <c r="K288" i="16"/>
  <c r="K285" i="16"/>
  <c r="K286" i="16"/>
  <c r="K289" i="16"/>
  <c r="K283" i="16"/>
  <c r="K295" i="16"/>
  <c r="K332" i="16" l="1"/>
  <c r="E274" i="16"/>
  <c r="K299" i="16"/>
  <c r="J271" i="16"/>
  <c r="I272" i="16"/>
  <c r="J272" i="16"/>
  <c r="C348" i="16" l="1"/>
  <c r="C347" i="16"/>
  <c r="C345" i="16"/>
  <c r="C337" i="16"/>
  <c r="C336" i="16"/>
  <c r="C335" i="16"/>
  <c r="A332" i="16"/>
  <c r="C331" i="16"/>
  <c r="O320" i="16"/>
  <c r="N320" i="16"/>
  <c r="M320" i="16"/>
  <c r="L320" i="16"/>
  <c r="H320" i="16"/>
  <c r="C320" i="16"/>
  <c r="A323" i="16" s="1"/>
  <c r="G319" i="16"/>
  <c r="F319" i="16"/>
  <c r="H343" i="16" s="1"/>
  <c r="E319" i="16"/>
  <c r="I343" i="16" s="1"/>
  <c r="D319" i="16"/>
  <c r="E343" i="16" s="1"/>
  <c r="A319" i="16"/>
  <c r="G318" i="16"/>
  <c r="F318" i="16"/>
  <c r="H342" i="16" s="1"/>
  <c r="E318" i="16"/>
  <c r="I342" i="16" s="1"/>
  <c r="D318" i="16"/>
  <c r="E342" i="16" s="1"/>
  <c r="A318" i="16"/>
  <c r="G317" i="16"/>
  <c r="F317" i="16"/>
  <c r="H341" i="16" s="1"/>
  <c r="E317" i="16"/>
  <c r="I341" i="16" s="1"/>
  <c r="D317" i="16"/>
  <c r="E341" i="16" s="1"/>
  <c r="A317" i="16"/>
  <c r="G316" i="16"/>
  <c r="F316" i="16"/>
  <c r="H340" i="16" s="1"/>
  <c r="E316" i="16"/>
  <c r="I340" i="16" s="1"/>
  <c r="D316" i="16"/>
  <c r="E340" i="16" s="1"/>
  <c r="A316" i="16"/>
  <c r="G314" i="16"/>
  <c r="F314" i="16"/>
  <c r="H338" i="16" s="1"/>
  <c r="E314" i="16"/>
  <c r="I338" i="16" s="1"/>
  <c r="D314" i="16"/>
  <c r="E338" i="16" s="1"/>
  <c r="A314" i="16"/>
  <c r="G313" i="16"/>
  <c r="F313" i="16"/>
  <c r="H337" i="16" s="1"/>
  <c r="E313" i="16"/>
  <c r="I337" i="16" s="1"/>
  <c r="D313" i="16"/>
  <c r="E337" i="16" s="1"/>
  <c r="A313" i="16"/>
  <c r="G312" i="16"/>
  <c r="F312" i="16"/>
  <c r="H336" i="16" s="1"/>
  <c r="E312" i="16"/>
  <c r="I336" i="16" s="1"/>
  <c r="D312" i="16"/>
  <c r="E336" i="16" s="1"/>
  <c r="A312" i="16"/>
  <c r="G311" i="16"/>
  <c r="F311" i="16"/>
  <c r="H335" i="16" s="1"/>
  <c r="E311" i="16"/>
  <c r="I335" i="16" s="1"/>
  <c r="D311" i="16"/>
  <c r="A311" i="16"/>
  <c r="G310" i="16"/>
  <c r="F310" i="16"/>
  <c r="H334" i="16" s="1"/>
  <c r="E310" i="16"/>
  <c r="I334" i="16" s="1"/>
  <c r="D310" i="16"/>
  <c r="E334" i="16" s="1"/>
  <c r="A310" i="16"/>
  <c r="G309" i="16"/>
  <c r="F309" i="16"/>
  <c r="H333" i="16" s="1"/>
  <c r="E309" i="16"/>
  <c r="I333" i="16" s="1"/>
  <c r="D309" i="16"/>
  <c r="E333" i="16" s="1"/>
  <c r="A309" i="16"/>
  <c r="G307" i="16"/>
  <c r="F307" i="16"/>
  <c r="H331" i="16" s="1"/>
  <c r="E307" i="16"/>
  <c r="I331" i="16" s="1"/>
  <c r="D307" i="16"/>
  <c r="E331" i="16" s="1"/>
  <c r="A307" i="16"/>
  <c r="G306" i="16"/>
  <c r="F306" i="16"/>
  <c r="H345" i="16" s="1"/>
  <c r="E306" i="16"/>
  <c r="I345" i="16" s="1"/>
  <c r="D306" i="16"/>
  <c r="A306" i="16"/>
  <c r="G305" i="16"/>
  <c r="D348" i="16" s="1"/>
  <c r="F305" i="16"/>
  <c r="H348" i="16" s="1"/>
  <c r="E305" i="16"/>
  <c r="I348" i="16" s="1"/>
  <c r="D305" i="16"/>
  <c r="A305" i="16"/>
  <c r="G304" i="16"/>
  <c r="D347" i="16" s="1"/>
  <c r="F304" i="16"/>
  <c r="H347" i="16" s="1"/>
  <c r="E304" i="16"/>
  <c r="D304" i="16"/>
  <c r="A304" i="16"/>
  <c r="J333" i="16" l="1"/>
  <c r="J334" i="16"/>
  <c r="J342" i="16"/>
  <c r="A333" i="16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5" i="16" s="1"/>
  <c r="A347" i="16" s="1"/>
  <c r="A348" i="16" s="1"/>
  <c r="C349" i="16"/>
  <c r="I317" i="16"/>
  <c r="J317" i="16" s="1"/>
  <c r="I306" i="16"/>
  <c r="J306" i="16" s="1"/>
  <c r="I316" i="16"/>
  <c r="J316" i="16" s="1"/>
  <c r="E320" i="16"/>
  <c r="C323" i="16" s="1"/>
  <c r="I305" i="16"/>
  <c r="J305" i="16" s="1"/>
  <c r="J331" i="16"/>
  <c r="I310" i="16"/>
  <c r="J310" i="16" s="1"/>
  <c r="I314" i="16"/>
  <c r="J314" i="16" s="1"/>
  <c r="I319" i="16"/>
  <c r="J319" i="16" s="1"/>
  <c r="J340" i="16"/>
  <c r="I311" i="16"/>
  <c r="J311" i="16" s="1"/>
  <c r="D320" i="16"/>
  <c r="I318" i="16"/>
  <c r="J318" i="16" s="1"/>
  <c r="J348" i="16"/>
  <c r="J337" i="16"/>
  <c r="J336" i="16"/>
  <c r="I304" i="16"/>
  <c r="I309" i="16"/>
  <c r="J309" i="16" s="1"/>
  <c r="I313" i="16"/>
  <c r="J313" i="16" s="1"/>
  <c r="I307" i="16"/>
  <c r="J307" i="16" s="1"/>
  <c r="I312" i="16"/>
  <c r="J312" i="16" s="1"/>
  <c r="G320" i="16"/>
  <c r="B323" i="16" s="1"/>
  <c r="J341" i="16"/>
  <c r="K341" i="16" s="1"/>
  <c r="F320" i="16"/>
  <c r="J338" i="16"/>
  <c r="J343" i="16"/>
  <c r="I347" i="16"/>
  <c r="J347" i="16" s="1"/>
  <c r="E335" i="16"/>
  <c r="J335" i="16" s="1"/>
  <c r="J339" i="16"/>
  <c r="K339" i="16" s="1"/>
  <c r="E345" i="16"/>
  <c r="J345" i="16" s="1"/>
  <c r="K336" i="16" l="1"/>
  <c r="K343" i="16"/>
  <c r="K347" i="16"/>
  <c r="K337" i="16"/>
  <c r="K333" i="16"/>
  <c r="I349" i="16"/>
  <c r="K342" i="16"/>
  <c r="K335" i="16"/>
  <c r="K340" i="16"/>
  <c r="K334" i="16"/>
  <c r="K338" i="16"/>
  <c r="K348" i="16"/>
  <c r="K345" i="16"/>
  <c r="G322" i="16"/>
  <c r="D323" i="16"/>
  <c r="J349" i="16"/>
  <c r="I320" i="16"/>
  <c r="J304" i="16"/>
  <c r="K331" i="16"/>
  <c r="E323" i="16" l="1"/>
  <c r="J320" i="16"/>
  <c r="I321" i="16"/>
  <c r="J321" i="16"/>
  <c r="K349" i="16"/>
  <c r="C394" i="16" l="1"/>
  <c r="C393" i="16"/>
  <c r="C391" i="16"/>
  <c r="C389" i="16"/>
  <c r="C388" i="16"/>
  <c r="C387" i="16"/>
  <c r="C386" i="16"/>
  <c r="C385" i="16"/>
  <c r="C384" i="16"/>
  <c r="C383" i="16"/>
  <c r="C382" i="16"/>
  <c r="C381" i="16"/>
  <c r="C380" i="16"/>
  <c r="A380" i="16"/>
  <c r="A381" i="16" s="1"/>
  <c r="A382" i="16" s="1"/>
  <c r="A383" i="16" s="1"/>
  <c r="A384" i="16" s="1"/>
  <c r="A385" i="16" s="1"/>
  <c r="A386" i="16" s="1"/>
  <c r="A387" i="16" s="1"/>
  <c r="A388" i="16" s="1"/>
  <c r="A389" i="16" s="1"/>
  <c r="A391" i="16" s="1"/>
  <c r="A393" i="16" s="1"/>
  <c r="A394" i="16" s="1"/>
  <c r="C379" i="16"/>
  <c r="O368" i="16"/>
  <c r="N368" i="16"/>
  <c r="M368" i="16"/>
  <c r="L368" i="16"/>
  <c r="H368" i="16"/>
  <c r="C368" i="16"/>
  <c r="A371" i="16" s="1"/>
  <c r="G367" i="16"/>
  <c r="F367" i="16"/>
  <c r="H389" i="16" s="1"/>
  <c r="E367" i="16"/>
  <c r="I389" i="16" s="1"/>
  <c r="D367" i="16"/>
  <c r="A367" i="16"/>
  <c r="G366" i="16"/>
  <c r="F366" i="16"/>
  <c r="H388" i="16" s="1"/>
  <c r="E366" i="16"/>
  <c r="I388" i="16" s="1"/>
  <c r="D366" i="16"/>
  <c r="A366" i="16"/>
  <c r="G365" i="16"/>
  <c r="F365" i="16"/>
  <c r="H387" i="16" s="1"/>
  <c r="E365" i="16"/>
  <c r="I387" i="16" s="1"/>
  <c r="D365" i="16"/>
  <c r="E387" i="16" s="1"/>
  <c r="A365" i="16"/>
  <c r="G364" i="16"/>
  <c r="F364" i="16"/>
  <c r="H386" i="16" s="1"/>
  <c r="E364" i="16"/>
  <c r="I386" i="16" s="1"/>
  <c r="D364" i="16"/>
  <c r="A364" i="16"/>
  <c r="G363" i="16"/>
  <c r="F363" i="16"/>
  <c r="H385" i="16" s="1"/>
  <c r="E363" i="16"/>
  <c r="I385" i="16" s="1"/>
  <c r="D363" i="16"/>
  <c r="A363" i="16"/>
  <c r="G362" i="16"/>
  <c r="F362" i="16"/>
  <c r="H384" i="16" s="1"/>
  <c r="E362" i="16"/>
  <c r="I384" i="16" s="1"/>
  <c r="D362" i="16"/>
  <c r="A362" i="16"/>
  <c r="G361" i="16"/>
  <c r="F361" i="16"/>
  <c r="H383" i="16" s="1"/>
  <c r="E361" i="16"/>
  <c r="I383" i="16" s="1"/>
  <c r="D361" i="16"/>
  <c r="E383" i="16" s="1"/>
  <c r="A361" i="16"/>
  <c r="G360" i="16"/>
  <c r="F360" i="16"/>
  <c r="H382" i="16" s="1"/>
  <c r="E360" i="16"/>
  <c r="I382" i="16" s="1"/>
  <c r="D360" i="16"/>
  <c r="A360" i="16"/>
  <c r="G359" i="16"/>
  <c r="F359" i="16"/>
  <c r="H381" i="16" s="1"/>
  <c r="E359" i="16"/>
  <c r="I381" i="16" s="1"/>
  <c r="D359" i="16"/>
  <c r="A359" i="16"/>
  <c r="G358" i="16"/>
  <c r="F358" i="16"/>
  <c r="H380" i="16" s="1"/>
  <c r="E358" i="16"/>
  <c r="I380" i="16" s="1"/>
  <c r="D358" i="16"/>
  <c r="A358" i="16"/>
  <c r="G357" i="16"/>
  <c r="F357" i="16"/>
  <c r="H379" i="16" s="1"/>
  <c r="E357" i="16"/>
  <c r="I379" i="16" s="1"/>
  <c r="D357" i="16"/>
  <c r="E379" i="16" s="1"/>
  <c r="A357" i="16"/>
  <c r="G356" i="16"/>
  <c r="F356" i="16"/>
  <c r="H391" i="16" s="1"/>
  <c r="E356" i="16"/>
  <c r="I391" i="16" s="1"/>
  <c r="D356" i="16"/>
  <c r="A356" i="16"/>
  <c r="G355" i="16"/>
  <c r="D394" i="16" s="1"/>
  <c r="F355" i="16"/>
  <c r="H394" i="16" s="1"/>
  <c r="E355" i="16"/>
  <c r="I394" i="16" s="1"/>
  <c r="D355" i="16"/>
  <c r="A355" i="16"/>
  <c r="G354" i="16"/>
  <c r="D393" i="16" s="1"/>
  <c r="F354" i="16"/>
  <c r="H393" i="16" s="1"/>
  <c r="E354" i="16"/>
  <c r="D354" i="16"/>
  <c r="A354" i="16"/>
  <c r="A400" i="16"/>
  <c r="D400" i="16"/>
  <c r="E400" i="16"/>
  <c r="I439" i="16" s="1"/>
  <c r="F400" i="16"/>
  <c r="G400" i="16"/>
  <c r="D439" i="16" s="1"/>
  <c r="A401" i="16"/>
  <c r="D401" i="16"/>
  <c r="E401" i="16"/>
  <c r="I440" i="16" s="1"/>
  <c r="F401" i="16"/>
  <c r="H440" i="16" s="1"/>
  <c r="G401" i="16"/>
  <c r="A402" i="16"/>
  <c r="D402" i="16"/>
  <c r="E402" i="16"/>
  <c r="F402" i="16"/>
  <c r="H437" i="16" s="1"/>
  <c r="G402" i="16"/>
  <c r="A403" i="16"/>
  <c r="D403" i="16"/>
  <c r="E403" i="16"/>
  <c r="I425" i="16" s="1"/>
  <c r="F403" i="16"/>
  <c r="H425" i="16" s="1"/>
  <c r="G403" i="16"/>
  <c r="A404" i="16"/>
  <c r="D404" i="16"/>
  <c r="E426" i="16" s="1"/>
  <c r="E404" i="16"/>
  <c r="F404" i="16"/>
  <c r="H426" i="16" s="1"/>
  <c r="G404" i="16"/>
  <c r="A405" i="16"/>
  <c r="D405" i="16"/>
  <c r="E427" i="16" s="1"/>
  <c r="E405" i="16"/>
  <c r="I427" i="16" s="1"/>
  <c r="F405" i="16"/>
  <c r="H427" i="16" s="1"/>
  <c r="G405" i="16"/>
  <c r="A406" i="16"/>
  <c r="D406" i="16"/>
  <c r="E428" i="16" s="1"/>
  <c r="E406" i="16"/>
  <c r="I428" i="16" s="1"/>
  <c r="F406" i="16"/>
  <c r="H428" i="16" s="1"/>
  <c r="G406" i="16"/>
  <c r="A407" i="16"/>
  <c r="D407" i="16"/>
  <c r="E429" i="16" s="1"/>
  <c r="E407" i="16"/>
  <c r="I429" i="16" s="1"/>
  <c r="F407" i="16"/>
  <c r="H429" i="16" s="1"/>
  <c r="G407" i="16"/>
  <c r="A408" i="16"/>
  <c r="D408" i="16"/>
  <c r="E430" i="16" s="1"/>
  <c r="E408" i="16"/>
  <c r="F408" i="16"/>
  <c r="H430" i="16" s="1"/>
  <c r="G408" i="16"/>
  <c r="A409" i="16"/>
  <c r="D409" i="16"/>
  <c r="E431" i="16" s="1"/>
  <c r="E409" i="16"/>
  <c r="I431" i="16" s="1"/>
  <c r="F409" i="16"/>
  <c r="H431" i="16" s="1"/>
  <c r="G409" i="16"/>
  <c r="A410" i="16"/>
  <c r="D410" i="16"/>
  <c r="E410" i="16"/>
  <c r="I432" i="16" s="1"/>
  <c r="F410" i="16"/>
  <c r="H432" i="16" s="1"/>
  <c r="G410" i="16"/>
  <c r="A411" i="16"/>
  <c r="D411" i="16"/>
  <c r="E433" i="16" s="1"/>
  <c r="E411" i="16"/>
  <c r="I433" i="16" s="1"/>
  <c r="F411" i="16"/>
  <c r="H433" i="16" s="1"/>
  <c r="G411" i="16"/>
  <c r="A412" i="16"/>
  <c r="D412" i="16"/>
  <c r="E434" i="16" s="1"/>
  <c r="E412" i="16"/>
  <c r="F412" i="16"/>
  <c r="H434" i="16" s="1"/>
  <c r="G412" i="16"/>
  <c r="A413" i="16"/>
  <c r="D413" i="16"/>
  <c r="E435" i="16" s="1"/>
  <c r="E413" i="16"/>
  <c r="F413" i="16"/>
  <c r="H435" i="16" s="1"/>
  <c r="G413" i="16"/>
  <c r="C414" i="16"/>
  <c r="A417" i="16" s="1"/>
  <c r="H414" i="16"/>
  <c r="L414" i="16"/>
  <c r="M414" i="16"/>
  <c r="N414" i="16"/>
  <c r="O414" i="16"/>
  <c r="C425" i="16"/>
  <c r="A426" i="16"/>
  <c r="A427" i="16" s="1"/>
  <c r="A428" i="16" s="1"/>
  <c r="A429" i="16" s="1"/>
  <c r="A430" i="16" s="1"/>
  <c r="A431" i="16" s="1"/>
  <c r="A432" i="16" s="1"/>
  <c r="A433" i="16" s="1"/>
  <c r="A434" i="16" s="1"/>
  <c r="A435" i="16" s="1"/>
  <c r="A437" i="16" s="1"/>
  <c r="A439" i="16" s="1"/>
  <c r="A440" i="16" s="1"/>
  <c r="C426" i="16"/>
  <c r="C427" i="16"/>
  <c r="C428" i="16"/>
  <c r="C429" i="16"/>
  <c r="C430" i="16"/>
  <c r="C431" i="16"/>
  <c r="C432" i="16"/>
  <c r="E432" i="16"/>
  <c r="C433" i="16"/>
  <c r="C434" i="16"/>
  <c r="C435" i="16"/>
  <c r="I435" i="16"/>
  <c r="C437" i="16"/>
  <c r="E437" i="16"/>
  <c r="C439" i="16"/>
  <c r="H439" i="16"/>
  <c r="C440" i="16"/>
  <c r="I401" i="16" l="1"/>
  <c r="J401" i="16" s="1"/>
  <c r="I367" i="16"/>
  <c r="J367" i="16" s="1"/>
  <c r="I412" i="16"/>
  <c r="J412" i="16" s="1"/>
  <c r="I407" i="16"/>
  <c r="J407" i="16" s="1"/>
  <c r="I408" i="16"/>
  <c r="J408" i="16" s="1"/>
  <c r="D440" i="16"/>
  <c r="J439" i="16"/>
  <c r="I403" i="16"/>
  <c r="J403" i="16" s="1"/>
  <c r="I402" i="16"/>
  <c r="J402" i="16" s="1"/>
  <c r="I363" i="16"/>
  <c r="J363" i="16" s="1"/>
  <c r="E368" i="16"/>
  <c r="C371" i="16" s="1"/>
  <c r="I355" i="16"/>
  <c r="J355" i="16" s="1"/>
  <c r="J394" i="16"/>
  <c r="I359" i="16"/>
  <c r="J359" i="16" s="1"/>
  <c r="I437" i="16"/>
  <c r="J437" i="16" s="1"/>
  <c r="J428" i="16"/>
  <c r="G414" i="16"/>
  <c r="B417" i="16" s="1"/>
  <c r="J429" i="16"/>
  <c r="I406" i="16"/>
  <c r="J406" i="16" s="1"/>
  <c r="F414" i="16"/>
  <c r="I400" i="16"/>
  <c r="D368" i="16"/>
  <c r="I358" i="16"/>
  <c r="J358" i="16" s="1"/>
  <c r="I362" i="16"/>
  <c r="J362" i="16" s="1"/>
  <c r="I366" i="16"/>
  <c r="J366" i="16" s="1"/>
  <c r="J435" i="16"/>
  <c r="I413" i="16"/>
  <c r="J413" i="16" s="1"/>
  <c r="J433" i="16"/>
  <c r="I410" i="16"/>
  <c r="J410" i="16" s="1"/>
  <c r="I409" i="16"/>
  <c r="J409" i="16" s="1"/>
  <c r="C395" i="16"/>
  <c r="J427" i="16"/>
  <c r="D414" i="16"/>
  <c r="J440" i="16"/>
  <c r="J432" i="16"/>
  <c r="J431" i="16"/>
  <c r="I404" i="16"/>
  <c r="J404" i="16" s="1"/>
  <c r="I356" i="16"/>
  <c r="J356" i="16" s="1"/>
  <c r="I360" i="16"/>
  <c r="J360" i="16" s="1"/>
  <c r="I364" i="16"/>
  <c r="J364" i="16" s="1"/>
  <c r="J383" i="16"/>
  <c r="J387" i="16"/>
  <c r="I357" i="16"/>
  <c r="J357" i="16" s="1"/>
  <c r="I361" i="16"/>
  <c r="J361" i="16" s="1"/>
  <c r="I365" i="16"/>
  <c r="J365" i="16" s="1"/>
  <c r="G368" i="16"/>
  <c r="B371" i="16" s="1"/>
  <c r="J379" i="16"/>
  <c r="E380" i="16"/>
  <c r="J380" i="16" s="1"/>
  <c r="E384" i="16"/>
  <c r="J384" i="16" s="1"/>
  <c r="E388" i="16"/>
  <c r="J388" i="16" s="1"/>
  <c r="I354" i="16"/>
  <c r="F368" i="16"/>
  <c r="E381" i="16"/>
  <c r="J381" i="16" s="1"/>
  <c r="E385" i="16"/>
  <c r="J385" i="16" s="1"/>
  <c r="K385" i="16" s="1"/>
  <c r="E389" i="16"/>
  <c r="J389" i="16" s="1"/>
  <c r="K389" i="16" s="1"/>
  <c r="I393" i="16"/>
  <c r="J393" i="16" s="1"/>
  <c r="E382" i="16"/>
  <c r="J382" i="16" s="1"/>
  <c r="E386" i="16"/>
  <c r="J386" i="16" s="1"/>
  <c r="E391" i="16"/>
  <c r="J391" i="16" s="1"/>
  <c r="I434" i="16"/>
  <c r="J434" i="16" s="1"/>
  <c r="K434" i="16" s="1"/>
  <c r="I430" i="16"/>
  <c r="J430" i="16" s="1"/>
  <c r="I426" i="16"/>
  <c r="J426" i="16" s="1"/>
  <c r="E414" i="16"/>
  <c r="C417" i="16" s="1"/>
  <c r="I405" i="16"/>
  <c r="J405" i="16" s="1"/>
  <c r="I411" i="16"/>
  <c r="J411" i="16" s="1"/>
  <c r="E425" i="16"/>
  <c r="J425" i="16" s="1"/>
  <c r="K425" i="16" l="1"/>
  <c r="K386" i="16"/>
  <c r="G416" i="16"/>
  <c r="K439" i="16"/>
  <c r="K394" i="16"/>
  <c r="D417" i="16"/>
  <c r="J400" i="16"/>
  <c r="K440" i="16"/>
  <c r="K388" i="16"/>
  <c r="K437" i="16"/>
  <c r="K430" i="16"/>
  <c r="K426" i="16"/>
  <c r="K382" i="16"/>
  <c r="K435" i="16"/>
  <c r="K429" i="16"/>
  <c r="K428" i="16"/>
  <c r="K381" i="16"/>
  <c r="D371" i="16"/>
  <c r="G370" i="16"/>
  <c r="K380" i="16"/>
  <c r="K391" i="16"/>
  <c r="K393" i="16"/>
  <c r="K384" i="16"/>
  <c r="K432" i="16"/>
  <c r="K431" i="16"/>
  <c r="I368" i="16"/>
  <c r="J354" i="16"/>
  <c r="I395" i="16"/>
  <c r="K379" i="16"/>
  <c r="J395" i="16"/>
  <c r="K383" i="16"/>
  <c r="K387" i="16"/>
  <c r="K433" i="16"/>
  <c r="I414" i="16"/>
  <c r="K427" i="16"/>
  <c r="C532" i="16"/>
  <c r="C531" i="16"/>
  <c r="C529" i="16"/>
  <c r="C522" i="16"/>
  <c r="C521" i="16"/>
  <c r="C520" i="16"/>
  <c r="A519" i="16"/>
  <c r="A520" i="16" s="1"/>
  <c r="A521" i="16" s="1"/>
  <c r="A522" i="16" s="1"/>
  <c r="A523" i="16" s="1"/>
  <c r="C518" i="16"/>
  <c r="O507" i="16"/>
  <c r="M507" i="16"/>
  <c r="L507" i="16"/>
  <c r="C507" i="16"/>
  <c r="A510" i="16" s="1"/>
  <c r="G506" i="16"/>
  <c r="F506" i="16"/>
  <c r="H527" i="16" s="1"/>
  <c r="E506" i="16"/>
  <c r="I527" i="16" s="1"/>
  <c r="D506" i="16"/>
  <c r="E527" i="16" s="1"/>
  <c r="A506" i="16"/>
  <c r="G505" i="16"/>
  <c r="F505" i="16"/>
  <c r="H526" i="16" s="1"/>
  <c r="E505" i="16"/>
  <c r="I526" i="16" s="1"/>
  <c r="D505" i="16"/>
  <c r="E526" i="16" s="1"/>
  <c r="A505" i="16"/>
  <c r="G504" i="16"/>
  <c r="F504" i="16"/>
  <c r="H525" i="16" s="1"/>
  <c r="E504" i="16"/>
  <c r="I525" i="16" s="1"/>
  <c r="D504" i="16"/>
  <c r="E525" i="16" s="1"/>
  <c r="A504" i="16"/>
  <c r="N503" i="16"/>
  <c r="N507" i="16" s="1"/>
  <c r="H503" i="16"/>
  <c r="G503" i="16"/>
  <c r="F503" i="16"/>
  <c r="H524" i="16" s="1"/>
  <c r="D503" i="16"/>
  <c r="E524" i="16" s="1"/>
  <c r="A503" i="16"/>
  <c r="H502" i="16"/>
  <c r="G502" i="16"/>
  <c r="F502" i="16"/>
  <c r="H523" i="16" s="1"/>
  <c r="E502" i="16"/>
  <c r="I523" i="16" s="1"/>
  <c r="D502" i="16"/>
  <c r="E523" i="16" s="1"/>
  <c r="A502" i="16"/>
  <c r="G501" i="16"/>
  <c r="F501" i="16"/>
  <c r="H522" i="16" s="1"/>
  <c r="E501" i="16"/>
  <c r="I522" i="16" s="1"/>
  <c r="D501" i="16"/>
  <c r="A501" i="16"/>
  <c r="G500" i="16"/>
  <c r="F500" i="16"/>
  <c r="H521" i="16" s="1"/>
  <c r="E500" i="16"/>
  <c r="I521" i="16" s="1"/>
  <c r="D500" i="16"/>
  <c r="E521" i="16" s="1"/>
  <c r="A500" i="16"/>
  <c r="G499" i="16"/>
  <c r="F499" i="16"/>
  <c r="H520" i="16" s="1"/>
  <c r="E499" i="16"/>
  <c r="I520" i="16" s="1"/>
  <c r="D499" i="16"/>
  <c r="A499" i="16"/>
  <c r="G498" i="16"/>
  <c r="F498" i="16"/>
  <c r="H519" i="16" s="1"/>
  <c r="E498" i="16"/>
  <c r="I519" i="16" s="1"/>
  <c r="D498" i="16"/>
  <c r="A498" i="16"/>
  <c r="G497" i="16"/>
  <c r="F497" i="16"/>
  <c r="H518" i="16" s="1"/>
  <c r="E497" i="16"/>
  <c r="I518" i="16" s="1"/>
  <c r="D497" i="16"/>
  <c r="A497" i="16"/>
  <c r="G496" i="16"/>
  <c r="F496" i="16"/>
  <c r="H529" i="16" s="1"/>
  <c r="E496" i="16"/>
  <c r="I529" i="16" s="1"/>
  <c r="D496" i="16"/>
  <c r="E529" i="16" s="1"/>
  <c r="A496" i="16"/>
  <c r="G495" i="16"/>
  <c r="D532" i="16" s="1"/>
  <c r="F495" i="16"/>
  <c r="H532" i="16" s="1"/>
  <c r="E495" i="16"/>
  <c r="I532" i="16" s="1"/>
  <c r="D495" i="16"/>
  <c r="A495" i="16"/>
  <c r="G494" i="16"/>
  <c r="D531" i="16" s="1"/>
  <c r="F494" i="16"/>
  <c r="H531" i="16" s="1"/>
  <c r="E494" i="16"/>
  <c r="D494" i="16"/>
  <c r="A494" i="16"/>
  <c r="C487" i="16"/>
  <c r="C486" i="16"/>
  <c r="C484" i="16"/>
  <c r="C475" i="16"/>
  <c r="C474" i="16"/>
  <c r="C473" i="16"/>
  <c r="A473" i="16"/>
  <c r="A474" i="16" s="1"/>
  <c r="A475" i="16" s="1"/>
  <c r="A476" i="16" s="1"/>
  <c r="A477" i="16" s="1"/>
  <c r="O461" i="16"/>
  <c r="N461" i="16"/>
  <c r="M461" i="16"/>
  <c r="L461" i="16"/>
  <c r="H461" i="16"/>
  <c r="C461" i="16"/>
  <c r="A464" i="16" s="1"/>
  <c r="G460" i="16"/>
  <c r="F460" i="16"/>
  <c r="H482" i="16" s="1"/>
  <c r="E460" i="16"/>
  <c r="I482" i="16" s="1"/>
  <c r="D460" i="16"/>
  <c r="A460" i="16"/>
  <c r="G459" i="16"/>
  <c r="F459" i="16"/>
  <c r="H481" i="16" s="1"/>
  <c r="E459" i="16"/>
  <c r="I481" i="16" s="1"/>
  <c r="D459" i="16"/>
  <c r="E481" i="16" s="1"/>
  <c r="A459" i="16"/>
  <c r="G458" i="16"/>
  <c r="F458" i="16"/>
  <c r="H480" i="16" s="1"/>
  <c r="E458" i="16"/>
  <c r="I480" i="16" s="1"/>
  <c r="D458" i="16"/>
  <c r="E480" i="16" s="1"/>
  <c r="A458" i="16"/>
  <c r="G457" i="16"/>
  <c r="F457" i="16"/>
  <c r="H479" i="16" s="1"/>
  <c r="E457" i="16"/>
  <c r="I479" i="16" s="1"/>
  <c r="D457" i="16"/>
  <c r="A457" i="16"/>
  <c r="G456" i="16"/>
  <c r="F456" i="16"/>
  <c r="H478" i="16" s="1"/>
  <c r="E456" i="16"/>
  <c r="I478" i="16" s="1"/>
  <c r="D456" i="16"/>
  <c r="A456" i="16"/>
  <c r="G455" i="16"/>
  <c r="F455" i="16"/>
  <c r="H477" i="16" s="1"/>
  <c r="E455" i="16"/>
  <c r="I477" i="16" s="1"/>
  <c r="D455" i="16"/>
  <c r="A455" i="16"/>
  <c r="G454" i="16"/>
  <c r="F454" i="16"/>
  <c r="H475" i="16" s="1"/>
  <c r="E454" i="16"/>
  <c r="I475" i="16" s="1"/>
  <c r="D454" i="16"/>
  <c r="E475" i="16" s="1"/>
  <c r="A454" i="16"/>
  <c r="G453" i="16"/>
  <c r="F453" i="16"/>
  <c r="H474" i="16" s="1"/>
  <c r="E453" i="16"/>
  <c r="I474" i="16" s="1"/>
  <c r="D453" i="16"/>
  <c r="A453" i="16"/>
  <c r="G452" i="16"/>
  <c r="F452" i="16"/>
  <c r="H476" i="16" s="1"/>
  <c r="E452" i="16"/>
  <c r="I476" i="16" s="1"/>
  <c r="D452" i="16"/>
  <c r="E476" i="16" s="1"/>
  <c r="A452" i="16"/>
  <c r="G451" i="16"/>
  <c r="F451" i="16"/>
  <c r="H473" i="16" s="1"/>
  <c r="E451" i="16"/>
  <c r="I473" i="16" s="1"/>
  <c r="D451" i="16"/>
  <c r="A451" i="16"/>
  <c r="G450" i="16"/>
  <c r="F450" i="16"/>
  <c r="H472" i="16" s="1"/>
  <c r="E450" i="16"/>
  <c r="I472" i="16" s="1"/>
  <c r="D450" i="16"/>
  <c r="E472" i="16" s="1"/>
  <c r="A450" i="16"/>
  <c r="G449" i="16"/>
  <c r="F449" i="16"/>
  <c r="H484" i="16" s="1"/>
  <c r="E449" i="16"/>
  <c r="I484" i="16" s="1"/>
  <c r="D449" i="16"/>
  <c r="A449" i="16"/>
  <c r="G448" i="16"/>
  <c r="D487" i="16" s="1"/>
  <c r="F448" i="16"/>
  <c r="H487" i="16" s="1"/>
  <c r="E448" i="16"/>
  <c r="I487" i="16" s="1"/>
  <c r="D448" i="16"/>
  <c r="A448" i="16"/>
  <c r="G447" i="16"/>
  <c r="D486" i="16" s="1"/>
  <c r="F447" i="16"/>
  <c r="H486" i="16" s="1"/>
  <c r="E447" i="16"/>
  <c r="D447" i="16"/>
  <c r="A447" i="16"/>
  <c r="K395" i="16" l="1"/>
  <c r="E371" i="16"/>
  <c r="J368" i="16"/>
  <c r="I369" i="16"/>
  <c r="J369" i="16"/>
  <c r="J415" i="16"/>
  <c r="I415" i="16"/>
  <c r="J414" i="16"/>
  <c r="E417" i="16"/>
  <c r="E461" i="16"/>
  <c r="C464" i="16" s="1"/>
  <c r="I448" i="16"/>
  <c r="J448" i="16" s="1"/>
  <c r="G461" i="16"/>
  <c r="B464" i="16" s="1"/>
  <c r="I456" i="16"/>
  <c r="J456" i="16" s="1"/>
  <c r="I460" i="16"/>
  <c r="J460" i="16" s="1"/>
  <c r="J523" i="16"/>
  <c r="J525" i="16"/>
  <c r="I506" i="16"/>
  <c r="J506" i="16" s="1"/>
  <c r="C533" i="16"/>
  <c r="I497" i="16"/>
  <c r="J497" i="16" s="1"/>
  <c r="I501" i="16"/>
  <c r="J501" i="16" s="1"/>
  <c r="I495" i="16"/>
  <c r="J495" i="16" s="1"/>
  <c r="I499" i="16"/>
  <c r="J499" i="16" s="1"/>
  <c r="I505" i="16"/>
  <c r="J505" i="16" s="1"/>
  <c r="C488" i="16"/>
  <c r="I494" i="16"/>
  <c r="J494" i="16" s="1"/>
  <c r="I498" i="16"/>
  <c r="J498" i="16" s="1"/>
  <c r="H507" i="16"/>
  <c r="A525" i="16"/>
  <c r="A527" i="16" s="1"/>
  <c r="A529" i="16" s="1"/>
  <c r="A531" i="16" s="1"/>
  <c r="A532" i="16" s="1"/>
  <c r="A524" i="16"/>
  <c r="A526" i="16" s="1"/>
  <c r="J532" i="16"/>
  <c r="J529" i="16"/>
  <c r="J521" i="16"/>
  <c r="I496" i="16"/>
  <c r="J496" i="16" s="1"/>
  <c r="I500" i="16"/>
  <c r="J500" i="16" s="1"/>
  <c r="D507" i="16"/>
  <c r="E518" i="16"/>
  <c r="J518" i="16" s="1"/>
  <c r="E522" i="16"/>
  <c r="J522" i="16" s="1"/>
  <c r="J526" i="16"/>
  <c r="I502" i="16"/>
  <c r="J502" i="16" s="1"/>
  <c r="E503" i="16"/>
  <c r="I504" i="16"/>
  <c r="J504" i="16" s="1"/>
  <c r="G507" i="16"/>
  <c r="B510" i="16" s="1"/>
  <c r="E519" i="16"/>
  <c r="J519" i="16" s="1"/>
  <c r="J527" i="16"/>
  <c r="I531" i="16"/>
  <c r="J531" i="16" s="1"/>
  <c r="F507" i="16"/>
  <c r="E520" i="16"/>
  <c r="J520" i="16" s="1"/>
  <c r="I449" i="16"/>
  <c r="J449" i="16" s="1"/>
  <c r="I453" i="16"/>
  <c r="J453" i="16" s="1"/>
  <c r="I457" i="16"/>
  <c r="J457" i="16" s="1"/>
  <c r="J481" i="16"/>
  <c r="E478" i="16"/>
  <c r="J478" i="16" s="1"/>
  <c r="E474" i="16"/>
  <c r="J474" i="16" s="1"/>
  <c r="K474" i="16" s="1"/>
  <c r="E484" i="16"/>
  <c r="J484" i="16" s="1"/>
  <c r="D461" i="16"/>
  <c r="I451" i="16"/>
  <c r="J451" i="16" s="1"/>
  <c r="I455" i="16"/>
  <c r="J455" i="16" s="1"/>
  <c r="I459" i="16"/>
  <c r="J459" i="16" s="1"/>
  <c r="E477" i="16"/>
  <c r="J477" i="16" s="1"/>
  <c r="E479" i="16"/>
  <c r="J479" i="16" s="1"/>
  <c r="E473" i="16"/>
  <c r="J473" i="16" s="1"/>
  <c r="E482" i="16"/>
  <c r="J482" i="16" s="1"/>
  <c r="K482" i="16" s="1"/>
  <c r="A478" i="16"/>
  <c r="A480" i="16" s="1"/>
  <c r="A482" i="16" s="1"/>
  <c r="A484" i="16" s="1"/>
  <c r="A486" i="16" s="1"/>
  <c r="A487" i="16" s="1"/>
  <c r="A479" i="16"/>
  <c r="A481" i="16" s="1"/>
  <c r="J472" i="16"/>
  <c r="J480" i="16"/>
  <c r="J475" i="16"/>
  <c r="J487" i="16"/>
  <c r="J476" i="16"/>
  <c r="I450" i="16"/>
  <c r="J450" i="16" s="1"/>
  <c r="I454" i="16"/>
  <c r="J454" i="16" s="1"/>
  <c r="I458" i="16"/>
  <c r="J458" i="16" s="1"/>
  <c r="I447" i="16"/>
  <c r="F461" i="16"/>
  <c r="I486" i="16"/>
  <c r="J486" i="16" s="1"/>
  <c r="I452" i="16"/>
  <c r="J452" i="16" s="1"/>
  <c r="D464" i="16" l="1"/>
  <c r="G463" i="16"/>
  <c r="K487" i="16"/>
  <c r="K520" i="16"/>
  <c r="K479" i="16"/>
  <c r="K519" i="16"/>
  <c r="K478" i="16"/>
  <c r="K527" i="16"/>
  <c r="I524" i="16"/>
  <c r="I533" i="16" s="1"/>
  <c r="K531" i="16"/>
  <c r="K522" i="16"/>
  <c r="K532" i="16"/>
  <c r="K523" i="16"/>
  <c r="K473" i="16"/>
  <c r="K484" i="16"/>
  <c r="K526" i="16"/>
  <c r="K529" i="16"/>
  <c r="K477" i="16"/>
  <c r="K481" i="16"/>
  <c r="K518" i="16"/>
  <c r="I503" i="16"/>
  <c r="J503" i="16" s="1"/>
  <c r="K525" i="16"/>
  <c r="K521" i="16"/>
  <c r="G509" i="16"/>
  <c r="E507" i="16"/>
  <c r="C510" i="16" s="1"/>
  <c r="D510" i="16" s="1"/>
  <c r="K475" i="16"/>
  <c r="K480" i="16"/>
  <c r="K486" i="16"/>
  <c r="K476" i="16"/>
  <c r="I488" i="16"/>
  <c r="I461" i="16"/>
  <c r="J447" i="16"/>
  <c r="K472" i="16"/>
  <c r="J488" i="16"/>
  <c r="I507" i="16" l="1"/>
  <c r="J507" i="16" s="1"/>
  <c r="J524" i="16"/>
  <c r="J533" i="16" s="1"/>
  <c r="K488" i="16"/>
  <c r="E464" i="16"/>
  <c r="J461" i="16"/>
  <c r="I462" i="16"/>
  <c r="J462" i="16"/>
  <c r="K533" i="16" l="1"/>
  <c r="I508" i="16"/>
  <c r="J508" i="16"/>
  <c r="E510" i="16"/>
  <c r="K524" i="16"/>
  <c r="G13" i="153"/>
  <c r="G14" i="153" s="1"/>
  <c r="C441" i="16" l="1"/>
  <c r="I441" i="16"/>
  <c r="J441" i="16" l="1"/>
  <c r="K441" i="16" s="1"/>
  <c r="C6" i="153" l="1"/>
  <c r="C5" i="153"/>
  <c r="C7" i="153" l="1"/>
  <c r="E6" i="153" l="1"/>
  <c r="D7" i="153"/>
  <c r="N551" i="16"/>
  <c r="M551" i="16"/>
  <c r="C576" i="16" l="1"/>
  <c r="C575" i="16"/>
  <c r="C573" i="16"/>
  <c r="C571" i="16"/>
  <c r="C570" i="16"/>
  <c r="C569" i="16"/>
  <c r="C568" i="16"/>
  <c r="C567" i="16"/>
  <c r="C566" i="16"/>
  <c r="C565" i="16"/>
  <c r="C564" i="16"/>
  <c r="C563" i="16"/>
  <c r="A563" i="16"/>
  <c r="A564" i="16" s="1"/>
  <c r="A565" i="16" s="1"/>
  <c r="A566" i="16" s="1"/>
  <c r="A567" i="16" s="1"/>
  <c r="C562" i="16"/>
  <c r="O551" i="16"/>
  <c r="L551" i="16"/>
  <c r="H551" i="16"/>
  <c r="C551" i="16"/>
  <c r="A554" i="16" s="1"/>
  <c r="G550" i="16"/>
  <c r="F550" i="16"/>
  <c r="H571" i="16" s="1"/>
  <c r="E550" i="16"/>
  <c r="I571" i="16" s="1"/>
  <c r="D550" i="16"/>
  <c r="E571" i="16" s="1"/>
  <c r="A550" i="16"/>
  <c r="G549" i="16"/>
  <c r="F549" i="16"/>
  <c r="H570" i="16" s="1"/>
  <c r="E549" i="16"/>
  <c r="I570" i="16" s="1"/>
  <c r="D549" i="16"/>
  <c r="E570" i="16" s="1"/>
  <c r="A549" i="16"/>
  <c r="G548" i="16"/>
  <c r="F548" i="16"/>
  <c r="H569" i="16" s="1"/>
  <c r="E548" i="16"/>
  <c r="I569" i="16" s="1"/>
  <c r="D548" i="16"/>
  <c r="E569" i="16" s="1"/>
  <c r="A548" i="16"/>
  <c r="G547" i="16"/>
  <c r="F547" i="16"/>
  <c r="H568" i="16" s="1"/>
  <c r="E547" i="16"/>
  <c r="I568" i="16" s="1"/>
  <c r="D547" i="16"/>
  <c r="E568" i="16" s="1"/>
  <c r="A547" i="16"/>
  <c r="G546" i="16"/>
  <c r="F546" i="16"/>
  <c r="H567" i="16" s="1"/>
  <c r="E546" i="16"/>
  <c r="I567" i="16" s="1"/>
  <c r="D546" i="16"/>
  <c r="E567" i="16" s="1"/>
  <c r="A546" i="16"/>
  <c r="G545" i="16"/>
  <c r="F545" i="16"/>
  <c r="H566" i="16" s="1"/>
  <c r="E545" i="16"/>
  <c r="I566" i="16" s="1"/>
  <c r="D545" i="16"/>
  <c r="E566" i="16" s="1"/>
  <c r="A545" i="16"/>
  <c r="G544" i="16"/>
  <c r="F544" i="16"/>
  <c r="H565" i="16" s="1"/>
  <c r="E544" i="16"/>
  <c r="I565" i="16" s="1"/>
  <c r="D544" i="16"/>
  <c r="E565" i="16" s="1"/>
  <c r="A544" i="16"/>
  <c r="G543" i="16"/>
  <c r="F543" i="16"/>
  <c r="H564" i="16" s="1"/>
  <c r="E543" i="16"/>
  <c r="I564" i="16" s="1"/>
  <c r="D543" i="16"/>
  <c r="E564" i="16" s="1"/>
  <c r="A543" i="16"/>
  <c r="G542" i="16"/>
  <c r="F542" i="16"/>
  <c r="H563" i="16" s="1"/>
  <c r="E542" i="16"/>
  <c r="I563" i="16" s="1"/>
  <c r="D542" i="16"/>
  <c r="E563" i="16" s="1"/>
  <c r="A542" i="16"/>
  <c r="G541" i="16"/>
  <c r="F541" i="16"/>
  <c r="H562" i="16" s="1"/>
  <c r="E541" i="16"/>
  <c r="I562" i="16" s="1"/>
  <c r="D541" i="16"/>
  <c r="E562" i="16" s="1"/>
  <c r="A541" i="16"/>
  <c r="G540" i="16"/>
  <c r="F540" i="16"/>
  <c r="H573" i="16" s="1"/>
  <c r="E540" i="16"/>
  <c r="I573" i="16" s="1"/>
  <c r="D540" i="16"/>
  <c r="E573" i="16" s="1"/>
  <c r="A540" i="16"/>
  <c r="G539" i="16"/>
  <c r="D576" i="16" s="1"/>
  <c r="F539" i="16"/>
  <c r="H576" i="16" s="1"/>
  <c r="E539" i="16"/>
  <c r="I576" i="16" s="1"/>
  <c r="D539" i="16"/>
  <c r="A539" i="16"/>
  <c r="G538" i="16"/>
  <c r="D575" i="16" s="1"/>
  <c r="F538" i="16"/>
  <c r="H575" i="16" s="1"/>
  <c r="E538" i="16"/>
  <c r="I575" i="16" s="1"/>
  <c r="D538" i="16"/>
  <c r="A538" i="16"/>
  <c r="E581" i="16"/>
  <c r="D589" i="16"/>
  <c r="D590" i="16"/>
  <c r="D591" i="16"/>
  <c r="D592" i="16"/>
  <c r="D593" i="16"/>
  <c r="D594" i="16"/>
  <c r="D582" i="16"/>
  <c r="D583" i="16"/>
  <c r="D584" i="16"/>
  <c r="D585" i="16"/>
  <c r="D581" i="16"/>
  <c r="L595" i="16"/>
  <c r="I539" i="16" l="1"/>
  <c r="J539" i="16" s="1"/>
  <c r="C577" i="16"/>
  <c r="D551" i="16"/>
  <c r="J576" i="16"/>
  <c r="J564" i="16"/>
  <c r="J568" i="16"/>
  <c r="J563" i="16"/>
  <c r="J567" i="16"/>
  <c r="J571" i="16"/>
  <c r="A568" i="16"/>
  <c r="A570" i="16" s="1"/>
  <c r="A569" i="16"/>
  <c r="A571" i="16" s="1"/>
  <c r="A573" i="16" s="1"/>
  <c r="J575" i="16"/>
  <c r="J562" i="16"/>
  <c r="J570" i="16"/>
  <c r="J566" i="16"/>
  <c r="J573" i="16"/>
  <c r="I577" i="16"/>
  <c r="J565" i="16"/>
  <c r="J569" i="16"/>
  <c r="I538" i="16"/>
  <c r="I542" i="16"/>
  <c r="J542" i="16" s="1"/>
  <c r="I546" i="16"/>
  <c r="J546" i="16" s="1"/>
  <c r="I550" i="16"/>
  <c r="J550" i="16" s="1"/>
  <c r="F551" i="16"/>
  <c r="I543" i="16"/>
  <c r="J543" i="16" s="1"/>
  <c r="I547" i="16"/>
  <c r="J547" i="16" s="1"/>
  <c r="E551" i="16"/>
  <c r="C554" i="16" s="1"/>
  <c r="I540" i="16"/>
  <c r="J540" i="16" s="1"/>
  <c r="I544" i="16"/>
  <c r="J544" i="16" s="1"/>
  <c r="I548" i="16"/>
  <c r="J548" i="16" s="1"/>
  <c r="I541" i="16"/>
  <c r="J541" i="16" s="1"/>
  <c r="I545" i="16"/>
  <c r="J545" i="16" s="1"/>
  <c r="I549" i="16"/>
  <c r="J549" i="16" s="1"/>
  <c r="G551" i="16"/>
  <c r="B554" i="16" s="1"/>
  <c r="A575" i="16" l="1"/>
  <c r="A576" i="16" s="1"/>
  <c r="K576" i="16"/>
  <c r="D554" i="16"/>
  <c r="G553" i="16"/>
  <c r="K573" i="16"/>
  <c r="K563" i="16"/>
  <c r="K571" i="16"/>
  <c r="J538" i="16"/>
  <c r="I551" i="16"/>
  <c r="K562" i="16"/>
  <c r="J577" i="16"/>
  <c r="K567" i="16"/>
  <c r="K565" i="16"/>
  <c r="K566" i="16"/>
  <c r="K570" i="16"/>
  <c r="K564" i="16"/>
  <c r="K569" i="16"/>
  <c r="K568" i="16"/>
  <c r="K575" i="16"/>
  <c r="K577" i="16" l="1"/>
  <c r="I552" i="16"/>
  <c r="E554" i="16"/>
  <c r="J551" i="16"/>
  <c r="C621" i="16" l="1"/>
  <c r="C620" i="16"/>
  <c r="C618" i="16"/>
  <c r="C616" i="16"/>
  <c r="C615" i="16"/>
  <c r="C614" i="16"/>
  <c r="C613" i="16"/>
  <c r="C612" i="16"/>
  <c r="C611" i="16"/>
  <c r="C610" i="16"/>
  <c r="C609" i="16"/>
  <c r="C608" i="16"/>
  <c r="C607" i="16"/>
  <c r="A607" i="16"/>
  <c r="A608" i="16" s="1"/>
  <c r="A609" i="16" s="1"/>
  <c r="A610" i="16" s="1"/>
  <c r="A611" i="16" s="1"/>
  <c r="C606" i="16"/>
  <c r="O595" i="16"/>
  <c r="N595" i="16"/>
  <c r="M595" i="16"/>
  <c r="H595" i="16"/>
  <c r="C595" i="16"/>
  <c r="A598" i="16" s="1"/>
  <c r="G594" i="16"/>
  <c r="F594" i="16"/>
  <c r="H616" i="16" s="1"/>
  <c r="E594" i="16"/>
  <c r="I616" i="16" s="1"/>
  <c r="E616" i="16"/>
  <c r="A594" i="16"/>
  <c r="G593" i="16"/>
  <c r="F593" i="16"/>
  <c r="H615" i="16" s="1"/>
  <c r="E593" i="16"/>
  <c r="I615" i="16" s="1"/>
  <c r="E615" i="16"/>
  <c r="A593" i="16"/>
  <c r="G592" i="16"/>
  <c r="F592" i="16"/>
  <c r="H614" i="16" s="1"/>
  <c r="E592" i="16"/>
  <c r="I614" i="16" s="1"/>
  <c r="E614" i="16"/>
  <c r="A592" i="16"/>
  <c r="G591" i="16"/>
  <c r="F591" i="16"/>
  <c r="H613" i="16" s="1"/>
  <c r="E591" i="16"/>
  <c r="I613" i="16" s="1"/>
  <c r="E613" i="16"/>
  <c r="A591" i="16"/>
  <c r="G590" i="16"/>
  <c r="F590" i="16"/>
  <c r="H612" i="16" s="1"/>
  <c r="E590" i="16"/>
  <c r="I612" i="16" s="1"/>
  <c r="E612" i="16"/>
  <c r="A590" i="16"/>
  <c r="G589" i="16"/>
  <c r="F589" i="16"/>
  <c r="H611" i="16" s="1"/>
  <c r="E589" i="16"/>
  <c r="I611" i="16" s="1"/>
  <c r="E611" i="16"/>
  <c r="A589" i="16"/>
  <c r="G588" i="16"/>
  <c r="F588" i="16"/>
  <c r="H610" i="16" s="1"/>
  <c r="E588" i="16"/>
  <c r="I610" i="16" s="1"/>
  <c r="D588" i="16"/>
  <c r="E610" i="16" s="1"/>
  <c r="A588" i="16"/>
  <c r="G587" i="16"/>
  <c r="F587" i="16"/>
  <c r="H609" i="16" s="1"/>
  <c r="E587" i="16"/>
  <c r="I609" i="16" s="1"/>
  <c r="D587" i="16"/>
  <c r="E609" i="16" s="1"/>
  <c r="A587" i="16"/>
  <c r="G586" i="16"/>
  <c r="F586" i="16"/>
  <c r="H608" i="16" s="1"/>
  <c r="E586" i="16"/>
  <c r="I608" i="16" s="1"/>
  <c r="D586" i="16"/>
  <c r="E608" i="16" s="1"/>
  <c r="A586" i="16"/>
  <c r="G585" i="16"/>
  <c r="F585" i="16"/>
  <c r="H607" i="16" s="1"/>
  <c r="E585" i="16"/>
  <c r="I607" i="16" s="1"/>
  <c r="E607" i="16"/>
  <c r="A585" i="16"/>
  <c r="G584" i="16"/>
  <c r="F584" i="16"/>
  <c r="H606" i="16" s="1"/>
  <c r="E584" i="16"/>
  <c r="I606" i="16" s="1"/>
  <c r="E606" i="16"/>
  <c r="A584" i="16"/>
  <c r="G583" i="16"/>
  <c r="F583" i="16"/>
  <c r="H618" i="16" s="1"/>
  <c r="E583" i="16"/>
  <c r="I618" i="16" s="1"/>
  <c r="E618" i="16"/>
  <c r="A583" i="16"/>
  <c r="G582" i="16"/>
  <c r="D621" i="16" s="1"/>
  <c r="F582" i="16"/>
  <c r="H621" i="16" s="1"/>
  <c r="E582" i="16"/>
  <c r="I621" i="16" s="1"/>
  <c r="A582" i="16"/>
  <c r="G581" i="16"/>
  <c r="D620" i="16" s="1"/>
  <c r="F581" i="16"/>
  <c r="H620" i="16" s="1"/>
  <c r="I620" i="16"/>
  <c r="A581" i="16"/>
  <c r="J608" i="16" l="1"/>
  <c r="J612" i="16"/>
  <c r="D595" i="16"/>
  <c r="J618" i="16"/>
  <c r="I622" i="16"/>
  <c r="J609" i="16"/>
  <c r="J613" i="16"/>
  <c r="C622" i="16"/>
  <c r="I582" i="16"/>
  <c r="J582" i="16" s="1"/>
  <c r="A612" i="16"/>
  <c r="A614" i="16" s="1"/>
  <c r="A616" i="16" s="1"/>
  <c r="A618" i="16" s="1"/>
  <c r="A620" i="16" s="1"/>
  <c r="A621" i="16" s="1"/>
  <c r="A613" i="16"/>
  <c r="A615" i="16" s="1"/>
  <c r="J621" i="16"/>
  <c r="J620" i="16"/>
  <c r="J607" i="16"/>
  <c r="J611" i="16"/>
  <c r="J615" i="16"/>
  <c r="J606" i="16"/>
  <c r="J610" i="16"/>
  <c r="J614" i="16"/>
  <c r="J616" i="16"/>
  <c r="I584" i="16"/>
  <c r="J584" i="16" s="1"/>
  <c r="I588" i="16"/>
  <c r="J588" i="16" s="1"/>
  <c r="I581" i="16"/>
  <c r="I585" i="16"/>
  <c r="J585" i="16" s="1"/>
  <c r="I589" i="16"/>
  <c r="J589" i="16" s="1"/>
  <c r="I593" i="16"/>
  <c r="J593" i="16" s="1"/>
  <c r="F595" i="16"/>
  <c r="G597" i="16" s="1"/>
  <c r="I586" i="16"/>
  <c r="J586" i="16" s="1"/>
  <c r="I590" i="16"/>
  <c r="J590" i="16" s="1"/>
  <c r="I594" i="16"/>
  <c r="J594" i="16" s="1"/>
  <c r="E595" i="16"/>
  <c r="C598" i="16" s="1"/>
  <c r="I583" i="16"/>
  <c r="J583" i="16" s="1"/>
  <c r="I587" i="16"/>
  <c r="J587" i="16" s="1"/>
  <c r="I591" i="16"/>
  <c r="J591" i="16" s="1"/>
  <c r="I592" i="16"/>
  <c r="J592" i="16" s="1"/>
  <c r="G595" i="16"/>
  <c r="B598" i="16" s="1"/>
  <c r="K621" i="16" l="1"/>
  <c r="K609" i="16"/>
  <c r="D598" i="16"/>
  <c r="K616" i="16"/>
  <c r="K615" i="16"/>
  <c r="K612" i="16"/>
  <c r="K606" i="16"/>
  <c r="J622" i="16"/>
  <c r="K620" i="16"/>
  <c r="K613" i="16"/>
  <c r="K610" i="16"/>
  <c r="K607" i="16"/>
  <c r="I595" i="16"/>
  <c r="J581" i="16"/>
  <c r="K614" i="16"/>
  <c r="K611" i="16"/>
  <c r="K608" i="16"/>
  <c r="K618" i="16"/>
  <c r="K622" i="16" l="1"/>
  <c r="I596" i="16"/>
  <c r="E598" i="16"/>
  <c r="J595" i="16"/>
  <c r="C667" i="16" l="1"/>
  <c r="C666" i="16"/>
  <c r="C664" i="16"/>
  <c r="C662" i="16"/>
  <c r="C661" i="16"/>
  <c r="C660" i="16"/>
  <c r="C659" i="16"/>
  <c r="C658" i="16"/>
  <c r="C657" i="16"/>
  <c r="C656" i="16"/>
  <c r="C655" i="16"/>
  <c r="C654" i="16"/>
  <c r="C653" i="16"/>
  <c r="A653" i="16"/>
  <c r="C652" i="16"/>
  <c r="O641" i="16"/>
  <c r="N641" i="16"/>
  <c r="M641" i="16"/>
  <c r="L641" i="16"/>
  <c r="H641" i="16"/>
  <c r="C641" i="16"/>
  <c r="A644" i="16" s="1"/>
  <c r="G640" i="16"/>
  <c r="F640" i="16"/>
  <c r="H662" i="16" s="1"/>
  <c r="E640" i="16"/>
  <c r="I662" i="16" s="1"/>
  <c r="D640" i="16"/>
  <c r="A640" i="16"/>
  <c r="G639" i="16"/>
  <c r="F639" i="16"/>
  <c r="H661" i="16" s="1"/>
  <c r="E639" i="16"/>
  <c r="I661" i="16" s="1"/>
  <c r="D639" i="16"/>
  <c r="A639" i="16"/>
  <c r="G638" i="16"/>
  <c r="F638" i="16"/>
  <c r="H660" i="16" s="1"/>
  <c r="E638" i="16"/>
  <c r="I660" i="16" s="1"/>
  <c r="D638" i="16"/>
  <c r="E660" i="16" s="1"/>
  <c r="A638" i="16"/>
  <c r="G637" i="16"/>
  <c r="F637" i="16"/>
  <c r="H659" i="16" s="1"/>
  <c r="E637" i="16"/>
  <c r="I659" i="16" s="1"/>
  <c r="D637" i="16"/>
  <c r="A637" i="16"/>
  <c r="G636" i="16"/>
  <c r="F636" i="16"/>
  <c r="H658" i="16" s="1"/>
  <c r="E636" i="16"/>
  <c r="I658" i="16" s="1"/>
  <c r="D636" i="16"/>
  <c r="A636" i="16"/>
  <c r="G635" i="16"/>
  <c r="F635" i="16"/>
  <c r="H657" i="16" s="1"/>
  <c r="E635" i="16"/>
  <c r="I657" i="16" s="1"/>
  <c r="D635" i="16"/>
  <c r="E657" i="16" s="1"/>
  <c r="A635" i="16"/>
  <c r="G634" i="16"/>
  <c r="F634" i="16"/>
  <c r="H656" i="16" s="1"/>
  <c r="E634" i="16"/>
  <c r="I656" i="16" s="1"/>
  <c r="D634" i="16"/>
  <c r="E656" i="16" s="1"/>
  <c r="A634" i="16"/>
  <c r="G633" i="16"/>
  <c r="F633" i="16"/>
  <c r="H655" i="16" s="1"/>
  <c r="E633" i="16"/>
  <c r="I655" i="16" s="1"/>
  <c r="D633" i="16"/>
  <c r="A633" i="16"/>
  <c r="G632" i="16"/>
  <c r="F632" i="16"/>
  <c r="H654" i="16" s="1"/>
  <c r="E632" i="16"/>
  <c r="I654" i="16" s="1"/>
  <c r="D632" i="16"/>
  <c r="A632" i="16"/>
  <c r="G631" i="16"/>
  <c r="F631" i="16"/>
  <c r="H653" i="16" s="1"/>
  <c r="E631" i="16"/>
  <c r="I653" i="16" s="1"/>
  <c r="D631" i="16"/>
  <c r="E653" i="16" s="1"/>
  <c r="A631" i="16"/>
  <c r="G630" i="16"/>
  <c r="F630" i="16"/>
  <c r="H652" i="16" s="1"/>
  <c r="E630" i="16"/>
  <c r="I652" i="16" s="1"/>
  <c r="D630" i="16"/>
  <c r="A630" i="16"/>
  <c r="G629" i="16"/>
  <c r="F629" i="16"/>
  <c r="H664" i="16" s="1"/>
  <c r="E629" i="16"/>
  <c r="I664" i="16" s="1"/>
  <c r="D629" i="16"/>
  <c r="E664" i="16" s="1"/>
  <c r="A629" i="16"/>
  <c r="G628" i="16"/>
  <c r="D667" i="16" s="1"/>
  <c r="F628" i="16"/>
  <c r="H667" i="16" s="1"/>
  <c r="E628" i="16"/>
  <c r="I667" i="16" s="1"/>
  <c r="D628" i="16"/>
  <c r="A628" i="16"/>
  <c r="G627" i="16"/>
  <c r="D666" i="16" s="1"/>
  <c r="F627" i="16"/>
  <c r="H666" i="16" s="1"/>
  <c r="E627" i="16"/>
  <c r="I666" i="16" s="1"/>
  <c r="D627" i="16"/>
  <c r="A627" i="16"/>
  <c r="A654" i="16" l="1"/>
  <c r="A655" i="16" s="1"/>
  <c r="A656" i="16" s="1"/>
  <c r="A657" i="16" s="1"/>
  <c r="I627" i="16"/>
  <c r="J627" i="16" s="1"/>
  <c r="I633" i="16"/>
  <c r="J633" i="16" s="1"/>
  <c r="I637" i="16"/>
  <c r="J637" i="16" s="1"/>
  <c r="C668" i="16"/>
  <c r="I640" i="16"/>
  <c r="J640" i="16" s="1"/>
  <c r="I630" i="16"/>
  <c r="J630" i="16" s="1"/>
  <c r="I632" i="16"/>
  <c r="J632" i="16" s="1"/>
  <c r="J657" i="16"/>
  <c r="I636" i="16"/>
  <c r="J636" i="16" s="1"/>
  <c r="I639" i="16"/>
  <c r="J639" i="16" s="1"/>
  <c r="E652" i="16"/>
  <c r="J652" i="16" s="1"/>
  <c r="E654" i="16"/>
  <c r="J654" i="16" s="1"/>
  <c r="E662" i="16"/>
  <c r="J662" i="16" s="1"/>
  <c r="J667" i="16"/>
  <c r="E659" i="16"/>
  <c r="J659" i="16" s="1"/>
  <c r="K659" i="16" s="1"/>
  <c r="E641" i="16"/>
  <c r="C644" i="16" s="1"/>
  <c r="I628" i="16"/>
  <c r="J628" i="16" s="1"/>
  <c r="E655" i="16"/>
  <c r="J655" i="16" s="1"/>
  <c r="E661" i="16"/>
  <c r="J661" i="16" s="1"/>
  <c r="I631" i="16"/>
  <c r="J631" i="16" s="1"/>
  <c r="E658" i="16"/>
  <c r="J658" i="16" s="1"/>
  <c r="J656" i="16"/>
  <c r="J666" i="16"/>
  <c r="J653" i="16"/>
  <c r="J664" i="16"/>
  <c r="I668" i="16"/>
  <c r="J660" i="16"/>
  <c r="I638" i="16"/>
  <c r="J638" i="16" s="1"/>
  <c r="D641" i="16"/>
  <c r="I634" i="16"/>
  <c r="J634" i="16" s="1"/>
  <c r="I635" i="16"/>
  <c r="J635" i="16" s="1"/>
  <c r="G641" i="16"/>
  <c r="B644" i="16" s="1"/>
  <c r="I629" i="16"/>
  <c r="J629" i="16" s="1"/>
  <c r="F641" i="16"/>
  <c r="C710" i="16"/>
  <c r="C711" i="16"/>
  <c r="C688" i="16"/>
  <c r="A691" i="16" s="1"/>
  <c r="H688" i="16"/>
  <c r="A659" i="16" l="1"/>
  <c r="A661" i="16" s="1"/>
  <c r="A658" i="16"/>
  <c r="A660" i="16" s="1"/>
  <c r="A662" i="16" s="1"/>
  <c r="A664" i="16" s="1"/>
  <c r="A666" i="16" s="1"/>
  <c r="A667" i="16" s="1"/>
  <c r="K662" i="16"/>
  <c r="K666" i="16"/>
  <c r="K661" i="16"/>
  <c r="K658" i="16"/>
  <c r="K654" i="16"/>
  <c r="K653" i="16"/>
  <c r="D644" i="16"/>
  <c r="K652" i="16"/>
  <c r="K655" i="16"/>
  <c r="K664" i="16"/>
  <c r="K667" i="16"/>
  <c r="K660" i="16"/>
  <c r="K657" i="16"/>
  <c r="I641" i="16"/>
  <c r="J668" i="16"/>
  <c r="G643" i="16"/>
  <c r="K656" i="16"/>
  <c r="N688" i="16"/>
  <c r="M688" i="16"/>
  <c r="L688" i="16"/>
  <c r="G687" i="16"/>
  <c r="F687" i="16"/>
  <c r="H711" i="16" s="1"/>
  <c r="E687" i="16"/>
  <c r="I711" i="16" s="1"/>
  <c r="D687" i="16"/>
  <c r="A687" i="16"/>
  <c r="E711" i="16" l="1"/>
  <c r="J711" i="16" s="1"/>
  <c r="I687" i="16"/>
  <c r="J687" i="16" s="1"/>
  <c r="K668" i="16"/>
  <c r="E644" i="16"/>
  <c r="J641" i="16"/>
  <c r="I642" i="16"/>
  <c r="K711" i="16" l="1"/>
  <c r="C716" i="16"/>
  <c r="C715" i="16"/>
  <c r="C713" i="16"/>
  <c r="C709" i="16"/>
  <c r="C708" i="16"/>
  <c r="C707" i="16"/>
  <c r="C706" i="16"/>
  <c r="C705" i="16"/>
  <c r="C704" i="16"/>
  <c r="C703" i="16"/>
  <c r="C702" i="16"/>
  <c r="C701" i="16"/>
  <c r="C700" i="16"/>
  <c r="A700" i="16"/>
  <c r="A701" i="16" s="1"/>
  <c r="A702" i="16" s="1"/>
  <c r="A703" i="16" s="1"/>
  <c r="A704" i="16" s="1"/>
  <c r="A705" i="16" s="1"/>
  <c r="C699" i="16"/>
  <c r="O688" i="16"/>
  <c r="G686" i="16"/>
  <c r="F686" i="16"/>
  <c r="H710" i="16" s="1"/>
  <c r="E686" i="16"/>
  <c r="I710" i="16" s="1"/>
  <c r="D686" i="16"/>
  <c r="A686" i="16"/>
  <c r="G685" i="16"/>
  <c r="F685" i="16"/>
  <c r="E685" i="16"/>
  <c r="D685" i="16"/>
  <c r="A685" i="16"/>
  <c r="G684" i="16"/>
  <c r="F684" i="16"/>
  <c r="H708" i="16" s="1"/>
  <c r="E684" i="16"/>
  <c r="I708" i="16" s="1"/>
  <c r="D684" i="16"/>
  <c r="E708" i="16" s="1"/>
  <c r="A684" i="16"/>
  <c r="G683" i="16"/>
  <c r="F683" i="16"/>
  <c r="H707" i="16" s="1"/>
  <c r="E683" i="16"/>
  <c r="I707" i="16" s="1"/>
  <c r="D683" i="16"/>
  <c r="E707" i="16" s="1"/>
  <c r="A683" i="16"/>
  <c r="G682" i="16"/>
  <c r="F682" i="16"/>
  <c r="H706" i="16" s="1"/>
  <c r="E682" i="16"/>
  <c r="I706" i="16" s="1"/>
  <c r="D682" i="16"/>
  <c r="E706" i="16" s="1"/>
  <c r="A682" i="16"/>
  <c r="G681" i="16"/>
  <c r="F681" i="16"/>
  <c r="H705" i="16" s="1"/>
  <c r="E681" i="16"/>
  <c r="I705" i="16" s="1"/>
  <c r="D681" i="16"/>
  <c r="E705" i="16" s="1"/>
  <c r="A681" i="16"/>
  <c r="G680" i="16"/>
  <c r="F680" i="16"/>
  <c r="H704" i="16" s="1"/>
  <c r="E680" i="16"/>
  <c r="I704" i="16" s="1"/>
  <c r="D680" i="16"/>
  <c r="E704" i="16" s="1"/>
  <c r="A680" i="16"/>
  <c r="G679" i="16"/>
  <c r="F679" i="16"/>
  <c r="H703" i="16" s="1"/>
  <c r="E679" i="16"/>
  <c r="I703" i="16" s="1"/>
  <c r="D679" i="16"/>
  <c r="E703" i="16" s="1"/>
  <c r="A679" i="16"/>
  <c r="G678" i="16"/>
  <c r="F678" i="16"/>
  <c r="H702" i="16" s="1"/>
  <c r="E678" i="16"/>
  <c r="I702" i="16" s="1"/>
  <c r="D678" i="16"/>
  <c r="E702" i="16" s="1"/>
  <c r="A678" i="16"/>
  <c r="G677" i="16"/>
  <c r="F677" i="16"/>
  <c r="H701" i="16" s="1"/>
  <c r="E677" i="16"/>
  <c r="I701" i="16" s="1"/>
  <c r="D677" i="16"/>
  <c r="A677" i="16"/>
  <c r="G676" i="16"/>
  <c r="F676" i="16"/>
  <c r="H700" i="16" s="1"/>
  <c r="E676" i="16"/>
  <c r="I700" i="16" s="1"/>
  <c r="D676" i="16"/>
  <c r="E700" i="16" s="1"/>
  <c r="A676" i="16"/>
  <c r="G675" i="16"/>
  <c r="F675" i="16"/>
  <c r="H699" i="16" s="1"/>
  <c r="E675" i="16"/>
  <c r="D675" i="16"/>
  <c r="E699" i="16" s="1"/>
  <c r="A675" i="16"/>
  <c r="G674" i="16"/>
  <c r="F674" i="16"/>
  <c r="H713" i="16" s="1"/>
  <c r="E674" i="16"/>
  <c r="I713" i="16" s="1"/>
  <c r="D674" i="16"/>
  <c r="E713" i="16" s="1"/>
  <c r="A674" i="16"/>
  <c r="G673" i="16"/>
  <c r="D716" i="16" s="1"/>
  <c r="F673" i="16"/>
  <c r="H716" i="16" s="1"/>
  <c r="E673" i="16"/>
  <c r="I716" i="16" s="1"/>
  <c r="D673" i="16"/>
  <c r="A673" i="16"/>
  <c r="G672" i="16"/>
  <c r="F672" i="16"/>
  <c r="E672" i="16"/>
  <c r="I715" i="16" s="1"/>
  <c r="D672" i="16"/>
  <c r="A672" i="16"/>
  <c r="A721" i="16"/>
  <c r="D721" i="16"/>
  <c r="E721" i="16"/>
  <c r="F721" i="16"/>
  <c r="G721" i="16"/>
  <c r="A722" i="16"/>
  <c r="D722" i="16"/>
  <c r="E722" i="16"/>
  <c r="F722" i="16"/>
  <c r="G722" i="16"/>
  <c r="A723" i="16"/>
  <c r="D723" i="16"/>
  <c r="E723" i="16"/>
  <c r="F723" i="16"/>
  <c r="G723" i="16"/>
  <c r="D688" i="16" l="1"/>
  <c r="C717" i="16"/>
  <c r="D715" i="16"/>
  <c r="G688" i="16"/>
  <c r="B691" i="16" s="1"/>
  <c r="J716" i="16"/>
  <c r="I686" i="16"/>
  <c r="J686" i="16" s="1"/>
  <c r="E710" i="16"/>
  <c r="J710" i="16" s="1"/>
  <c r="I722" i="16"/>
  <c r="J722" i="16" s="1"/>
  <c r="F688" i="16"/>
  <c r="I699" i="16"/>
  <c r="J699" i="16" s="1"/>
  <c r="E688" i="16"/>
  <c r="C691" i="16" s="1"/>
  <c r="I709" i="16"/>
  <c r="H709" i="16"/>
  <c r="J704" i="16"/>
  <c r="J700" i="16"/>
  <c r="J705" i="16"/>
  <c r="I723" i="16"/>
  <c r="J723" i="16" s="1"/>
  <c r="I721" i="16"/>
  <c r="J721" i="16" s="1"/>
  <c r="I673" i="16"/>
  <c r="J673" i="16" s="1"/>
  <c r="I677" i="16"/>
  <c r="J677" i="16" s="1"/>
  <c r="I681" i="16"/>
  <c r="J681" i="16" s="1"/>
  <c r="I685" i="16"/>
  <c r="J685" i="16" s="1"/>
  <c r="E701" i="16"/>
  <c r="J701" i="16" s="1"/>
  <c r="E709" i="16"/>
  <c r="I672" i="16"/>
  <c r="J672" i="16" s="1"/>
  <c r="A706" i="16"/>
  <c r="A708" i="16" s="1"/>
  <c r="A711" i="16" s="1"/>
  <c r="A713" i="16" s="1"/>
  <c r="A715" i="16" s="1"/>
  <c r="A716" i="16" s="1"/>
  <c r="A707" i="16"/>
  <c r="J708" i="16"/>
  <c r="J703" i="16"/>
  <c r="J707" i="16"/>
  <c r="J706" i="16"/>
  <c r="J702" i="16"/>
  <c r="J713" i="16"/>
  <c r="I674" i="16"/>
  <c r="J674" i="16" s="1"/>
  <c r="I678" i="16"/>
  <c r="J678" i="16" s="1"/>
  <c r="I682" i="16"/>
  <c r="J682" i="16" s="1"/>
  <c r="I675" i="16"/>
  <c r="I679" i="16"/>
  <c r="J679" i="16" s="1"/>
  <c r="I683" i="16"/>
  <c r="J683" i="16" s="1"/>
  <c r="I676" i="16"/>
  <c r="J676" i="16" s="1"/>
  <c r="I680" i="16"/>
  <c r="J680" i="16" s="1"/>
  <c r="I684" i="16"/>
  <c r="J684" i="16" s="1"/>
  <c r="H715" i="16"/>
  <c r="J715" i="16" s="1"/>
  <c r="K716" i="16" l="1"/>
  <c r="K710" i="16"/>
  <c r="I717" i="16"/>
  <c r="A709" i="16"/>
  <c r="A710" i="16"/>
  <c r="D691" i="16"/>
  <c r="J675" i="16"/>
  <c r="I688" i="16"/>
  <c r="J709" i="16"/>
  <c r="J717" i="16" s="1"/>
  <c r="G690" i="16"/>
  <c r="K715" i="16"/>
  <c r="K705" i="16"/>
  <c r="K703" i="16"/>
  <c r="K701" i="16"/>
  <c r="K708" i="16"/>
  <c r="K713" i="16"/>
  <c r="K702" i="16"/>
  <c r="K707" i="16"/>
  <c r="K706" i="16"/>
  <c r="K700" i="16"/>
  <c r="K699" i="16"/>
  <c r="K704" i="16"/>
  <c r="K709" i="16" l="1"/>
  <c r="I689" i="16"/>
  <c r="K717" i="16"/>
  <c r="J688" i="16"/>
  <c r="E691" i="16"/>
  <c r="C763" i="16" l="1"/>
  <c r="C762" i="16"/>
  <c r="C760" i="16"/>
  <c r="C758" i="16"/>
  <c r="C757" i="16"/>
  <c r="C756" i="16"/>
  <c r="C755" i="16"/>
  <c r="C754" i="16"/>
  <c r="C753" i="16"/>
  <c r="C752" i="16"/>
  <c r="C751" i="16"/>
  <c r="C750" i="16"/>
  <c r="C749" i="16"/>
  <c r="C748" i="16"/>
  <c r="A748" i="16"/>
  <c r="A749" i="16" s="1"/>
  <c r="A750" i="16" s="1"/>
  <c r="A751" i="16" s="1"/>
  <c r="A752" i="16" s="1"/>
  <c r="A753" i="16" s="1"/>
  <c r="C747" i="16"/>
  <c r="O736" i="16"/>
  <c r="N736" i="16"/>
  <c r="M736" i="16"/>
  <c r="L736" i="16"/>
  <c r="H736" i="16"/>
  <c r="C736" i="16"/>
  <c r="A739" i="16" s="1"/>
  <c r="G735" i="16"/>
  <c r="F735" i="16"/>
  <c r="H758" i="16" s="1"/>
  <c r="E735" i="16"/>
  <c r="I758" i="16" s="1"/>
  <c r="D735" i="16"/>
  <c r="A735" i="16"/>
  <c r="G734" i="16"/>
  <c r="F734" i="16"/>
  <c r="H757" i="16" s="1"/>
  <c r="E734" i="16"/>
  <c r="I757" i="16" s="1"/>
  <c r="D734" i="16"/>
  <c r="A734" i="16"/>
  <c r="G733" i="16"/>
  <c r="F733" i="16"/>
  <c r="H756" i="16" s="1"/>
  <c r="E733" i="16"/>
  <c r="I756" i="16" s="1"/>
  <c r="D733" i="16"/>
  <c r="E756" i="16" s="1"/>
  <c r="A733" i="16"/>
  <c r="G732" i="16"/>
  <c r="F732" i="16"/>
  <c r="H755" i="16" s="1"/>
  <c r="E732" i="16"/>
  <c r="I755" i="16" s="1"/>
  <c r="D732" i="16"/>
  <c r="E755" i="16" s="1"/>
  <c r="A732" i="16"/>
  <c r="G731" i="16"/>
  <c r="F731" i="16"/>
  <c r="H754" i="16" s="1"/>
  <c r="E731" i="16"/>
  <c r="I754" i="16" s="1"/>
  <c r="D731" i="16"/>
  <c r="A731" i="16"/>
  <c r="G730" i="16"/>
  <c r="F730" i="16"/>
  <c r="H753" i="16" s="1"/>
  <c r="E730" i="16"/>
  <c r="I753" i="16" s="1"/>
  <c r="D730" i="16"/>
  <c r="A730" i="16"/>
  <c r="G729" i="16"/>
  <c r="F729" i="16"/>
  <c r="H752" i="16" s="1"/>
  <c r="E729" i="16"/>
  <c r="I752" i="16" s="1"/>
  <c r="D729" i="16"/>
  <c r="E752" i="16" s="1"/>
  <c r="A729" i="16"/>
  <c r="G728" i="16"/>
  <c r="F728" i="16"/>
  <c r="H751" i="16" s="1"/>
  <c r="E728" i="16"/>
  <c r="I751" i="16" s="1"/>
  <c r="D728" i="16"/>
  <c r="E751" i="16" s="1"/>
  <c r="A728" i="16"/>
  <c r="G727" i="16"/>
  <c r="F727" i="16"/>
  <c r="H750" i="16" s="1"/>
  <c r="E727" i="16"/>
  <c r="I750" i="16" s="1"/>
  <c r="D727" i="16"/>
  <c r="A727" i="16"/>
  <c r="G726" i="16"/>
  <c r="F726" i="16"/>
  <c r="H749" i="16" s="1"/>
  <c r="E726" i="16"/>
  <c r="I749" i="16" s="1"/>
  <c r="D726" i="16"/>
  <c r="A726" i="16"/>
  <c r="G725" i="16"/>
  <c r="F725" i="16"/>
  <c r="H748" i="16" s="1"/>
  <c r="E725" i="16"/>
  <c r="I748" i="16" s="1"/>
  <c r="D725" i="16"/>
  <c r="E748" i="16" s="1"/>
  <c r="A725" i="16"/>
  <c r="G724" i="16"/>
  <c r="F724" i="16"/>
  <c r="H747" i="16" s="1"/>
  <c r="E724" i="16"/>
  <c r="I747" i="16" s="1"/>
  <c r="D724" i="16"/>
  <c r="A724" i="16"/>
  <c r="H760" i="16"/>
  <c r="I760" i="16"/>
  <c r="E760" i="16"/>
  <c r="D763" i="16"/>
  <c r="H763" i="16"/>
  <c r="I763" i="16"/>
  <c r="D762" i="16"/>
  <c r="I762" i="16"/>
  <c r="E758" i="16" l="1"/>
  <c r="J758" i="16" s="1"/>
  <c r="I735" i="16"/>
  <c r="C764" i="16"/>
  <c r="I724" i="16"/>
  <c r="J724" i="16" s="1"/>
  <c r="J748" i="16"/>
  <c r="I727" i="16"/>
  <c r="J727" i="16" s="1"/>
  <c r="J752" i="16"/>
  <c r="I731" i="16"/>
  <c r="J731" i="16" s="1"/>
  <c r="J756" i="16"/>
  <c r="J735" i="16"/>
  <c r="E750" i="16"/>
  <c r="J750" i="16" s="1"/>
  <c r="F736" i="16"/>
  <c r="I726" i="16"/>
  <c r="J726" i="16" s="1"/>
  <c r="I730" i="16"/>
  <c r="J730" i="16" s="1"/>
  <c r="I734" i="16"/>
  <c r="J734" i="16" s="1"/>
  <c r="E757" i="16"/>
  <c r="J757" i="16" s="1"/>
  <c r="E754" i="16"/>
  <c r="J754" i="16" s="1"/>
  <c r="J763" i="16"/>
  <c r="A754" i="16"/>
  <c r="A756" i="16" s="1"/>
  <c r="A758" i="16" s="1"/>
  <c r="A760" i="16" s="1"/>
  <c r="A762" i="16" s="1"/>
  <c r="A763" i="16" s="1"/>
  <c r="A755" i="16"/>
  <c r="A757" i="16" s="1"/>
  <c r="J755" i="16"/>
  <c r="J760" i="16"/>
  <c r="I764" i="16"/>
  <c r="J751" i="16"/>
  <c r="I732" i="16"/>
  <c r="J732" i="16" s="1"/>
  <c r="E736" i="16"/>
  <c r="C739" i="16" s="1"/>
  <c r="E749" i="16"/>
  <c r="J749" i="16" s="1"/>
  <c r="E753" i="16"/>
  <c r="J753" i="16" s="1"/>
  <c r="I728" i="16"/>
  <c r="J728" i="16" s="1"/>
  <c r="D736" i="16"/>
  <c r="I733" i="16"/>
  <c r="J733" i="16" s="1"/>
  <c r="G736" i="16"/>
  <c r="B739" i="16" s="1"/>
  <c r="E747" i="16"/>
  <c r="J747" i="16" s="1"/>
  <c r="H762" i="16"/>
  <c r="J762" i="16" s="1"/>
  <c r="I725" i="16"/>
  <c r="J725" i="16" s="1"/>
  <c r="I729" i="16"/>
  <c r="J729" i="16" s="1"/>
  <c r="C811" i="16"/>
  <c r="C810" i="16"/>
  <c r="C808" i="16"/>
  <c r="C801" i="16"/>
  <c r="C802" i="16"/>
  <c r="C803" i="16"/>
  <c r="C804" i="16"/>
  <c r="C800" i="16"/>
  <c r="C805" i="16"/>
  <c r="C806" i="16"/>
  <c r="C796" i="16"/>
  <c r="C797" i="16"/>
  <c r="C795" i="16"/>
  <c r="G770" i="16"/>
  <c r="D811" i="16" s="1"/>
  <c r="G771" i="16"/>
  <c r="G772" i="16"/>
  <c r="G773" i="16"/>
  <c r="F770" i="16"/>
  <c r="H811" i="16" s="1"/>
  <c r="F771" i="16"/>
  <c r="H808" i="16" s="1"/>
  <c r="F772" i="16"/>
  <c r="H795" i="16" s="1"/>
  <c r="F773" i="16"/>
  <c r="F774" i="16"/>
  <c r="F775" i="16"/>
  <c r="F776" i="16"/>
  <c r="F777" i="16"/>
  <c r="F778" i="16"/>
  <c r="F779" i="16"/>
  <c r="F780" i="16"/>
  <c r="F781" i="16"/>
  <c r="F782" i="16"/>
  <c r="H805" i="16" s="1"/>
  <c r="F783" i="16"/>
  <c r="F769" i="16"/>
  <c r="H810" i="16" s="1"/>
  <c r="E770" i="16"/>
  <c r="I811" i="16" s="1"/>
  <c r="E771" i="16"/>
  <c r="I808" i="16" s="1"/>
  <c r="E772" i="16"/>
  <c r="I795" i="16" s="1"/>
  <c r="E773" i="16"/>
  <c r="E774" i="16"/>
  <c r="E775" i="16"/>
  <c r="E776" i="16"/>
  <c r="E777" i="16"/>
  <c r="E778" i="16"/>
  <c r="E779" i="16"/>
  <c r="E780" i="16"/>
  <c r="E781" i="16"/>
  <c r="E782" i="16"/>
  <c r="I805" i="16" s="1"/>
  <c r="E783" i="16"/>
  <c r="E769" i="16"/>
  <c r="I810" i="16" s="1"/>
  <c r="D775" i="16"/>
  <c r="D776" i="16"/>
  <c r="D777" i="16"/>
  <c r="E800" i="16" s="1"/>
  <c r="D778" i="16"/>
  <c r="E801" i="16" s="1"/>
  <c r="D779" i="16"/>
  <c r="E802" i="16" s="1"/>
  <c r="D780" i="16"/>
  <c r="E803" i="16" s="1"/>
  <c r="D781" i="16"/>
  <c r="E804" i="16" s="1"/>
  <c r="D782" i="16"/>
  <c r="E805" i="16" s="1"/>
  <c r="D783" i="16"/>
  <c r="E806" i="16" s="1"/>
  <c r="D770" i="16"/>
  <c r="D771" i="16"/>
  <c r="E808" i="16" s="1"/>
  <c r="D772" i="16"/>
  <c r="E795" i="16" s="1"/>
  <c r="D773" i="16"/>
  <c r="E796" i="16" s="1"/>
  <c r="D774" i="16"/>
  <c r="E797" i="16" s="1"/>
  <c r="D769" i="16"/>
  <c r="A770" i="16"/>
  <c r="A771" i="16"/>
  <c r="A772" i="16"/>
  <c r="A773" i="16"/>
  <c r="A774" i="16"/>
  <c r="A775" i="16"/>
  <c r="A776" i="16"/>
  <c r="A777" i="16"/>
  <c r="A778" i="16"/>
  <c r="A779" i="16"/>
  <c r="A780" i="16"/>
  <c r="A781" i="16"/>
  <c r="A782" i="16"/>
  <c r="A783" i="16"/>
  <c r="A769" i="16"/>
  <c r="G782" i="16"/>
  <c r="K754" i="16" l="1"/>
  <c r="K758" i="16"/>
  <c r="K757" i="16"/>
  <c r="D739" i="16"/>
  <c r="K756" i="16"/>
  <c r="K762" i="16"/>
  <c r="G738" i="16"/>
  <c r="K753" i="16"/>
  <c r="K750" i="16"/>
  <c r="K749" i="16"/>
  <c r="K751" i="16"/>
  <c r="K763" i="16"/>
  <c r="K760" i="16"/>
  <c r="K747" i="16"/>
  <c r="J764" i="16"/>
  <c r="K755" i="16"/>
  <c r="K752" i="16"/>
  <c r="K748" i="16"/>
  <c r="I736" i="16"/>
  <c r="J805" i="16"/>
  <c r="I782" i="16"/>
  <c r="J782" i="16" s="1"/>
  <c r="J736" i="16" l="1"/>
  <c r="I737" i="16"/>
  <c r="E739" i="16"/>
  <c r="K764" i="16"/>
  <c r="K805" i="16"/>
  <c r="C799" i="16" l="1"/>
  <c r="C798" i="16"/>
  <c r="A796" i="16"/>
  <c r="A797" i="16" s="1"/>
  <c r="A798" i="16" s="1"/>
  <c r="A799" i="16" s="1"/>
  <c r="A800" i="16" s="1"/>
  <c r="A801" i="16" s="1"/>
  <c r="O784" i="16"/>
  <c r="N784" i="16"/>
  <c r="M784" i="16"/>
  <c r="L784" i="16"/>
  <c r="H784" i="16"/>
  <c r="C784" i="16"/>
  <c r="A787" i="16" s="1"/>
  <c r="G783" i="16"/>
  <c r="H806" i="16"/>
  <c r="I806" i="16"/>
  <c r="G781" i="16"/>
  <c r="H804" i="16"/>
  <c r="I804" i="16"/>
  <c r="G780" i="16"/>
  <c r="H803" i="16"/>
  <c r="I803" i="16"/>
  <c r="G779" i="16"/>
  <c r="H802" i="16"/>
  <c r="I802" i="16"/>
  <c r="G778" i="16"/>
  <c r="H801" i="16"/>
  <c r="I801" i="16"/>
  <c r="G777" i="16"/>
  <c r="H800" i="16"/>
  <c r="I800" i="16"/>
  <c r="G776" i="16"/>
  <c r="H799" i="16"/>
  <c r="I799" i="16"/>
  <c r="E799" i="16"/>
  <c r="G775" i="16"/>
  <c r="H798" i="16"/>
  <c r="I798" i="16"/>
  <c r="E798" i="16"/>
  <c r="G774" i="16"/>
  <c r="H797" i="16"/>
  <c r="I797" i="16"/>
  <c r="H796" i="16"/>
  <c r="I796" i="16"/>
  <c r="G769" i="16"/>
  <c r="D810" i="16" s="1"/>
  <c r="A818" i="16"/>
  <c r="D818" i="16"/>
  <c r="E818" i="16"/>
  <c r="F818" i="16"/>
  <c r="H843" i="16" s="1"/>
  <c r="G818" i="16"/>
  <c r="A819" i="16"/>
  <c r="D819" i="16"/>
  <c r="E819" i="16"/>
  <c r="I857" i="16" s="1"/>
  <c r="F819" i="16"/>
  <c r="G819" i="16"/>
  <c r="D857" i="16" s="1"/>
  <c r="A820" i="16"/>
  <c r="D820" i="16"/>
  <c r="E820" i="16"/>
  <c r="F820" i="16"/>
  <c r="H858" i="16" s="1"/>
  <c r="G820" i="16"/>
  <c r="D858" i="16" s="1"/>
  <c r="A821" i="16"/>
  <c r="D821" i="16"/>
  <c r="E855" i="16" s="1"/>
  <c r="E821" i="16"/>
  <c r="I855" i="16" s="1"/>
  <c r="F821" i="16"/>
  <c r="H855" i="16" s="1"/>
  <c r="G821" i="16"/>
  <c r="A822" i="16"/>
  <c r="D822" i="16"/>
  <c r="E822" i="16"/>
  <c r="F822" i="16"/>
  <c r="H844" i="16" s="1"/>
  <c r="G822" i="16"/>
  <c r="A823" i="16"/>
  <c r="D823" i="16"/>
  <c r="E845" i="16" s="1"/>
  <c r="E823" i="16"/>
  <c r="F823" i="16"/>
  <c r="H845" i="16" s="1"/>
  <c r="G823" i="16"/>
  <c r="A824" i="16"/>
  <c r="D824" i="16"/>
  <c r="E846" i="16" s="1"/>
  <c r="E824" i="16"/>
  <c r="F824" i="16"/>
  <c r="H846" i="16" s="1"/>
  <c r="G824" i="16"/>
  <c r="A825" i="16"/>
  <c r="D825" i="16"/>
  <c r="E847" i="16" s="1"/>
  <c r="E825" i="16"/>
  <c r="I847" i="16" s="1"/>
  <c r="F825" i="16"/>
  <c r="H847" i="16" s="1"/>
  <c r="G825" i="16"/>
  <c r="A826" i="16"/>
  <c r="D826" i="16"/>
  <c r="E848" i="16" s="1"/>
  <c r="E826" i="16"/>
  <c r="I848" i="16" s="1"/>
  <c r="F826" i="16"/>
  <c r="H848" i="16" s="1"/>
  <c r="G826" i="16"/>
  <c r="A827" i="16"/>
  <c r="D827" i="16"/>
  <c r="E827" i="16"/>
  <c r="I849" i="16" s="1"/>
  <c r="F827" i="16"/>
  <c r="H849" i="16" s="1"/>
  <c r="G827" i="16"/>
  <c r="A828" i="16"/>
  <c r="D828" i="16"/>
  <c r="E850" i="16" s="1"/>
  <c r="E828" i="16"/>
  <c r="F828" i="16"/>
  <c r="H850" i="16" s="1"/>
  <c r="G828" i="16"/>
  <c r="A829" i="16"/>
  <c r="D829" i="16"/>
  <c r="E851" i="16" s="1"/>
  <c r="E829" i="16"/>
  <c r="I851" i="16" s="1"/>
  <c r="F829" i="16"/>
  <c r="H851" i="16" s="1"/>
  <c r="G829" i="16"/>
  <c r="A830" i="16"/>
  <c r="D830" i="16"/>
  <c r="E852" i="16" s="1"/>
  <c r="E830" i="16"/>
  <c r="I852" i="16" s="1"/>
  <c r="F830" i="16"/>
  <c r="H852" i="16" s="1"/>
  <c r="G830" i="16"/>
  <c r="A831" i="16"/>
  <c r="D831" i="16"/>
  <c r="E853" i="16" s="1"/>
  <c r="E831" i="16"/>
  <c r="F831" i="16"/>
  <c r="H853" i="16" s="1"/>
  <c r="G831" i="16"/>
  <c r="C832" i="16"/>
  <c r="A835" i="16" s="1"/>
  <c r="H832" i="16"/>
  <c r="L832" i="16"/>
  <c r="M832" i="16"/>
  <c r="N832" i="16"/>
  <c r="O832" i="16"/>
  <c r="C843" i="16"/>
  <c r="E843" i="16"/>
  <c r="I843" i="16"/>
  <c r="A844" i="16"/>
  <c r="A845" i="16" s="1"/>
  <c r="A846" i="16" s="1"/>
  <c r="A847" i="16" s="1"/>
  <c r="A848" i="16" s="1"/>
  <c r="A849" i="16" s="1"/>
  <c r="C844" i="16"/>
  <c r="E844" i="16"/>
  <c r="I844" i="16"/>
  <c r="C845" i="16"/>
  <c r="C846" i="16"/>
  <c r="C847" i="16"/>
  <c r="C848" i="16"/>
  <c r="C849" i="16"/>
  <c r="C850" i="16"/>
  <c r="C851" i="16"/>
  <c r="C852" i="16"/>
  <c r="C853" i="16"/>
  <c r="C855" i="16"/>
  <c r="C857" i="16"/>
  <c r="C858" i="16"/>
  <c r="I831" i="16" l="1"/>
  <c r="J831" i="16" s="1"/>
  <c r="I823" i="16"/>
  <c r="J823" i="16" s="1"/>
  <c r="J844" i="16"/>
  <c r="I819" i="16"/>
  <c r="J819" i="16" s="1"/>
  <c r="I853" i="16"/>
  <c r="J852" i="16"/>
  <c r="I827" i="16"/>
  <c r="J827" i="16" s="1"/>
  <c r="I826" i="16"/>
  <c r="J826" i="16" s="1"/>
  <c r="G784" i="16"/>
  <c r="B787" i="16" s="1"/>
  <c r="I772" i="16"/>
  <c r="J772" i="16" s="1"/>
  <c r="I770" i="16"/>
  <c r="J770" i="16" s="1"/>
  <c r="I771" i="16"/>
  <c r="J771" i="16" s="1"/>
  <c r="C812" i="16"/>
  <c r="I812" i="16"/>
  <c r="J796" i="16"/>
  <c r="J800" i="16"/>
  <c r="J804" i="16"/>
  <c r="J811" i="16"/>
  <c r="A803" i="16"/>
  <c r="A805" i="16" s="1"/>
  <c r="A802" i="16"/>
  <c r="A804" i="16" s="1"/>
  <c r="A806" i="16" s="1"/>
  <c r="A808" i="16" s="1"/>
  <c r="A810" i="16" s="1"/>
  <c r="A811" i="16" s="1"/>
  <c r="J799" i="16"/>
  <c r="J803" i="16"/>
  <c r="J810" i="16"/>
  <c r="J798" i="16"/>
  <c r="J802" i="16"/>
  <c r="J797" i="16"/>
  <c r="J801" i="16"/>
  <c r="J806" i="16"/>
  <c r="I769" i="16"/>
  <c r="I773" i="16"/>
  <c r="J773" i="16" s="1"/>
  <c r="I777" i="16"/>
  <c r="J777" i="16" s="1"/>
  <c r="I781" i="16"/>
  <c r="J781" i="16" s="1"/>
  <c r="F784" i="16"/>
  <c r="J795" i="16"/>
  <c r="K795" i="16" s="1"/>
  <c r="I774" i="16"/>
  <c r="J774" i="16" s="1"/>
  <c r="I778" i="16"/>
  <c r="J778" i="16" s="1"/>
  <c r="I783" i="16"/>
  <c r="J783" i="16" s="1"/>
  <c r="E784" i="16"/>
  <c r="C787" i="16" s="1"/>
  <c r="I775" i="16"/>
  <c r="J775" i="16" s="1"/>
  <c r="I779" i="16"/>
  <c r="J779" i="16" s="1"/>
  <c r="D784" i="16"/>
  <c r="J808" i="16"/>
  <c r="I776" i="16"/>
  <c r="J776" i="16" s="1"/>
  <c r="I780" i="16"/>
  <c r="J780" i="16" s="1"/>
  <c r="J853" i="16"/>
  <c r="K853" i="16" s="1"/>
  <c r="J851" i="16"/>
  <c r="J848" i="16"/>
  <c r="I820" i="16"/>
  <c r="J820" i="16" s="1"/>
  <c r="H857" i="16"/>
  <c r="J857" i="16" s="1"/>
  <c r="J855" i="16"/>
  <c r="E849" i="16"/>
  <c r="J849" i="16" s="1"/>
  <c r="I845" i="16"/>
  <c r="C859" i="16"/>
  <c r="E832" i="16"/>
  <c r="C835" i="16" s="1"/>
  <c r="I830" i="16"/>
  <c r="J830" i="16" s="1"/>
  <c r="I828" i="16"/>
  <c r="J828" i="16" s="1"/>
  <c r="I824" i="16"/>
  <c r="J824" i="16" s="1"/>
  <c r="D832" i="16"/>
  <c r="I818" i="16"/>
  <c r="J818" i="16" s="1"/>
  <c r="J845" i="16"/>
  <c r="J847" i="16"/>
  <c r="G832" i="16"/>
  <c r="B835" i="16" s="1"/>
  <c r="I822" i="16"/>
  <c r="J822" i="16" s="1"/>
  <c r="I821" i="16"/>
  <c r="J821" i="16" s="1"/>
  <c r="A851" i="16"/>
  <c r="A850" i="16"/>
  <c r="A852" i="16" s="1"/>
  <c r="A853" i="16" s="1"/>
  <c r="A855" i="16" s="1"/>
  <c r="A857" i="16" s="1"/>
  <c r="A858" i="16" s="1"/>
  <c r="I850" i="16"/>
  <c r="J850" i="16" s="1"/>
  <c r="I846" i="16"/>
  <c r="J846" i="16" s="1"/>
  <c r="J843" i="16"/>
  <c r="F832" i="16"/>
  <c r="I829" i="16"/>
  <c r="J829" i="16" s="1"/>
  <c r="I825" i="16"/>
  <c r="J825" i="16" s="1"/>
  <c r="I858" i="16"/>
  <c r="J858" i="16" s="1"/>
  <c r="K849" i="16" l="1"/>
  <c r="D835" i="16"/>
  <c r="K852" i="16"/>
  <c r="K845" i="16"/>
  <c r="K848" i="16"/>
  <c r="K850" i="16"/>
  <c r="G834" i="16"/>
  <c r="K808" i="16"/>
  <c r="K811" i="16"/>
  <c r="K858" i="16"/>
  <c r="K857" i="16"/>
  <c r="K846" i="16"/>
  <c r="K810" i="16"/>
  <c r="D787" i="16"/>
  <c r="G786" i="16"/>
  <c r="K801" i="16"/>
  <c r="K806" i="16"/>
  <c r="K802" i="16"/>
  <c r="K799" i="16"/>
  <c r="K804" i="16"/>
  <c r="J769" i="16"/>
  <c r="I784" i="16"/>
  <c r="K803" i="16"/>
  <c r="J812" i="16"/>
  <c r="K797" i="16"/>
  <c r="K796" i="16"/>
  <c r="K798" i="16"/>
  <c r="K800" i="16"/>
  <c r="K855" i="16"/>
  <c r="K844" i="16"/>
  <c r="I859" i="16"/>
  <c r="K843" i="16"/>
  <c r="J859" i="16"/>
  <c r="K851" i="16"/>
  <c r="I832" i="16"/>
  <c r="K847" i="16"/>
  <c r="K812" i="16" l="1"/>
  <c r="I785" i="16"/>
  <c r="E787" i="16"/>
  <c r="J784" i="16"/>
  <c r="K859" i="16"/>
  <c r="I833" i="16"/>
  <c r="E835" i="16"/>
  <c r="J832" i="16"/>
  <c r="C904" i="16"/>
  <c r="C903" i="16"/>
  <c r="C901" i="16"/>
  <c r="C899" i="16"/>
  <c r="C898" i="16"/>
  <c r="C897" i="16"/>
  <c r="C896" i="16"/>
  <c r="C895" i="16"/>
  <c r="C894" i="16"/>
  <c r="C893" i="16"/>
  <c r="C892" i="16"/>
  <c r="C891" i="16"/>
  <c r="C890" i="16"/>
  <c r="C889" i="16"/>
  <c r="A890" i="16"/>
  <c r="A891" i="16" s="1"/>
  <c r="A892" i="16" s="1"/>
  <c r="A893" i="16" s="1"/>
  <c r="A894" i="16" s="1"/>
  <c r="A895" i="16" s="1"/>
  <c r="O878" i="16"/>
  <c r="N878" i="16"/>
  <c r="M878" i="16"/>
  <c r="L878" i="16"/>
  <c r="H878" i="16"/>
  <c r="C878" i="16"/>
  <c r="A881" i="16" s="1"/>
  <c r="G877" i="16"/>
  <c r="F877" i="16"/>
  <c r="H899" i="16" s="1"/>
  <c r="E877" i="16"/>
  <c r="I899" i="16" s="1"/>
  <c r="D877" i="16"/>
  <c r="E899" i="16" s="1"/>
  <c r="A877" i="16"/>
  <c r="G876" i="16"/>
  <c r="F876" i="16"/>
  <c r="H898" i="16" s="1"/>
  <c r="E876" i="16"/>
  <c r="I898" i="16" s="1"/>
  <c r="D876" i="16"/>
  <c r="A876" i="16"/>
  <c r="G875" i="16"/>
  <c r="F875" i="16"/>
  <c r="H897" i="16" s="1"/>
  <c r="E875" i="16"/>
  <c r="I897" i="16" s="1"/>
  <c r="D875" i="16"/>
  <c r="E897" i="16" s="1"/>
  <c r="A875" i="16"/>
  <c r="G874" i="16"/>
  <c r="F874" i="16"/>
  <c r="H896" i="16" s="1"/>
  <c r="E874" i="16"/>
  <c r="I896" i="16" s="1"/>
  <c r="D874" i="16"/>
  <c r="E896" i="16" s="1"/>
  <c r="A874" i="16"/>
  <c r="G873" i="16"/>
  <c r="F873" i="16"/>
  <c r="H895" i="16" s="1"/>
  <c r="E873" i="16"/>
  <c r="I895" i="16" s="1"/>
  <c r="D873" i="16"/>
  <c r="E895" i="16" s="1"/>
  <c r="A873" i="16"/>
  <c r="G872" i="16"/>
  <c r="F872" i="16"/>
  <c r="H894" i="16" s="1"/>
  <c r="E872" i="16"/>
  <c r="I894" i="16" s="1"/>
  <c r="D872" i="16"/>
  <c r="A872" i="16"/>
  <c r="G871" i="16"/>
  <c r="F871" i="16"/>
  <c r="H893" i="16" s="1"/>
  <c r="E871" i="16"/>
  <c r="I893" i="16" s="1"/>
  <c r="D871" i="16"/>
  <c r="E893" i="16" s="1"/>
  <c r="A871" i="16"/>
  <c r="G870" i="16"/>
  <c r="F870" i="16"/>
  <c r="H892" i="16" s="1"/>
  <c r="E870" i="16"/>
  <c r="I892" i="16" s="1"/>
  <c r="D870" i="16"/>
  <c r="E892" i="16" s="1"/>
  <c r="A870" i="16"/>
  <c r="G869" i="16"/>
  <c r="F869" i="16"/>
  <c r="H891" i="16" s="1"/>
  <c r="E869" i="16"/>
  <c r="I891" i="16" s="1"/>
  <c r="D869" i="16"/>
  <c r="E891" i="16" s="1"/>
  <c r="A869" i="16"/>
  <c r="G868" i="16"/>
  <c r="F868" i="16"/>
  <c r="H890" i="16" s="1"/>
  <c r="E868" i="16"/>
  <c r="I890" i="16" s="1"/>
  <c r="D868" i="16"/>
  <c r="A868" i="16"/>
  <c r="G867" i="16"/>
  <c r="F867" i="16"/>
  <c r="H901" i="16" s="1"/>
  <c r="E867" i="16"/>
  <c r="I901" i="16" s="1"/>
  <c r="D867" i="16"/>
  <c r="E901" i="16" s="1"/>
  <c r="A867" i="16"/>
  <c r="G866" i="16"/>
  <c r="D904" i="16" s="1"/>
  <c r="F866" i="16"/>
  <c r="H904" i="16" s="1"/>
  <c r="E866" i="16"/>
  <c r="I904" i="16" s="1"/>
  <c r="D866" i="16"/>
  <c r="A866" i="16"/>
  <c r="G865" i="16"/>
  <c r="D903" i="16" s="1"/>
  <c r="F865" i="16"/>
  <c r="H903" i="16" s="1"/>
  <c r="E865" i="16"/>
  <c r="I903" i="16" s="1"/>
  <c r="D865" i="16"/>
  <c r="A865" i="16"/>
  <c r="G864" i="16"/>
  <c r="F864" i="16"/>
  <c r="H889" i="16" s="1"/>
  <c r="E864" i="16"/>
  <c r="I889" i="16" s="1"/>
  <c r="D864" i="16"/>
  <c r="E889" i="16" s="1"/>
  <c r="A864" i="16"/>
  <c r="E920" i="16"/>
  <c r="G878" i="16" l="1"/>
  <c r="B881" i="16" s="1"/>
  <c r="I866" i="16"/>
  <c r="J866" i="16" s="1"/>
  <c r="I865" i="16"/>
  <c r="J865" i="16" s="1"/>
  <c r="C905" i="16"/>
  <c r="J904" i="16"/>
  <c r="I868" i="16"/>
  <c r="J868" i="16" s="1"/>
  <c r="J892" i="16"/>
  <c r="I872" i="16"/>
  <c r="J872" i="16" s="1"/>
  <c r="J896" i="16"/>
  <c r="I876" i="16"/>
  <c r="J876" i="16" s="1"/>
  <c r="F878" i="16"/>
  <c r="J889" i="16"/>
  <c r="I905" i="16"/>
  <c r="J901" i="16"/>
  <c r="J893" i="16"/>
  <c r="J897" i="16"/>
  <c r="A897" i="16"/>
  <c r="A896" i="16"/>
  <c r="A898" i="16" s="1"/>
  <c r="A899" i="16" s="1"/>
  <c r="A901" i="16" s="1"/>
  <c r="A903" i="16" s="1"/>
  <c r="A904" i="16" s="1"/>
  <c r="J903" i="16"/>
  <c r="K903" i="16" s="1"/>
  <c r="J891" i="16"/>
  <c r="J895" i="16"/>
  <c r="J899" i="16"/>
  <c r="I869" i="16"/>
  <c r="J869" i="16" s="1"/>
  <c r="I873" i="16"/>
  <c r="J873" i="16" s="1"/>
  <c r="I877" i="16"/>
  <c r="J877" i="16" s="1"/>
  <c r="E878" i="16"/>
  <c r="C881" i="16" s="1"/>
  <c r="E890" i="16"/>
  <c r="J890" i="16" s="1"/>
  <c r="E894" i="16"/>
  <c r="J894" i="16" s="1"/>
  <c r="E898" i="16"/>
  <c r="J898" i="16" s="1"/>
  <c r="I870" i="16"/>
  <c r="J870" i="16" s="1"/>
  <c r="I874" i="16"/>
  <c r="J874" i="16" s="1"/>
  <c r="D878" i="16"/>
  <c r="I867" i="16"/>
  <c r="J867" i="16" s="1"/>
  <c r="I871" i="16"/>
  <c r="J871" i="16" s="1"/>
  <c r="I875" i="16"/>
  <c r="J875" i="16" s="1"/>
  <c r="I864" i="16"/>
  <c r="J864" i="16" s="1"/>
  <c r="N925" i="16"/>
  <c r="M925" i="16"/>
  <c r="O925" i="16"/>
  <c r="L925" i="16"/>
  <c r="D922" i="16"/>
  <c r="K894" i="16" l="1"/>
  <c r="D881" i="16"/>
  <c r="K890" i="16"/>
  <c r="K904" i="16"/>
  <c r="K899" i="16"/>
  <c r="G880" i="16"/>
  <c r="K898" i="16"/>
  <c r="I878" i="16"/>
  <c r="K896" i="16"/>
  <c r="K889" i="16"/>
  <c r="K901" i="16"/>
  <c r="K893" i="16"/>
  <c r="J905" i="16"/>
  <c r="K891" i="16"/>
  <c r="K895" i="16"/>
  <c r="K892" i="16"/>
  <c r="K897" i="16"/>
  <c r="J878" i="16" l="1"/>
  <c r="I879" i="16"/>
  <c r="E881" i="16"/>
  <c r="K905" i="16"/>
  <c r="C952" i="16" l="1"/>
  <c r="C951" i="16"/>
  <c r="C949" i="16"/>
  <c r="C947" i="16"/>
  <c r="C946" i="16"/>
  <c r="C945" i="16"/>
  <c r="C944" i="16"/>
  <c r="C943" i="16"/>
  <c r="C942" i="16"/>
  <c r="C941" i="16"/>
  <c r="C940" i="16"/>
  <c r="C939" i="16"/>
  <c r="C938" i="16"/>
  <c r="C937" i="16"/>
  <c r="A937" i="16"/>
  <c r="A938" i="16" s="1"/>
  <c r="A939" i="16" s="1"/>
  <c r="A940" i="16" s="1"/>
  <c r="A941" i="16" s="1"/>
  <c r="A942" i="16" s="1"/>
  <c r="A943" i="16" s="1"/>
  <c r="C936" i="16"/>
  <c r="H925" i="16"/>
  <c r="C925" i="16"/>
  <c r="A928" i="16" s="1"/>
  <c r="G924" i="16"/>
  <c r="F924" i="16"/>
  <c r="H947" i="16" s="1"/>
  <c r="E924" i="16"/>
  <c r="I947" i="16" s="1"/>
  <c r="D924" i="16"/>
  <c r="E947" i="16" s="1"/>
  <c r="A924" i="16"/>
  <c r="G923" i="16"/>
  <c r="F923" i="16"/>
  <c r="H946" i="16" s="1"/>
  <c r="E923" i="16"/>
  <c r="I946" i="16" s="1"/>
  <c r="D923" i="16"/>
  <c r="A923" i="16"/>
  <c r="G922" i="16"/>
  <c r="F922" i="16"/>
  <c r="H945" i="16" s="1"/>
  <c r="E922" i="16"/>
  <c r="A922" i="16"/>
  <c r="G921" i="16"/>
  <c r="F921" i="16"/>
  <c r="H944" i="16" s="1"/>
  <c r="E921" i="16"/>
  <c r="I944" i="16" s="1"/>
  <c r="D921" i="16"/>
  <c r="E944" i="16" s="1"/>
  <c r="A921" i="16"/>
  <c r="G920" i="16"/>
  <c r="F920" i="16"/>
  <c r="H943" i="16" s="1"/>
  <c r="I943" i="16"/>
  <c r="D920" i="16"/>
  <c r="E943" i="16" s="1"/>
  <c r="A920" i="16"/>
  <c r="G919" i="16"/>
  <c r="F919" i="16"/>
  <c r="H942" i="16" s="1"/>
  <c r="E919" i="16"/>
  <c r="I942" i="16" s="1"/>
  <c r="D919" i="16"/>
  <c r="A919" i="16"/>
  <c r="G918" i="16"/>
  <c r="F918" i="16"/>
  <c r="H941" i="16" s="1"/>
  <c r="E918" i="16"/>
  <c r="I941" i="16" s="1"/>
  <c r="D918" i="16"/>
  <c r="E941" i="16" s="1"/>
  <c r="A918" i="16"/>
  <c r="G917" i="16"/>
  <c r="F917" i="16"/>
  <c r="H940" i="16" s="1"/>
  <c r="E917" i="16"/>
  <c r="I940" i="16" s="1"/>
  <c r="D917" i="16"/>
  <c r="E940" i="16" s="1"/>
  <c r="A917" i="16"/>
  <c r="G916" i="16"/>
  <c r="F916" i="16"/>
  <c r="H939" i="16" s="1"/>
  <c r="E916" i="16"/>
  <c r="I939" i="16" s="1"/>
  <c r="D916" i="16"/>
  <c r="E939" i="16" s="1"/>
  <c r="A916" i="16"/>
  <c r="G915" i="16"/>
  <c r="F915" i="16"/>
  <c r="H938" i="16" s="1"/>
  <c r="E915" i="16"/>
  <c r="I938" i="16" s="1"/>
  <c r="D915" i="16"/>
  <c r="A915" i="16"/>
  <c r="G914" i="16"/>
  <c r="F914" i="16"/>
  <c r="H949" i="16" s="1"/>
  <c r="E914" i="16"/>
  <c r="I949" i="16" s="1"/>
  <c r="D914" i="16"/>
  <c r="E949" i="16" s="1"/>
  <c r="A914" i="16"/>
  <c r="G913" i="16"/>
  <c r="D952" i="16" s="1"/>
  <c r="F913" i="16"/>
  <c r="H952" i="16" s="1"/>
  <c r="E913" i="16"/>
  <c r="I952" i="16" s="1"/>
  <c r="D913" i="16"/>
  <c r="A913" i="16"/>
  <c r="G912" i="16"/>
  <c r="D951" i="16" s="1"/>
  <c r="F912" i="16"/>
  <c r="H951" i="16" s="1"/>
  <c r="E912" i="16"/>
  <c r="I951" i="16" s="1"/>
  <c r="D912" i="16"/>
  <c r="A912" i="16"/>
  <c r="G911" i="16"/>
  <c r="F911" i="16"/>
  <c r="H937" i="16" s="1"/>
  <c r="E911" i="16"/>
  <c r="I937" i="16" s="1"/>
  <c r="D911" i="16"/>
  <c r="E937" i="16" s="1"/>
  <c r="A911" i="16"/>
  <c r="G910" i="16"/>
  <c r="F910" i="16"/>
  <c r="E910" i="16"/>
  <c r="I936" i="16" s="1"/>
  <c r="D910" i="16"/>
  <c r="E936" i="16" s="1"/>
  <c r="A910" i="16"/>
  <c r="I945" i="16" l="1"/>
  <c r="I953" i="16" s="1"/>
  <c r="I922" i="16"/>
  <c r="J922" i="16" s="1"/>
  <c r="I915" i="16"/>
  <c r="J915" i="16" s="1"/>
  <c r="J941" i="16"/>
  <c r="G925" i="16"/>
  <c r="B928" i="16" s="1"/>
  <c r="C953" i="16"/>
  <c r="I923" i="16"/>
  <c r="J923" i="16" s="1"/>
  <c r="J949" i="16"/>
  <c r="I919" i="16"/>
  <c r="J919" i="16" s="1"/>
  <c r="I913" i="16"/>
  <c r="J913" i="16" s="1"/>
  <c r="F925" i="16"/>
  <c r="I912" i="16"/>
  <c r="J912" i="16" s="1"/>
  <c r="E945" i="16"/>
  <c r="H936" i="16"/>
  <c r="J952" i="16"/>
  <c r="J940" i="16"/>
  <c r="J944" i="16"/>
  <c r="J936" i="16"/>
  <c r="J951" i="16"/>
  <c r="J939" i="16"/>
  <c r="J943" i="16"/>
  <c r="J947" i="16"/>
  <c r="J937" i="16"/>
  <c r="A945" i="16"/>
  <c r="A944" i="16"/>
  <c r="A946" i="16" s="1"/>
  <c r="A947" i="16" s="1"/>
  <c r="A949" i="16" s="1"/>
  <c r="A951" i="16" s="1"/>
  <c r="A952" i="16" s="1"/>
  <c r="I917" i="16"/>
  <c r="J917" i="16" s="1"/>
  <c r="D925" i="16"/>
  <c r="I916" i="16"/>
  <c r="J916" i="16" s="1"/>
  <c r="I920" i="16"/>
  <c r="J920" i="16" s="1"/>
  <c r="I924" i="16"/>
  <c r="J924" i="16" s="1"/>
  <c r="E925" i="16"/>
  <c r="C928" i="16" s="1"/>
  <c r="E938" i="16"/>
  <c r="J938" i="16" s="1"/>
  <c r="E942" i="16"/>
  <c r="J942" i="16" s="1"/>
  <c r="E946" i="16"/>
  <c r="J946" i="16" s="1"/>
  <c r="I921" i="16"/>
  <c r="J921" i="16" s="1"/>
  <c r="I910" i="16"/>
  <c r="I914" i="16"/>
  <c r="J914" i="16" s="1"/>
  <c r="I918" i="16"/>
  <c r="J918" i="16" s="1"/>
  <c r="I911" i="16"/>
  <c r="J911" i="16" s="1"/>
  <c r="C1000" i="16"/>
  <c r="C999" i="16"/>
  <c r="C997" i="16"/>
  <c r="C991" i="16"/>
  <c r="C992" i="16"/>
  <c r="C993" i="16"/>
  <c r="C994" i="16"/>
  <c r="C995" i="16"/>
  <c r="C990" i="16"/>
  <c r="C989" i="16"/>
  <c r="C988" i="16"/>
  <c r="C987" i="16"/>
  <c r="C986" i="16"/>
  <c r="C985" i="16"/>
  <c r="C984" i="16"/>
  <c r="C973" i="16"/>
  <c r="K951" i="16" l="1"/>
  <c r="D928" i="16"/>
  <c r="J945" i="16"/>
  <c r="K945" i="16" s="1"/>
  <c r="K938" i="16"/>
  <c r="K946" i="16"/>
  <c r="K952" i="16"/>
  <c r="K942" i="16"/>
  <c r="G927" i="16"/>
  <c r="K936" i="16"/>
  <c r="K943" i="16"/>
  <c r="K944" i="16"/>
  <c r="K949" i="16"/>
  <c r="K947" i="16"/>
  <c r="K941" i="16"/>
  <c r="K937" i="16"/>
  <c r="I925" i="16"/>
  <c r="J910" i="16"/>
  <c r="K939" i="16"/>
  <c r="K940" i="16"/>
  <c r="C1001" i="16"/>
  <c r="A971" i="16"/>
  <c r="A972" i="16"/>
  <c r="J953" i="16" l="1"/>
  <c r="K953" i="16" s="1"/>
  <c r="J925" i="16"/>
  <c r="I926" i="16"/>
  <c r="E928" i="16"/>
  <c r="A985" i="16" l="1"/>
  <c r="A986" i="16" s="1"/>
  <c r="A987" i="16" s="1"/>
  <c r="A988" i="16" s="1"/>
  <c r="A989" i="16" s="1"/>
  <c r="A990" i="16" s="1"/>
  <c r="A991" i="16" s="1"/>
  <c r="C1009" i="16"/>
  <c r="E1045" i="16"/>
  <c r="H973" i="16"/>
  <c r="D958" i="16"/>
  <c r="E984" i="16" s="1"/>
  <c r="D959" i="16"/>
  <c r="E985" i="16" s="1"/>
  <c r="D960" i="16"/>
  <c r="D961" i="16"/>
  <c r="D962" i="16"/>
  <c r="D963" i="16"/>
  <c r="E986" i="16" s="1"/>
  <c r="D964" i="16"/>
  <c r="E987" i="16" s="1"/>
  <c r="D965" i="16"/>
  <c r="E988" i="16" s="1"/>
  <c r="D966" i="16"/>
  <c r="E989" i="16" s="1"/>
  <c r="D967" i="16"/>
  <c r="E990" i="16" s="1"/>
  <c r="D968" i="16"/>
  <c r="E991" i="16" s="1"/>
  <c r="D969" i="16"/>
  <c r="E992" i="16" s="1"/>
  <c r="D970" i="16"/>
  <c r="E993" i="16" s="1"/>
  <c r="D971" i="16"/>
  <c r="E994" i="16" s="1"/>
  <c r="E997" i="16" l="1"/>
  <c r="A993" i="16"/>
  <c r="A992" i="16"/>
  <c r="A994" i="16" s="1"/>
  <c r="A995" i="16" s="1"/>
  <c r="A997" i="16" s="1"/>
  <c r="A999" i="16" s="1"/>
  <c r="A1000" i="16" s="1"/>
  <c r="E1009" i="16"/>
  <c r="G971" i="16" l="1"/>
  <c r="G970" i="16"/>
  <c r="F970" i="16"/>
  <c r="H993" i="16" s="1"/>
  <c r="E958" i="16" l="1"/>
  <c r="I984" i="16" s="1"/>
  <c r="F958" i="16"/>
  <c r="H984" i="16" s="1"/>
  <c r="G958" i="16"/>
  <c r="G959" i="16"/>
  <c r="D1024" i="16" s="1"/>
  <c r="G960" i="16"/>
  <c r="A969" i="16"/>
  <c r="A970" i="16"/>
  <c r="A958" i="16"/>
  <c r="E970" i="16"/>
  <c r="I993" i="16" s="1"/>
  <c r="J993" i="16" s="1"/>
  <c r="E1018" i="16"/>
  <c r="H1018" i="16"/>
  <c r="C1018" i="16"/>
  <c r="J984" i="16" l="1"/>
  <c r="D1025" i="16"/>
  <c r="D999" i="16"/>
  <c r="I1018" i="16"/>
  <c r="J1018" i="16" s="1"/>
  <c r="I970" i="16"/>
  <c r="J970" i="16" s="1"/>
  <c r="I1009" i="16"/>
  <c r="I958" i="16"/>
  <c r="H1009" i="16"/>
  <c r="J1009" i="16" l="1"/>
  <c r="K1009" i="16" s="1"/>
  <c r="K984" i="16"/>
  <c r="K993" i="16"/>
  <c r="K1018" i="16"/>
  <c r="J958" i="16"/>
  <c r="C1025" i="16" l="1"/>
  <c r="C1024" i="16"/>
  <c r="C1022" i="16"/>
  <c r="C1020" i="16"/>
  <c r="C1019" i="16"/>
  <c r="C1017" i="16"/>
  <c r="C1016" i="16"/>
  <c r="C1015" i="16"/>
  <c r="C1014" i="16"/>
  <c r="C1013" i="16"/>
  <c r="C1012" i="16"/>
  <c r="C1011" i="16"/>
  <c r="A1011" i="16"/>
  <c r="A1012" i="16" s="1"/>
  <c r="A1013" i="16" s="1"/>
  <c r="A1014" i="16" s="1"/>
  <c r="A1015" i="16" s="1"/>
  <c r="A1016" i="16" s="1"/>
  <c r="C1010" i="16"/>
  <c r="A976" i="16"/>
  <c r="G972" i="16"/>
  <c r="F972" i="16"/>
  <c r="E972" i="16"/>
  <c r="D972" i="16"/>
  <c r="E995" i="16" s="1"/>
  <c r="F971" i="16"/>
  <c r="E971" i="16"/>
  <c r="E1019" i="16"/>
  <c r="G969" i="16"/>
  <c r="F969" i="16"/>
  <c r="E969" i="16"/>
  <c r="G968" i="16"/>
  <c r="F968" i="16"/>
  <c r="E968" i="16"/>
  <c r="A968" i="16"/>
  <c r="G967" i="16"/>
  <c r="F967" i="16"/>
  <c r="E967" i="16"/>
  <c r="E1015" i="16"/>
  <c r="A967" i="16"/>
  <c r="G966" i="16"/>
  <c r="F966" i="16"/>
  <c r="E966" i="16"/>
  <c r="E1014" i="16"/>
  <c r="A966" i="16"/>
  <c r="G965" i="16"/>
  <c r="F965" i="16"/>
  <c r="E965" i="16"/>
  <c r="E1013" i="16"/>
  <c r="A965" i="16"/>
  <c r="G964" i="16"/>
  <c r="F964" i="16"/>
  <c r="E964" i="16"/>
  <c r="A964" i="16"/>
  <c r="G963" i="16"/>
  <c r="F963" i="16"/>
  <c r="E963" i="16"/>
  <c r="E1011" i="16"/>
  <c r="A963" i="16"/>
  <c r="G962" i="16"/>
  <c r="F962" i="16"/>
  <c r="E962" i="16"/>
  <c r="E1010" i="16"/>
  <c r="A962" i="16"/>
  <c r="G961" i="16"/>
  <c r="D1000" i="16" s="1"/>
  <c r="F961" i="16"/>
  <c r="E961" i="16"/>
  <c r="I1000" i="16" s="1"/>
  <c r="A961" i="16"/>
  <c r="F960" i="16"/>
  <c r="E960" i="16"/>
  <c r="A960" i="16"/>
  <c r="F959" i="16"/>
  <c r="H985" i="16" s="1"/>
  <c r="E959" i="16"/>
  <c r="I985" i="16" s="1"/>
  <c r="A959" i="16"/>
  <c r="H1025" i="16" l="1"/>
  <c r="H999" i="16"/>
  <c r="H1010" i="16"/>
  <c r="H997" i="16"/>
  <c r="I1011" i="16"/>
  <c r="I986" i="16"/>
  <c r="I1012" i="16"/>
  <c r="I987" i="16"/>
  <c r="J985" i="16"/>
  <c r="I1025" i="16"/>
  <c r="I999" i="16"/>
  <c r="H1022" i="16"/>
  <c r="H1000" i="16"/>
  <c r="J1000" i="16" s="1"/>
  <c r="I1010" i="16"/>
  <c r="I997" i="16"/>
  <c r="I962" i="16"/>
  <c r="J962" i="16" s="1"/>
  <c r="H1011" i="16"/>
  <c r="J1011" i="16" s="1"/>
  <c r="H986" i="16"/>
  <c r="J986" i="16" s="1"/>
  <c r="H1012" i="16"/>
  <c r="H987" i="16"/>
  <c r="J987" i="16" s="1"/>
  <c r="I1013" i="16"/>
  <c r="I988" i="16"/>
  <c r="H1014" i="16"/>
  <c r="H989" i="16"/>
  <c r="I1015" i="16"/>
  <c r="I990" i="16"/>
  <c r="I1016" i="16"/>
  <c r="I991" i="16"/>
  <c r="H1017" i="16"/>
  <c r="H992" i="16"/>
  <c r="H1019" i="16"/>
  <c r="H994" i="16"/>
  <c r="I1020" i="16"/>
  <c r="I995" i="16"/>
  <c r="H1013" i="16"/>
  <c r="H988" i="16"/>
  <c r="I1014" i="16"/>
  <c r="I989" i="16"/>
  <c r="H1015" i="16"/>
  <c r="H990" i="16"/>
  <c r="H1016" i="16"/>
  <c r="H991" i="16"/>
  <c r="I1017" i="16"/>
  <c r="I992" i="16"/>
  <c r="I1019" i="16"/>
  <c r="I994" i="16"/>
  <c r="H1020" i="16"/>
  <c r="H995" i="16"/>
  <c r="A1017" i="16"/>
  <c r="A1019" i="16" s="1"/>
  <c r="A1020" i="16" s="1"/>
  <c r="A1022" i="16" s="1"/>
  <c r="A1024" i="16" s="1"/>
  <c r="A1025" i="16" s="1"/>
  <c r="A1018" i="16"/>
  <c r="I1022" i="16"/>
  <c r="I961" i="16"/>
  <c r="J961" i="16" s="1"/>
  <c r="E1020" i="16"/>
  <c r="D973" i="16"/>
  <c r="F973" i="16"/>
  <c r="I1024" i="16"/>
  <c r="E973" i="16"/>
  <c r="C976" i="16" s="1"/>
  <c r="G973" i="16"/>
  <c r="B976" i="16" s="1"/>
  <c r="E1022" i="16"/>
  <c r="C1026" i="16"/>
  <c r="I959" i="16"/>
  <c r="I960" i="16"/>
  <c r="J960" i="16" s="1"/>
  <c r="I964" i="16"/>
  <c r="J964" i="16" s="1"/>
  <c r="I968" i="16"/>
  <c r="J968" i="16" s="1"/>
  <c r="I969" i="16"/>
  <c r="J969" i="16" s="1"/>
  <c r="I971" i="16"/>
  <c r="J971" i="16" s="1"/>
  <c r="I966" i="16"/>
  <c r="J966" i="16" s="1"/>
  <c r="I965" i="16"/>
  <c r="J965" i="16" s="1"/>
  <c r="I972" i="16"/>
  <c r="J972" i="16" s="1"/>
  <c r="E1012" i="16"/>
  <c r="E1016" i="16"/>
  <c r="E1017" i="16"/>
  <c r="H1024" i="16"/>
  <c r="I967" i="16"/>
  <c r="J967" i="16" s="1"/>
  <c r="I963" i="16"/>
  <c r="J963" i="16" s="1"/>
  <c r="C1045" i="16"/>
  <c r="J1012" i="16" l="1"/>
  <c r="K1012" i="16" s="1"/>
  <c r="J1019" i="16"/>
  <c r="K1019" i="16" s="1"/>
  <c r="J1015" i="16"/>
  <c r="K1015" i="16" s="1"/>
  <c r="J1013" i="16"/>
  <c r="K1013" i="16" s="1"/>
  <c r="J995" i="16"/>
  <c r="J990" i="16"/>
  <c r="K990" i="16" s="1"/>
  <c r="J988" i="16"/>
  <c r="K988" i="16" s="1"/>
  <c r="J1020" i="16"/>
  <c r="K1020" i="16" s="1"/>
  <c r="J1025" i="16"/>
  <c r="K1025" i="16" s="1"/>
  <c r="J1016" i="16"/>
  <c r="K1016" i="16" s="1"/>
  <c r="J1024" i="16"/>
  <c r="K1024" i="16" s="1"/>
  <c r="J1014" i="16"/>
  <c r="K1014" i="16" s="1"/>
  <c r="J1010" i="16"/>
  <c r="K1010" i="16" s="1"/>
  <c r="J991" i="16"/>
  <c r="J1017" i="16"/>
  <c r="K1017" i="16" s="1"/>
  <c r="I1001" i="16"/>
  <c r="D976" i="16"/>
  <c r="I1026" i="16"/>
  <c r="K1000" i="16"/>
  <c r="K985" i="16"/>
  <c r="K995" i="16"/>
  <c r="K991" i="16"/>
  <c r="J994" i="16"/>
  <c r="K994" i="16" s="1"/>
  <c r="J992" i="16"/>
  <c r="K992" i="16" s="1"/>
  <c r="J989" i="16"/>
  <c r="K989" i="16" s="1"/>
  <c r="K987" i="16"/>
  <c r="K986" i="16"/>
  <c r="J997" i="16"/>
  <c r="K997" i="16" s="1"/>
  <c r="J999" i="16"/>
  <c r="K999" i="16" s="1"/>
  <c r="G975" i="16"/>
  <c r="J1022" i="16"/>
  <c r="K1022" i="16" s="1"/>
  <c r="J959" i="16"/>
  <c r="I973" i="16"/>
  <c r="K1011" i="16"/>
  <c r="E1036" i="16"/>
  <c r="E1035" i="16"/>
  <c r="E1034" i="16"/>
  <c r="J1026" i="16" l="1"/>
  <c r="K1026" i="16" s="1"/>
  <c r="I974" i="16"/>
  <c r="J1001" i="16"/>
  <c r="K1001" i="16" s="1"/>
  <c r="E976" i="16"/>
  <c r="J973" i="16"/>
  <c r="A1035" i="16" l="1"/>
  <c r="A1036" i="16" s="1"/>
  <c r="A1037" i="16" s="1"/>
  <c r="A1038" i="16" s="1"/>
  <c r="A1039" i="16" s="1"/>
  <c r="A1040" i="16" s="1"/>
  <c r="A1041" i="16" s="1"/>
  <c r="A1042" i="16" s="1"/>
  <c r="C1048" i="16"/>
  <c r="C1047" i="16"/>
  <c r="C1043" i="16"/>
  <c r="C1042" i="16"/>
  <c r="C1041" i="16"/>
  <c r="C1040" i="16"/>
  <c r="C1039" i="16"/>
  <c r="C1038" i="16"/>
  <c r="C1037" i="16"/>
  <c r="C1036" i="16"/>
  <c r="C1035" i="16"/>
  <c r="C1034" i="16"/>
  <c r="H1043" i="16"/>
  <c r="I1043" i="16"/>
  <c r="E1043" i="16"/>
  <c r="H1042" i="16"/>
  <c r="I1042" i="16"/>
  <c r="H1041" i="16"/>
  <c r="I1041" i="16"/>
  <c r="E1041" i="16"/>
  <c r="H1040" i="16"/>
  <c r="I1040" i="16"/>
  <c r="E1040" i="16"/>
  <c r="H1039" i="16"/>
  <c r="I1039" i="16"/>
  <c r="H1038" i="16"/>
  <c r="I1038" i="16"/>
  <c r="E1038" i="16"/>
  <c r="H1037" i="16"/>
  <c r="I1037" i="16"/>
  <c r="E1037" i="16"/>
  <c r="H1036" i="16"/>
  <c r="I1036" i="16"/>
  <c r="H1035" i="16"/>
  <c r="I1035" i="16"/>
  <c r="H1034" i="16"/>
  <c r="I1034" i="16"/>
  <c r="H1045" i="16"/>
  <c r="I1045" i="16"/>
  <c r="H1048" i="16"/>
  <c r="I1048" i="16"/>
  <c r="I1047" i="16"/>
  <c r="A1043" i="16" l="1"/>
  <c r="A1045" i="16" s="1"/>
  <c r="A1047" i="16" s="1"/>
  <c r="A1048" i="16" s="1"/>
  <c r="J1048" i="16"/>
  <c r="J1040" i="16"/>
  <c r="J1043" i="16"/>
  <c r="C1049" i="16"/>
  <c r="J1036" i="16"/>
  <c r="J1034" i="16"/>
  <c r="J1049" i="16" s="1"/>
  <c r="K1049" i="16" s="1"/>
  <c r="J1045" i="16"/>
  <c r="I1049" i="16"/>
  <c r="J1037" i="16"/>
  <c r="J1041" i="16"/>
  <c r="J1038" i="16"/>
  <c r="J1035" i="16"/>
  <c r="E1042" i="16"/>
  <c r="J1042" i="16" s="1"/>
  <c r="E1039" i="16"/>
  <c r="J1039" i="16" s="1"/>
  <c r="H1047" i="16"/>
  <c r="J1047" i="16" s="1"/>
  <c r="K1039" i="16" l="1"/>
  <c r="K1042" i="16"/>
  <c r="K1047" i="16"/>
  <c r="K1043" i="16"/>
  <c r="K1035" i="16"/>
  <c r="K1045" i="16"/>
  <c r="K1041" i="16"/>
  <c r="K1036" i="16"/>
  <c r="K1048" i="16"/>
  <c r="K1038" i="16"/>
  <c r="K1040" i="16"/>
  <c r="K1034" i="16"/>
  <c r="K1037" i="16"/>
  <c r="C1071" i="16" l="1"/>
  <c r="C1057" i="16"/>
  <c r="C1066" i="16"/>
  <c r="I1062" i="16" l="1"/>
  <c r="I1063" i="16"/>
  <c r="I1064" i="16"/>
  <c r="I1065" i="16"/>
  <c r="I1066" i="16"/>
  <c r="I1067" i="16"/>
  <c r="I1061" i="16"/>
  <c r="I1060" i="16"/>
  <c r="I1071" i="16"/>
  <c r="H1066" i="16"/>
  <c r="E1066" i="16"/>
  <c r="J1066" i="16" l="1"/>
  <c r="K1066" i="16" l="1"/>
  <c r="C1072" i="16" l="1"/>
  <c r="C1069" i="16"/>
  <c r="C1067" i="16"/>
  <c r="C1065" i="16"/>
  <c r="C1064" i="16"/>
  <c r="C1063" i="16"/>
  <c r="C1062" i="16"/>
  <c r="C1061" i="16"/>
  <c r="C1060" i="16"/>
  <c r="C1059" i="16"/>
  <c r="C1058" i="16"/>
  <c r="H1071" i="16"/>
  <c r="J1071" i="16" s="1"/>
  <c r="C1092" i="16"/>
  <c r="K1071" i="16" l="1"/>
  <c r="C1073" i="16"/>
  <c r="C1095" i="16"/>
  <c r="J1095" i="16" s="1"/>
  <c r="K1095" i="16" s="1"/>
  <c r="C1094" i="16"/>
  <c r="J1094" i="16" s="1"/>
  <c r="K1094" i="16" s="1"/>
  <c r="J1092" i="16"/>
  <c r="C1082" i="16"/>
  <c r="J1082" i="16" s="1"/>
  <c r="C1083" i="16"/>
  <c r="J1083" i="16" s="1"/>
  <c r="C1084" i="16"/>
  <c r="J1084" i="16" s="1"/>
  <c r="C1085" i="16"/>
  <c r="J1085" i="16" s="1"/>
  <c r="C1086" i="16"/>
  <c r="J1086" i="16" s="1"/>
  <c r="C1087" i="16"/>
  <c r="J1087" i="16" s="1"/>
  <c r="C1088" i="16"/>
  <c r="J1088" i="16" s="1"/>
  <c r="C1089" i="16"/>
  <c r="C1090" i="16"/>
  <c r="J1090" i="16" s="1"/>
  <c r="C1081" i="16"/>
  <c r="J1081" i="16" s="1"/>
  <c r="I1096" i="16"/>
  <c r="J1089" i="16"/>
  <c r="C1096" i="16" l="1"/>
  <c r="J1096" i="16"/>
  <c r="G1097" i="16" s="1"/>
  <c r="K1087" i="16" l="1"/>
  <c r="K1083" i="16"/>
  <c r="K1092" i="16"/>
  <c r="K1090" i="16" l="1"/>
  <c r="K1082" i="16"/>
  <c r="K1081" i="16"/>
  <c r="K1088" i="16"/>
  <c r="K1084" i="16"/>
  <c r="K1085" i="16"/>
  <c r="K1086" i="16"/>
  <c r="K1089" i="16"/>
  <c r="K1096" i="16" l="1"/>
  <c r="F1108" i="16" l="1"/>
  <c r="H1107" i="16"/>
  <c r="F1106" i="16"/>
  <c r="C1116" i="16" l="1"/>
  <c r="J1116" i="16" s="1"/>
  <c r="C1115" i="16"/>
  <c r="J1115" i="16" s="1"/>
  <c r="C1114" i="16"/>
  <c r="J1114" i="16" s="1"/>
  <c r="C1113" i="16"/>
  <c r="J1113" i="16" s="1"/>
  <c r="C1112" i="16"/>
  <c r="J1112" i="16" s="1"/>
  <c r="C1111" i="16"/>
  <c r="J1111" i="16" s="1"/>
  <c r="C1110" i="16"/>
  <c r="J1110" i="16" s="1"/>
  <c r="C1109" i="16"/>
  <c r="J1109" i="16" s="1"/>
  <c r="C1108" i="16"/>
  <c r="J1108" i="16" s="1"/>
  <c r="C1107" i="16"/>
  <c r="J1107" i="16" s="1"/>
  <c r="C1106" i="16"/>
  <c r="J1106" i="16" s="1"/>
  <c r="C1105" i="16"/>
  <c r="J1105" i="16" s="1"/>
  <c r="C1118" i="16"/>
  <c r="J1118" i="16" s="1"/>
  <c r="C1121" i="16"/>
  <c r="J1121" i="16" s="1"/>
  <c r="I1122" i="16"/>
  <c r="C1148" i="16"/>
  <c r="C1120" i="16" l="1"/>
  <c r="J1120" i="16" s="1"/>
  <c r="J1122" i="16" s="1"/>
  <c r="C1122" i="16" l="1"/>
  <c r="I1148" i="16" l="1"/>
  <c r="J1147" i="16" l="1"/>
  <c r="J1146" i="16"/>
  <c r="J1144" i="16"/>
  <c r="J1142" i="16"/>
  <c r="J1141" i="16"/>
  <c r="J1140" i="16"/>
  <c r="J1139" i="16"/>
  <c r="J1138" i="16"/>
  <c r="J1137" i="16"/>
  <c r="J1136" i="16"/>
  <c r="J1135" i="16"/>
  <c r="J1134" i="16"/>
  <c r="J1133" i="16"/>
  <c r="J1132" i="16"/>
  <c r="J1131" i="16"/>
  <c r="J1130" i="16"/>
  <c r="J1148" i="16" l="1"/>
  <c r="J1167" i="16" l="1"/>
  <c r="J1166" i="16"/>
  <c r="J1165" i="16"/>
  <c r="J1164" i="16"/>
  <c r="J1163" i="16"/>
  <c r="J1162" i="16"/>
  <c r="J1161" i="16"/>
  <c r="J1159" i="16"/>
  <c r="J1156" i="16"/>
  <c r="J1170" i="16"/>
  <c r="J1173" i="16"/>
  <c r="J1172" i="16"/>
  <c r="I1174" i="16"/>
  <c r="J1160" i="16"/>
  <c r="C1174" i="16" l="1"/>
  <c r="J1158" i="16"/>
  <c r="J1157" i="16"/>
  <c r="J1168" i="16"/>
  <c r="J1174" i="16" l="1"/>
  <c r="F1194" i="16" l="1"/>
  <c r="H1194" i="16"/>
  <c r="F1185" i="16"/>
  <c r="H1184" i="16"/>
  <c r="F1183" i="16"/>
  <c r="I1200" i="16"/>
  <c r="J1194" i="16" l="1"/>
  <c r="J1193" i="16"/>
  <c r="J1192" i="16"/>
  <c r="J1191" i="16"/>
  <c r="J1190" i="16"/>
  <c r="J1189" i="16"/>
  <c r="J1188" i="16"/>
  <c r="J1187" i="16"/>
  <c r="J1186" i="16"/>
  <c r="J1185" i="16"/>
  <c r="J1184" i="16"/>
  <c r="J1183" i="16"/>
  <c r="J1196" i="16"/>
  <c r="J1199" i="16"/>
  <c r="J1198" i="16"/>
  <c r="J1182" i="16" l="1"/>
  <c r="J1200" i="16" s="1"/>
  <c r="C1200" i="16"/>
  <c r="I1229" i="16" l="1"/>
  <c r="J1223" i="16"/>
  <c r="J1209" i="16" l="1"/>
  <c r="J1222" i="16" l="1"/>
  <c r="J1221" i="16"/>
  <c r="J1220" i="16"/>
  <c r="J1219" i="16"/>
  <c r="J1218" i="16"/>
  <c r="J1217" i="16"/>
  <c r="J1216" i="16"/>
  <c r="J1215" i="16"/>
  <c r="J1214" i="16"/>
  <c r="J1213" i="16"/>
  <c r="J1212" i="16"/>
  <c r="J1211" i="16"/>
  <c r="C1225" i="16"/>
  <c r="J1225" i="16" s="1"/>
  <c r="C1228" i="16"/>
  <c r="J1228" i="16" s="1"/>
  <c r="C1227" i="16"/>
  <c r="J1227" i="16" s="1"/>
  <c r="C1256" i="16"/>
  <c r="J1210" i="16" l="1"/>
  <c r="J1229" i="16" s="1"/>
  <c r="C1229" i="16"/>
  <c r="J1269" i="16" l="1"/>
  <c r="J1250" i="16" l="1"/>
  <c r="J1249" i="16"/>
  <c r="J1248" i="16"/>
  <c r="J1247" i="16"/>
  <c r="J1246" i="16"/>
  <c r="J1245" i="16"/>
  <c r="J1244" i="16"/>
  <c r="J1243" i="16"/>
  <c r="J1242" i="16"/>
  <c r="J1241" i="16"/>
  <c r="J1240" i="16"/>
  <c r="J1239" i="16"/>
  <c r="J1238" i="16"/>
  <c r="J1252" i="16"/>
  <c r="J1255" i="16"/>
  <c r="J1254" i="16"/>
  <c r="I1256" i="16"/>
  <c r="J1237" i="16" l="1"/>
  <c r="J1256" i="16" s="1"/>
  <c r="I1284" i="16" l="1"/>
  <c r="J1277" i="16" l="1"/>
  <c r="J1274" i="16" l="1"/>
  <c r="J1270" i="16"/>
  <c r="J1266" i="16"/>
  <c r="J1280" i="16"/>
  <c r="J1282" i="16"/>
  <c r="J1283" i="16"/>
  <c r="J1276" i="16"/>
  <c r="J1275" i="16"/>
  <c r="J1273" i="16"/>
  <c r="J1272" i="16"/>
  <c r="J1271" i="16"/>
  <c r="J1268" i="16"/>
  <c r="J1267" i="16"/>
  <c r="J1265" i="16"/>
  <c r="J1278" i="16" l="1"/>
  <c r="J1284" i="16" s="1"/>
  <c r="K1284" i="16" s="1"/>
  <c r="C1201" i="16" l="1"/>
  <c r="C1175" i="16"/>
  <c r="J1301" i="16"/>
  <c r="J1302" i="16" l="1"/>
  <c r="J1300" i="16"/>
  <c r="J1299" i="16"/>
  <c r="J1298" i="16"/>
  <c r="J1297" i="16"/>
  <c r="J1296" i="16"/>
  <c r="J1295" i="16"/>
  <c r="J1294" i="16"/>
  <c r="J1293" i="16"/>
  <c r="J1292" i="16"/>
  <c r="J1306" i="16"/>
  <c r="J1309" i="16"/>
  <c r="J1308" i="16"/>
  <c r="J1304" i="16" l="1"/>
  <c r="J1303" i="16"/>
  <c r="J1310" i="16" l="1"/>
  <c r="J1328" i="16" l="1"/>
  <c r="F1318" i="16" l="1"/>
  <c r="J1352" i="16"/>
  <c r="J1355" i="16"/>
  <c r="J1336" i="16"/>
  <c r="J1335" i="16"/>
  <c r="J1334" i="16"/>
  <c r="C1327" i="16" l="1"/>
  <c r="J1327" i="16" s="1"/>
  <c r="C1326" i="16"/>
  <c r="J1326" i="16" s="1"/>
  <c r="C1325" i="16"/>
  <c r="J1325" i="16" s="1"/>
  <c r="C1324" i="16"/>
  <c r="J1324" i="16" s="1"/>
  <c r="C1323" i="16"/>
  <c r="J1323" i="16" s="1"/>
  <c r="J1322" i="16"/>
  <c r="C1321" i="16"/>
  <c r="J1321" i="16" s="1"/>
  <c r="C1320" i="16"/>
  <c r="J1320" i="16" s="1"/>
  <c r="C1319" i="16"/>
  <c r="J1319" i="16" s="1"/>
  <c r="C1318" i="16"/>
  <c r="J1318" i="16" s="1"/>
  <c r="C1330" i="16"/>
  <c r="J1330" i="16" s="1"/>
  <c r="C1333" i="16"/>
  <c r="J1333" i="16" s="1"/>
  <c r="C1332" i="16" l="1"/>
  <c r="J1332" i="16" s="1"/>
  <c r="J1337" i="16" s="1"/>
  <c r="J1363" i="16" l="1"/>
  <c r="J1362" i="16"/>
  <c r="J1361" i="16"/>
  <c r="J1414" i="16"/>
  <c r="J1387" i="16"/>
  <c r="J1386" i="16"/>
  <c r="J1384" i="16"/>
  <c r="E1382" i="16"/>
  <c r="J1382" i="16" s="1"/>
  <c r="E1381" i="16"/>
  <c r="J1381" i="16" s="1"/>
  <c r="E1379" i="16"/>
  <c r="J1379" i="16" s="1"/>
  <c r="H1378" i="16"/>
  <c r="E1378" i="16"/>
  <c r="F1377" i="16"/>
  <c r="E1377" i="16"/>
  <c r="E1376" i="16"/>
  <c r="J1376" i="16" s="1"/>
  <c r="I1375" i="16"/>
  <c r="H1375" i="16"/>
  <c r="E1375" i="16"/>
  <c r="I1374" i="16"/>
  <c r="E1374" i="16"/>
  <c r="H1373" i="16"/>
  <c r="E1373" i="16"/>
  <c r="I1372" i="16"/>
  <c r="J1364" i="16"/>
  <c r="J1348" i="16"/>
  <c r="J1360" i="16"/>
  <c r="B1348" i="16" l="1"/>
  <c r="B1352" i="16"/>
  <c r="B1353" i="16"/>
  <c r="B1346" i="16"/>
  <c r="B1349" i="16"/>
  <c r="B1350" i="16"/>
  <c r="B1347" i="16"/>
  <c r="B1351" i="16"/>
  <c r="J1347" i="16"/>
  <c r="I1389" i="16"/>
  <c r="J1374" i="16"/>
  <c r="J1357" i="16"/>
  <c r="J1373" i="16"/>
  <c r="J1345" i="16"/>
  <c r="J1351" i="16"/>
  <c r="J1346" i="16"/>
  <c r="J1359" i="16"/>
  <c r="J1354" i="16"/>
  <c r="J1377" i="16"/>
  <c r="J1375" i="16"/>
  <c r="J1378" i="16"/>
  <c r="J1372" i="16"/>
  <c r="J1350" i="16" l="1"/>
  <c r="J1349" i="16"/>
  <c r="J1353" i="16"/>
  <c r="C1380" i="16"/>
  <c r="J1365" i="16" l="1"/>
  <c r="C1389" i="16"/>
  <c r="J1380" i="16"/>
  <c r="J1389" i="16" s="1"/>
  <c r="K1118" i="16" l="1"/>
  <c r="K1105" i="16"/>
  <c r="K1121" i="16"/>
  <c r="K1111" i="16"/>
  <c r="K1116" i="16"/>
  <c r="K1115" i="16"/>
  <c r="K1187" i="16" l="1"/>
  <c r="K1109" i="16"/>
  <c r="K1138" i="16"/>
  <c r="K1112" i="16"/>
  <c r="K1107" i="16"/>
  <c r="K1139" i="16"/>
  <c r="K1113" i="16"/>
  <c r="K1108" i="16"/>
  <c r="K1106" i="16"/>
  <c r="K1136" i="16"/>
  <c r="K1110" i="16"/>
  <c r="K1140" i="16"/>
  <c r="K1135" i="16"/>
  <c r="K1188" i="16"/>
  <c r="K1184" i="16"/>
  <c r="K1199" i="16"/>
  <c r="K1147" i="16"/>
  <c r="K1134" i="16"/>
  <c r="K1186" i="16"/>
  <c r="K1141" i="16"/>
  <c r="K1193" i="16"/>
  <c r="K1142" i="16"/>
  <c r="K1194" i="16"/>
  <c r="K1189" i="16"/>
  <c r="K1137" i="16"/>
  <c r="K1196" i="16"/>
  <c r="K1144" i="16"/>
  <c r="K1120" i="16"/>
  <c r="K1183" i="16"/>
  <c r="K1191" i="16"/>
  <c r="K1182" i="16"/>
  <c r="K1190" i="16"/>
  <c r="K1133" i="16"/>
  <c r="K1131" i="16"/>
  <c r="K1132" i="16"/>
  <c r="K1185" i="16"/>
  <c r="K1130" i="16"/>
  <c r="K1192" i="16" l="1"/>
  <c r="K1114" i="16"/>
  <c r="K1198" i="16"/>
  <c r="K1146" i="16"/>
  <c r="K1122" i="16" l="1"/>
  <c r="K1200" i="16"/>
  <c r="K1337" i="16"/>
  <c r="K1148" i="16"/>
  <c r="H1057" i="16" l="1"/>
  <c r="H1058" i="16"/>
  <c r="H1069" i="16"/>
  <c r="H1059" i="16"/>
  <c r="I1069" i="16"/>
  <c r="H1072" i="16"/>
  <c r="H1063" i="16"/>
  <c r="H1062" i="16"/>
  <c r="H1060" i="16"/>
  <c r="H1064" i="16"/>
  <c r="J1064" i="16" s="1"/>
  <c r="I1057" i="16"/>
  <c r="H1061" i="16"/>
  <c r="I1072" i="16"/>
  <c r="H1065" i="16"/>
  <c r="H1067" i="16"/>
  <c r="I1059" i="16"/>
  <c r="E1063" i="16"/>
  <c r="E1062" i="16"/>
  <c r="E1061" i="16"/>
  <c r="I1058" i="16"/>
  <c r="E1065" i="16"/>
  <c r="K1064" i="16" l="1"/>
  <c r="J1072" i="16"/>
  <c r="K1072" i="16" s="1"/>
  <c r="J1059" i="16"/>
  <c r="K1059" i="16" s="1"/>
  <c r="E1060" i="16"/>
  <c r="J1060" i="16" s="1"/>
  <c r="K1060" i="16" s="1"/>
  <c r="E1058" i="16"/>
  <c r="J1058" i="16" s="1"/>
  <c r="E1067" i="16"/>
  <c r="J1067" i="16" s="1"/>
  <c r="K1067" i="16" s="1"/>
  <c r="I1073" i="16"/>
  <c r="J1062" i="16"/>
  <c r="J1065" i="16"/>
  <c r="J1061" i="16"/>
  <c r="E1057" i="16"/>
  <c r="J1057" i="16" s="1"/>
  <c r="J1063" i="16"/>
  <c r="J1069" i="16"/>
  <c r="K1062" i="16" l="1"/>
  <c r="K1069" i="16"/>
  <c r="K1058" i="16"/>
  <c r="K1057" i="16"/>
  <c r="J1073" i="16"/>
  <c r="K1061" i="16"/>
  <c r="K1063" i="16"/>
  <c r="K1065" i="16"/>
  <c r="G1074" i="16" l="1"/>
  <c r="K1073" i="16"/>
  <c r="G15" i="153" l="1"/>
  <c r="G16" i="153" s="1"/>
  <c r="G17" i="153" s="1"/>
  <c r="G18" i="153" s="1"/>
  <c r="G19" i="153" s="1"/>
  <c r="G20" i="153" s="1"/>
  <c r="G21" i="153" s="1"/>
  <c r="G22" i="153" s="1"/>
  <c r="G23" i="153" s="1"/>
  <c r="G24" i="153" s="1"/>
  <c r="G25" i="153" s="1"/>
  <c r="G26" i="153" s="1"/>
  <c r="G27" i="153" s="1"/>
  <c r="G28" i="153" s="1"/>
  <c r="G29" i="153" s="1"/>
  <c r="G30" i="153" s="1"/>
  <c r="G31" i="153" s="1"/>
  <c r="G32" i="153" s="1"/>
  <c r="G33" i="153" s="1"/>
  <c r="G34" i="153" s="1"/>
  <c r="G35" i="153" s="1"/>
  <c r="G36" i="153" s="1"/>
  <c r="G37" i="153" s="1"/>
  <c r="G38" i="153" s="1"/>
  <c r="G39" i="153" s="1"/>
  <c r="G40" i="153" s="1"/>
  <c r="G41" i="153" l="1"/>
  <c r="G42" i="153" l="1"/>
  <c r="G43" i="153" s="1"/>
  <c r="G44" i="153" s="1"/>
  <c r="G45" i="153" s="1"/>
  <c r="G46" i="153" s="1"/>
  <c r="G47" i="153" s="1"/>
  <c r="G48" i="153" s="1"/>
  <c r="G49" i="153" s="1"/>
  <c r="G50" i="153" s="1"/>
  <c r="G51" i="153" s="1"/>
  <c r="G52" i="153" s="1"/>
  <c r="G53" i="153" s="1"/>
  <c r="G54" i="153" l="1"/>
  <c r="G55" i="153" s="1"/>
  <c r="G56" i="153" s="1"/>
  <c r="G57" i="153" s="1"/>
  <c r="G58" i="153" s="1"/>
  <c r="G59" i="153" s="1"/>
  <c r="G60" i="153" s="1"/>
  <c r="G61" i="153" s="1"/>
  <c r="G62" i="153" s="1"/>
  <c r="G63" i="153" s="1"/>
  <c r="G64" i="153" s="1"/>
  <c r="G65" i="153" s="1"/>
  <c r="G66" i="153" s="1"/>
  <c r="G67" i="153" s="1"/>
  <c r="G68" i="153" s="1"/>
  <c r="G69" i="153" s="1"/>
  <c r="G70" i="153" s="1"/>
  <c r="G71" i="153" s="1"/>
  <c r="G72" i="153" s="1"/>
  <c r="G73" i="153" s="1"/>
  <c r="G74" i="153" s="1"/>
  <c r="G75" i="153" s="1"/>
  <c r="G76" i="153" s="1"/>
  <c r="G77" i="153" s="1"/>
  <c r="G78" i="153" s="1"/>
  <c r="G79" i="153" s="1"/>
  <c r="G80" i="153" s="1"/>
  <c r="G81" i="153" s="1"/>
  <c r="G82" i="153" s="1"/>
  <c r="G83" i="153" s="1"/>
  <c r="G84" i="153" s="1"/>
  <c r="G85" i="153" s="1"/>
  <c r="G86" i="153" s="1"/>
  <c r="G87" i="153" s="1"/>
  <c r="G88" i="153" s="1"/>
  <c r="G89" i="153" s="1"/>
  <c r="G90" i="153" s="1"/>
  <c r="G91" i="153" s="1"/>
  <c r="G92" i="153" s="1"/>
  <c r="G93" i="153" s="1"/>
  <c r="G94" i="153" s="1"/>
  <c r="G95" i="153" s="1"/>
  <c r="G96" i="153" s="1"/>
  <c r="G97" i="153" s="1"/>
  <c r="G98" i="153" s="1"/>
  <c r="G99" i="153" s="1"/>
  <c r="G100" i="153" s="1"/>
  <c r="G101" i="153" s="1"/>
  <c r="G102" i="153" s="1"/>
  <c r="G103" i="153" s="1"/>
  <c r="G104" i="153" s="1"/>
  <c r="G105" i="153" s="1"/>
  <c r="G106" i="153" s="1"/>
  <c r="G107" i="153" s="1"/>
  <c r="G108" i="153" s="1"/>
  <c r="G109" i="153" s="1"/>
  <c r="G110" i="153" s="1"/>
  <c r="G111" i="153" s="1"/>
  <c r="G112" i="153" s="1"/>
  <c r="G113" i="153" s="1"/>
  <c r="G114" i="153" s="1"/>
  <c r="G115" i="153" s="1"/>
  <c r="G116" i="153" s="1"/>
  <c r="G117" i="153" s="1"/>
  <c r="G118" i="153" s="1"/>
  <c r="G119" i="153" s="1"/>
  <c r="G120" i="153" s="1"/>
  <c r="G121" i="153" s="1"/>
  <c r="G122" i="153" s="1"/>
  <c r="G123" i="153" s="1"/>
  <c r="G124" i="153" s="1"/>
  <c r="G125" i="153" s="1"/>
  <c r="G126" i="153" s="1"/>
  <c r="G127" i="153" s="1"/>
  <c r="G128" i="153" s="1"/>
  <c r="G129" i="153" s="1"/>
  <c r="G130" i="153" s="1"/>
  <c r="G131" i="153" s="1"/>
  <c r="G132" i="153" s="1"/>
  <c r="G133" i="153" s="1"/>
  <c r="G134" i="153" s="1"/>
  <c r="G135" i="153" s="1"/>
  <c r="G136" i="153" s="1"/>
  <c r="G137" i="153" s="1"/>
  <c r="G138" i="153" s="1"/>
  <c r="G139" i="153" s="1"/>
  <c r="G140" i="153" s="1"/>
  <c r="G141" i="153" s="1"/>
  <c r="G142" i="153" s="1"/>
  <c r="G143" i="153" s="1"/>
  <c r="G144" i="153" s="1"/>
  <c r="G145" i="153" s="1"/>
  <c r="G146" i="153" s="1"/>
  <c r="G147" i="153" s="1"/>
  <c r="G148" i="153" s="1"/>
  <c r="G149" i="153" s="1"/>
  <c r="G150" i="153" s="1"/>
  <c r="G151" i="153" l="1"/>
  <c r="G154" i="153"/>
  <c r="G152" i="153" l="1"/>
  <c r="G153" i="153" s="1"/>
  <c r="G156" i="153" s="1"/>
  <c r="G157" i="153" s="1"/>
  <c r="G158" i="153" s="1"/>
  <c r="G159" i="153" s="1"/>
  <c r="G160" i="153" s="1"/>
  <c r="G161" i="153" s="1"/>
  <c r="G162" i="153" s="1"/>
  <c r="G163" i="153" s="1"/>
  <c r="G164" i="153" s="1"/>
  <c r="G165" i="153" s="1"/>
  <c r="G166" i="153" s="1"/>
  <c r="G167" i="153" s="1"/>
  <c r="G168" i="153" s="1"/>
  <c r="G169" i="153" s="1"/>
  <c r="G170" i="153" s="1"/>
  <c r="G171" i="153" s="1"/>
  <c r="G172" i="153" s="1"/>
  <c r="G173" i="153" s="1"/>
  <c r="G174" i="153" s="1"/>
  <c r="G175" i="153" s="1"/>
  <c r="G176" i="153" s="1"/>
  <c r="G177" i="153" s="1"/>
  <c r="G178" i="153" s="1"/>
  <c r="G179" i="153" s="1"/>
  <c r="G180" i="153" s="1"/>
  <c r="G181" i="153" s="1"/>
  <c r="G182" i="153" s="1"/>
  <c r="G183" i="153" s="1"/>
  <c r="G184" i="153" s="1"/>
  <c r="G185" i="153" s="1"/>
  <c r="G186" i="153" s="1"/>
  <c r="G187" i="153" s="1"/>
  <c r="G188" i="153" s="1"/>
  <c r="G189" i="153" s="1"/>
  <c r="G190" i="153" s="1"/>
  <c r="G191" i="153" s="1"/>
  <c r="G192" i="153" s="1"/>
  <c r="G193" i="153" s="1"/>
  <c r="G194" i="153" s="1"/>
  <c r="G195" i="153" s="1"/>
  <c r="G196" i="153" s="1"/>
  <c r="G197" i="153" s="1"/>
  <c r="G198" i="153" s="1"/>
  <c r="G199" i="153" s="1"/>
  <c r="G200" i="153" s="1"/>
  <c r="G201" i="153" s="1"/>
  <c r="G202" i="153" s="1"/>
  <c r="G203" i="153" s="1"/>
  <c r="G204" i="153" s="1"/>
  <c r="G205" i="153" s="1"/>
  <c r="G206" i="153" s="1"/>
  <c r="G207" i="153" s="1"/>
  <c r="G208" i="153" s="1"/>
  <c r="G209" i="153" s="1"/>
  <c r="G210" i="153" s="1"/>
  <c r="G211" i="153" s="1"/>
  <c r="G212" i="153" s="1"/>
  <c r="G213" i="153" s="1"/>
  <c r="G214" i="153" s="1"/>
  <c r="G215" i="153" s="1"/>
  <c r="G216" i="153" s="1"/>
  <c r="G217" i="153" s="1"/>
  <c r="G218" i="153" s="1"/>
  <c r="G219" i="153" s="1"/>
  <c r="G220" i="153" s="1"/>
  <c r="G221" i="153" s="1"/>
  <c r="G222" i="153" s="1"/>
  <c r="G223" i="153" s="1"/>
  <c r="G224" i="153" s="1"/>
  <c r="G225" i="153" s="1"/>
  <c r="G226" i="153" s="1"/>
  <c r="G227" i="153" s="1"/>
  <c r="G228" i="153" s="1"/>
  <c r="G229" i="153" s="1"/>
  <c r="G230" i="153" s="1"/>
  <c r="G231" i="153" s="1"/>
  <c r="G232" i="153" s="1"/>
  <c r="G233" i="153" s="1"/>
  <c r="G234" i="153" s="1"/>
  <c r="G235" i="153" s="1"/>
  <c r="G236" i="153" s="1"/>
  <c r="G237" i="153" s="1"/>
  <c r="G238" i="153" s="1"/>
  <c r="G239" i="153" s="1"/>
  <c r="G240" i="153" s="1"/>
  <c r="G241" i="153" s="1"/>
  <c r="G242" i="153" s="1"/>
  <c r="G243" i="153" s="1"/>
  <c r="G244" i="153" s="1"/>
  <c r="G245" i="153" s="1"/>
  <c r="G246" i="153" s="1"/>
  <c r="G247" i="153" s="1"/>
  <c r="G248" i="153" s="1"/>
  <c r="G249" i="153" s="1"/>
  <c r="G250" i="153" s="1"/>
  <c r="G251" i="153" s="1"/>
  <c r="G252" i="153" s="1"/>
  <c r="G253" i="153" s="1"/>
  <c r="G254" i="153" s="1"/>
  <c r="G255" i="153" s="1"/>
  <c r="G256" i="153" s="1"/>
  <c r="G257" i="153" s="1"/>
  <c r="G258" i="153" s="1"/>
  <c r="G259" i="153" s="1"/>
  <c r="G260" i="153" s="1"/>
  <c r="G261" i="153" s="1"/>
  <c r="G262" i="153" s="1"/>
  <c r="G263" i="153" s="1"/>
  <c r="G264" i="153" s="1"/>
  <c r="G265" i="153" s="1"/>
  <c r="G266" i="153" s="1"/>
  <c r="G267" i="153" s="1"/>
  <c r="G268" i="153" s="1"/>
  <c r="G269" i="153" s="1"/>
  <c r="G270" i="153" s="1"/>
  <c r="G271" i="153" s="1"/>
  <c r="G272" i="153" s="1"/>
  <c r="G273" i="153" s="1"/>
  <c r="G274" i="153" s="1"/>
  <c r="G275" i="153" s="1"/>
  <c r="G276" i="153" s="1"/>
  <c r="G277" i="153" s="1"/>
  <c r="G278" i="153" s="1"/>
  <c r="G279" i="153" s="1"/>
  <c r="G280" i="153" s="1"/>
  <c r="G281" i="153" s="1"/>
  <c r="G282" i="153" s="1"/>
  <c r="G283" i="153" s="1"/>
  <c r="G284" i="153" s="1"/>
  <c r="G285" i="153" s="1"/>
  <c r="G286" i="153" s="1"/>
  <c r="G287" i="153" s="1"/>
  <c r="G288" i="153" s="1"/>
  <c r="G289" i="153" s="1"/>
  <c r="G290" i="153" s="1"/>
  <c r="G291" i="153" s="1"/>
  <c r="G292" i="153" s="1"/>
  <c r="G293" i="153" s="1"/>
  <c r="G294" i="153" s="1"/>
  <c r="G295" i="153" s="1"/>
  <c r="G296" i="153" s="1"/>
  <c r="G297" i="153" s="1"/>
  <c r="G298" i="153" s="1"/>
  <c r="G299" i="153" s="1"/>
  <c r="G300" i="153" s="1"/>
  <c r="G301" i="153" s="1"/>
  <c r="G302" i="153" s="1"/>
  <c r="G303" i="153" s="1"/>
  <c r="G304" i="153" s="1"/>
  <c r="G305" i="153" s="1"/>
  <c r="G306" i="153" s="1"/>
  <c r="G307" i="153" s="1"/>
  <c r="G308" i="153" s="1"/>
  <c r="G309" i="153" s="1"/>
  <c r="G310" i="153" s="1"/>
  <c r="G311" i="153" s="1"/>
  <c r="G312" i="153" s="1"/>
  <c r="G313" i="153" s="1"/>
  <c r="G314" i="153" s="1"/>
  <c r="G315" i="153" s="1"/>
  <c r="G316" i="153" s="1"/>
  <c r="G317" i="153" s="1"/>
  <c r="G318" i="153" s="1"/>
  <c r="G319" i="153" s="1"/>
  <c r="G320" i="153" s="1"/>
  <c r="G155" i="153"/>
</calcChain>
</file>

<file path=xl/sharedStrings.xml><?xml version="1.0" encoding="utf-8"?>
<sst xmlns="http://schemas.openxmlformats.org/spreadsheetml/2006/main" count="4614" uniqueCount="687">
  <si>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</si>
  <si>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</si>
  <si>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</si>
  <si>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</si>
  <si>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</si>
  <si>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</si>
  <si>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</si>
  <si>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</si>
  <si>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</si>
  <si>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</si>
  <si>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</si>
  <si>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</si>
  <si>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</si>
  <si>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</si>
  <si>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</si>
  <si>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</si>
  <si>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</si>
  <si>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</si>
  <si>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</si>
  <si>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</si>
  <si>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</si>
  <si>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</si>
  <si>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</si>
  <si>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</si>
  <si>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</si>
  <si>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</si>
  <si>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</si>
  <si>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</si>
  <si>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</si>
  <si>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</si>
  <si>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</si>
  <si>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</si>
  <si>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</si>
  <si>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</si>
  <si>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</si>
  <si>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</si>
  <si>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</si>
  <si>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</si>
  <si>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</si>
  <si>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</si>
  <si>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</si>
  <si>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</si>
  <si>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</si>
  <si>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</si>
  <si>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</si>
  <si>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</si>
  <si>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</si>
  <si>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</si>
  <si>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</si>
  <si>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</si>
  <si>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</si>
  <si>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</si>
  <si>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</si>
  <si>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</si>
  <si>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</si>
  <si>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</si>
  <si>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</si>
  <si>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</si>
  <si>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</si>
  <si>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</si>
  <si>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</si>
  <si>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</si>
  <si>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</si>
  <si>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</si>
  <si>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</si>
  <si>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</si>
  <si>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</si>
  <si>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</si>
  <si>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</si>
  <si>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</si>
  <si>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</si>
  <si>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</si>
  <si>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</si>
  <si>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</si>
  <si>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</si>
  <si>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</si>
  <si>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</si>
  <si>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</si>
  <si>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</si>
  <si>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</si>
  <si>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</si>
  <si>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</si>
  <si>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</si>
  <si>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</si>
  <si>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</si>
  <si>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</si>
  <si>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</si>
  <si>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</si>
  <si>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</si>
  <si>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</si>
  <si>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</si>
  <si>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</si>
  <si>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</si>
  <si>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</si>
  <si>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</si>
  <si>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</si>
  <si>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</si>
  <si>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</si>
  <si>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</si>
  <si>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</si>
  <si>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</si>
  <si>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</si>
  <si>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</si>
  <si>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</si>
  <si>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</si>
  <si>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</si>
  <si>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</si>
  <si>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</si>
  <si>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</si>
  <si>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</si>
  <si>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</si>
  <si>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</si>
  <si>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</si>
  <si>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</si>
  <si>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</si>
  <si>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</si>
  <si>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</si>
  <si>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</si>
  <si>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</si>
  <si>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</si>
  <si>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</si>
  <si>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</si>
  <si>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</si>
  <si>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</si>
  <si>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</si>
  <si>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</si>
  <si>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</si>
  <si>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</si>
  <si>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BALANCE CAISSES ET BANQUE AU 30  Mai  2021</t>
  </si>
  <si>
    <t>Balance au          01 Mai  2021</t>
  </si>
  <si>
    <t>Balance au 30 Mai 2021</t>
  </si>
  <si>
    <t>MAI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</si>
  <si>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</si>
  <si>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</si>
  <si>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</si>
  <si>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</si>
  <si>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</si>
  <si>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</si>
  <si>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</si>
  <si>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</si>
  <si>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</si>
  <si>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</si>
  <si>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</si>
  <si>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</si>
  <si>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</si>
  <si>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</si>
  <si>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</si>
  <si>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</si>
  <si>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</si>
  <si>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</si>
  <si>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</si>
  <si>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</si>
  <si>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</si>
  <si>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</si>
  <si>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</si>
  <si>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</si>
  <si>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</si>
  <si>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</si>
  <si>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</si>
  <si>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</si>
  <si>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</si>
  <si>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</si>
  <si>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</si>
  <si>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</si>
  <si>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</si>
  <si>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</si>
  <si>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</si>
  <si>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</si>
  <si>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</si>
  <si>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</si>
  <si>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</si>
  <si>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</si>
  <si>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</si>
  <si>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</si>
  <si>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</si>
  <si>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</si>
  <si>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</si>
  <si>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</si>
  <si>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</si>
  <si>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</si>
  <si>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</si>
  <si>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</si>
  <si>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</si>
  <si>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</si>
  <si>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</si>
  <si>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</si>
  <si>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</si>
  <si>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</si>
  <si>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</si>
  <si>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</si>
  <si>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</si>
  <si>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</si>
  <si>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</si>
  <si>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</si>
  <si>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</si>
  <si>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</si>
  <si>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</si>
  <si>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</si>
  <si>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</si>
  <si>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</si>
  <si>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</si>
  <si>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</si>
  <si>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</si>
  <si>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</si>
  <si>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</si>
  <si>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</si>
  <si>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</si>
  <si>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</si>
  <si>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</si>
  <si>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</si>
  <si>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</si>
  <si>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</si>
  <si>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</si>
  <si>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Transfer fees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</si>
  <si>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</si>
  <si>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</si>
  <si>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</si>
  <si>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</si>
  <si>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</si>
  <si>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</si>
  <si>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</si>
  <si>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</si>
  <si>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</si>
  <si>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</si>
  <si>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</si>
  <si>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</si>
  <si>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</si>
  <si>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</si>
  <si>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</si>
  <si>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</si>
  <si>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Bonus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</si>
  <si>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</si>
  <si>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</si>
  <si>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</si>
  <si>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</si>
  <si>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</si>
  <si>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</si>
  <si>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</si>
  <si>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</si>
  <si>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Office Materials</t>
  </si>
  <si>
    <t>31/09/2022</t>
  </si>
  <si>
    <t>BALANCE 30 SEPTEMBRE 2022</t>
  </si>
  <si>
    <t>TOTAL DEPENSE EN SEPTEMBRE</t>
  </si>
  <si>
    <t>TOTAL RECU EN SEPTEMBRE</t>
  </si>
  <si>
    <t>BALANCE 01 SEPTEMBRE 2022</t>
  </si>
  <si>
    <t>BALANCE CAISSES ET BANQUE AU 30 SEPTEMBRE 2022</t>
  </si>
  <si>
    <t>BALANCE AU  01 SEPTEMBRE 2022</t>
  </si>
  <si>
    <t>Balance au 30 SEPTEMBRE 2022</t>
  </si>
  <si>
    <t>BALANCE 01 OCTOBRE 2022</t>
  </si>
  <si>
    <t>TOTAL RECU EN OCTOBRE</t>
  </si>
  <si>
    <t>TOTAL DEPENSE EN OCTOBRE</t>
  </si>
  <si>
    <t>BALANCE 31 OCTOBRE 2022</t>
  </si>
  <si>
    <t>BALANCE AU  01 OCTOBRE 2022</t>
  </si>
  <si>
    <t>Balance au 31 OCTOBRE 2022</t>
  </si>
  <si>
    <t>BALANCE CAISSES ET BANQUE AU 31 OCTOBRE 2022</t>
  </si>
  <si>
    <t>P10</t>
  </si>
  <si>
    <t>Donald</t>
  </si>
  <si>
    <t>BALANCE 01 NOVEMBRE 2022</t>
  </si>
  <si>
    <t>TOTAL RECU EN NOVEMBRE</t>
  </si>
  <si>
    <t>BALANCE 30 NOVEMBRE 2022</t>
  </si>
  <si>
    <t>Balance au 30 NOVEMBRE 2022</t>
  </si>
  <si>
    <t>BALANCE AU  01 NOVEMBRE 2022</t>
  </si>
  <si>
    <t>BALANCE CAISSES ET BANQUE AU 30 NOVEMBRE 2022</t>
  </si>
  <si>
    <t>BALANCE 01 DECEMBRE 2022</t>
  </si>
  <si>
    <t>BALANCE 31 DECEMBRE 2022</t>
  </si>
  <si>
    <t>BALANCE CAISSES ET BANQUE AU 31 DECEMBRE 2022</t>
  </si>
  <si>
    <t>BALANCE AU  01 DECEMBRE 2022</t>
  </si>
  <si>
    <t>Balance au 31 DECEMBRE 2022</t>
  </si>
  <si>
    <t>Internet</t>
  </si>
  <si>
    <t>T73</t>
  </si>
  <si>
    <t>D58</t>
  </si>
  <si>
    <t>Man Love</t>
  </si>
  <si>
    <t>BALANCE 01 JANVIER 2023</t>
  </si>
  <si>
    <t>BALANCE 31 JANVIER 2023</t>
  </si>
  <si>
    <t>BALANCE CAISSES ET BANQUE AU 31 JANVIER 2023</t>
  </si>
  <si>
    <t>BALANCE AU  01 JANVIER 2023</t>
  </si>
  <si>
    <t>Balance au 31 JANVIER 2023</t>
  </si>
  <si>
    <t>BALANCE 01 FEVRIER 2023</t>
  </si>
  <si>
    <t>BALANCE 28 FEVRIER 2023</t>
  </si>
  <si>
    <t>Balance au 28 FEVRIER 2023</t>
  </si>
  <si>
    <t>BALANCE AU  01 FEVRIER 2023</t>
  </si>
  <si>
    <t>BALANCE 01 MARS 2023</t>
  </si>
  <si>
    <t>TOTAL DEPENSE EN MARS</t>
  </si>
  <si>
    <t>BALANCE 31 MARS 2023</t>
  </si>
  <si>
    <t>BALANCE CAISSES ET BANQUE AU 31 MARS 2023</t>
  </si>
  <si>
    <t>BALANCE AU  01 MARS 2023</t>
  </si>
  <si>
    <t>Balance au 31 MARS 2023</t>
  </si>
  <si>
    <t>BALANCE CAISSES ET BANQUE AU 28 FEVRIER 2023</t>
  </si>
  <si>
    <t>Wildcat</t>
  </si>
  <si>
    <t>BALANCE 01 AVRIL 2023</t>
  </si>
  <si>
    <t>BALANCE 30 AVRIL2023</t>
  </si>
  <si>
    <t>BALANCE CAISSES ET BANQUE AU 30 AVRIL 2023</t>
  </si>
  <si>
    <t>BALANCE AU  01 AVRIL 2023</t>
  </si>
  <si>
    <t>Balance au 30 AVRIL 2023</t>
  </si>
  <si>
    <t>RALFF/wildcat</t>
  </si>
  <si>
    <t>BALANCE 01 MAI 2023</t>
  </si>
  <si>
    <t>BALANCE 31 MAI 2023</t>
  </si>
  <si>
    <t>BALANCE CAISSES ET BANQUE AU 31 MAI 2023</t>
  </si>
  <si>
    <t>BALANCE AU  01  MAI 2023</t>
  </si>
  <si>
    <t>Balance au 31 Mai 2023</t>
  </si>
  <si>
    <t>Office</t>
  </si>
  <si>
    <t>Donald-Roméo</t>
  </si>
  <si>
    <t>Oracle</t>
  </si>
  <si>
    <t>Frais de transfert charden farell à P29 et T73</t>
  </si>
  <si>
    <t>Oui</t>
  </si>
  <si>
    <t>Relevé</t>
  </si>
  <si>
    <t>Operation</t>
  </si>
  <si>
    <t>Travel Subsistence</t>
  </si>
  <si>
    <t>Recu caisse/D58</t>
  </si>
  <si>
    <t>Recu caisse/Hurielle</t>
  </si>
  <si>
    <t>Reçu caisse/Donald</t>
  </si>
  <si>
    <t>Reçu de caisse/Crépin</t>
  </si>
  <si>
    <t>BALANCE 01 JUIN 2023</t>
  </si>
  <si>
    <t>BALANCE 30 JUIN 2023</t>
  </si>
  <si>
    <t>BALANCE CAISSES ET BANQUE AU 30 JUIN 2023</t>
  </si>
  <si>
    <t>BALANCE AU  01  JUIN 2023</t>
  </si>
  <si>
    <t>Balance au 30 Juin 2023</t>
  </si>
  <si>
    <t>Dovi</t>
  </si>
  <si>
    <t>Grant</t>
  </si>
  <si>
    <t>Travel subsistence</t>
  </si>
  <si>
    <t>DOVI</t>
  </si>
  <si>
    <t>Reçu de Grace/Merveille</t>
  </si>
  <si>
    <t>Retour caisse/Merveille</t>
  </si>
  <si>
    <t>Trust building</t>
  </si>
  <si>
    <t>Retour caisse/P29</t>
  </si>
  <si>
    <t>Reçu de caisse/P29</t>
  </si>
  <si>
    <t>Achat billet Brazzaville - Pointe Noire /P29</t>
  </si>
  <si>
    <t>Reçu caisse/Oracle</t>
  </si>
  <si>
    <t>Achat billet Brazzaville - Loudima/Oracle</t>
  </si>
  <si>
    <t>Achat billet de bus: Loudima - Brazzaville/Oracle</t>
  </si>
  <si>
    <t>CONGO</t>
  </si>
  <si>
    <t>5.6</t>
  </si>
  <si>
    <t>4.5</t>
  </si>
  <si>
    <t>5.2.2</t>
  </si>
  <si>
    <t>4.3</t>
  </si>
  <si>
    <t>1.1.1.9</t>
  </si>
  <si>
    <t>1.1.1.1</t>
  </si>
  <si>
    <t>1.1.1.7</t>
  </si>
  <si>
    <t>1.1.1.4</t>
  </si>
  <si>
    <t>1.1.2.1</t>
  </si>
  <si>
    <t>4.4</t>
  </si>
  <si>
    <t>4.6</t>
  </si>
  <si>
    <t>2.2</t>
  </si>
  <si>
    <t>1.3.2</t>
  </si>
  <si>
    <t>Étiquettes de colonnes</t>
  </si>
  <si>
    <t>Étiquettes de lignes</t>
  </si>
  <si>
    <t>Total général</t>
  </si>
  <si>
    <t>Total Somme de Received</t>
  </si>
  <si>
    <t>Somme de Received</t>
  </si>
  <si>
    <t>Total Somme de Spent</t>
  </si>
  <si>
    <t>Somme de Spent</t>
  </si>
  <si>
    <t>Solde au 01/07/2023</t>
  </si>
  <si>
    <t>BALANCE 01 JUILLET 2023</t>
  </si>
  <si>
    <t>BALANCE CAISSES ET BANQUE AU 31 JUILLET 2023</t>
  </si>
  <si>
    <t>BALANCE AU  01  JUILLET 2023</t>
  </si>
  <si>
    <t>Balance au 31 Juillet 2023</t>
  </si>
  <si>
    <t>RAPPORT FINANCIER JUILLET 2023</t>
  </si>
  <si>
    <t>Frais de mission maitre Marie Hélène NANITEMIO du 02 au 07/07/2023 à Pointe-Noire /Cas NTONDELE et Consorts</t>
  </si>
  <si>
    <t>Achat credit  teléphonique MTN/PALF/Prémière partie Juillet 2023/Management</t>
  </si>
  <si>
    <t>Achat credit  teléphonique MTN/PALF/Prémière partie Juillet 2023/Legal</t>
  </si>
  <si>
    <t>Achat credit  teléphonique MTN/PALF/Prémière partie Juillet 2023/Legal Volontaire</t>
  </si>
  <si>
    <t>Achat credit  teléphonique MTN/PALF/Prémière partie Juillet 2023/Investigation</t>
  </si>
  <si>
    <t>Achat credit  teléphonique MTN/PALF/Prémière partie Juillet 2023/Media</t>
  </si>
  <si>
    <t>Achat credit  teléphonique Airtel/PALF/Prémière partie Juillet 2023/Management</t>
  </si>
  <si>
    <t>Achat credit  teléphonique Airtel/PALF/Prémière partie Juillet 2023/Legal</t>
  </si>
  <si>
    <t>Achat credit  teléphonique Airtel/PALF/Prémière partie Juillet 2023/Investigation</t>
  </si>
  <si>
    <t>Achat credit  teléphonique Airtel/PALF/Prémière partie Juillet 2023/Media</t>
  </si>
  <si>
    <t>Bonus média portant sur l'interpellation,le 28 Juin 2023 à Pointe-Noire de 04 Présumés trafiquants/Télé Congo</t>
  </si>
  <si>
    <t>Decharge</t>
  </si>
  <si>
    <t>Reparation frigo/Bureau PALF</t>
  </si>
  <si>
    <t>Merveille/retour caisse acompte frais d'hebergement Hélène</t>
  </si>
  <si>
    <t>Frais de transfert charden farell à Donald</t>
  </si>
  <si>
    <t>BCI-3667353</t>
  </si>
  <si>
    <t>Bonus du mois de Juin 2023/Grace</t>
  </si>
  <si>
    <t>Bonus du mois de Juin 2023/Merveille</t>
  </si>
  <si>
    <t>Bonus du mois de Juin 2023/Evariste</t>
  </si>
  <si>
    <t>Bonus du mois de Juin 2023/Hurielle</t>
  </si>
  <si>
    <t>Bonus opération du 28 Juin 2023 à Pointe-Noire / Evariste</t>
  </si>
  <si>
    <t>Bonus opération du 28 Juin 2023 à Pointe-Noire / Grace</t>
  </si>
  <si>
    <t>Bonus opération du 28 Juin 2023 à Pointe-Noire / Merveille</t>
  </si>
  <si>
    <t>Grace/retour caisse sur incident OP</t>
  </si>
  <si>
    <t>Reglement électricité periode Mai-Juin 2023</t>
  </si>
  <si>
    <t>Taxes sur Reglement électricité periode Mai-Juin 2023</t>
  </si>
  <si>
    <t>Frais de transfert charden farell à T73,Crépin,D58 et P29</t>
  </si>
  <si>
    <t>Team Building</t>
  </si>
  <si>
    <t>Bonus média portant sur l'interpellation,le 28 Juin 2023 à Pointe-Noire de 04 Présumés trafiquants de perroquets gris du gabon</t>
  </si>
  <si>
    <t>Bonus du mois de Juin 2023/Crépin</t>
  </si>
  <si>
    <t>Bonus opération du 28 Juin 2023 à Pointe-Noire /Crépin</t>
  </si>
  <si>
    <t>Bonus du mois de Juin 2023/Donald-Roméo</t>
  </si>
  <si>
    <t>Bonus opération du 28 Juin 2023 à Pointe-Noire /Donald-Roméo</t>
  </si>
  <si>
    <t>Donald-Roméo/Retour caisse</t>
  </si>
  <si>
    <t>Frais de mission maitre Marie Hélène NANITEMIO du 12 au 14/07/2023 à Pointe-Noire /Cas NTONDELE et Consorts</t>
  </si>
  <si>
    <t>Impression cartes de visite coordinateur/EAGLE</t>
  </si>
  <si>
    <t>Frais d'installation pack office 2013 ET 2013</t>
  </si>
  <si>
    <t>Website</t>
  </si>
  <si>
    <t>Achat 01 Cartouche d'encre HP 216A et 01 cartouche SP 311</t>
  </si>
  <si>
    <t>BCI - 3667364/56</t>
  </si>
  <si>
    <t>Achat matériel de plomberie pour reparation-Bureau PALF</t>
  </si>
  <si>
    <t>Main d'œuvre reparation meetigeur et robinet</t>
  </si>
  <si>
    <t>Achat credit  teléphonique MTN/PALF/deuxième partie Juillet 2023/Management</t>
  </si>
  <si>
    <t>Achat credit  teléphonique MTN/PALF/deuxième partie Juillet 2023/Legal</t>
  </si>
  <si>
    <t>Achat credit  teléphonique MTN/PALF/deuxième partie Juillet 2023/Legal Volontaire</t>
  </si>
  <si>
    <t>Achat credit  teléphonique MTN/PALF/deuxième partie Juillet 2023/Investigation</t>
  </si>
  <si>
    <t>Achat credit  teléphonique MTN/PALF/deuxième partie Juillet 2023/Media</t>
  </si>
  <si>
    <t>Achat credit  teléphonique Airtel/PALF/deuxième partie Juillet 2023/Management</t>
  </si>
  <si>
    <t>Achat credit  teléphonique Airtel/PALF/deuxième partie Juillet 2023/Legal</t>
  </si>
  <si>
    <t>Achat credit  teléphonique Airtel/PALF/deuxième partie Juillet 2023/Legal Volontaire</t>
  </si>
  <si>
    <t>Achat credit  teléphonique Airtel/PALF/deuxième partie Juillet 2023/Investigation</t>
  </si>
  <si>
    <t>Achat 02 Robinets/Plomberie Bureau PALF</t>
  </si>
  <si>
    <t>Frais de mission maitre Marie Hélène NANITEMIO du 19 au 21/07/2023 à Pointe-Noire /Cas NTONDELE et Consorts</t>
  </si>
  <si>
    <t>Bonus média portant sur les audiences du 20 Juillet au TGI de Dolisie et TGI de Pointe-Noire</t>
  </si>
  <si>
    <t>Impression cartes de visite coordinateur/PALF</t>
  </si>
  <si>
    <t>Achat produit d'entretien (Lait,sucre,papier toilette,javel,produit nettoyant)</t>
  </si>
  <si>
    <t>Bonus média portant sur la condamnation ferme de trafiquants d'ivoire par la cour d'appel de Dolisie</t>
  </si>
  <si>
    <t>BCI-36545458-34</t>
  </si>
  <si>
    <t xml:space="preserve">Achat Eau Minerale 03  maxi mayo de 19 Litres </t>
  </si>
  <si>
    <t>Frais de mission maitre Marie Hélène à Sibiti du 27 au 29/07/2023 Suivi audience cas Darniche et Consorts</t>
  </si>
  <si>
    <t>Achat carte sim enquete/ Volontaire IT87</t>
  </si>
  <si>
    <t>Achat credit  teléphonique MTN/PALF/Juillet 2023/Investigation Volontaire</t>
  </si>
  <si>
    <t>Bonus media portant sur 2 ans de condamnation ferme de deux trafiquants d'ivoire par la cour d'appel de Dolisie</t>
  </si>
  <si>
    <t>Règlement prestation technicienne de surface (mois de Juillet  2023)</t>
  </si>
  <si>
    <t>Reglemeent Facture Internet (Canal Box_Periode du 31/07 au 1/09/ 2023)</t>
  </si>
  <si>
    <t>Grace/retour caisse avance sur salaire</t>
  </si>
  <si>
    <t>Crepin</t>
  </si>
  <si>
    <t>IT87</t>
  </si>
  <si>
    <t>P29/retour caisse avance sur salaire</t>
  </si>
  <si>
    <t>Entretretien général Jardin, Bureau PALF Mois de Juillet 2023</t>
  </si>
  <si>
    <t>P29/retour flash nmoney</t>
  </si>
  <si>
    <t>Reglement Facture Gardiennage Mois de Juin 2023/3654555</t>
  </si>
  <si>
    <t>Frais bancaire/56</t>
  </si>
  <si>
    <t>Bank fees</t>
  </si>
  <si>
    <t>Paiement Honoraire Me LOCKO/Mois de Mai  2023/3654556</t>
  </si>
  <si>
    <t>Lawyer Fees</t>
  </si>
  <si>
    <t>Acompte honoraire contrat N°59 Pointe-Noire/Cas NTONDELE Martial et consorts</t>
  </si>
  <si>
    <t>Retrait especes/appro caisse/bord n°3654558</t>
  </si>
  <si>
    <t>Paiement CNSS deuxième trismestre 2023 /Avril,Mai et Juin  2023/Crépin IBOUILI IBOUILI</t>
  </si>
  <si>
    <t>Paiement CNSS premier trismestre 2023 /Avril,Mai et Juin  2023/Hurielle MFOULOU</t>
  </si>
  <si>
    <t>Paiement CNSS premier trismestre 2023 /Avril,Mai et Juin  2023/Donald-Roméo PINDI BINGA</t>
  </si>
  <si>
    <t>Paiement CNSS premier trismestre 2023 /Avril,Mai et Juin  2023/MOLENDE OVOULAS</t>
  </si>
  <si>
    <t>Paiement CNSS premier trismestre 2023 /Avril,Mai et Juin  2023/Merveille MAHANGA</t>
  </si>
  <si>
    <t>Paiement CNSS premier trismestre 2023 /Avril,Mai et Juin  2023/Evariste LELOUSSI</t>
  </si>
  <si>
    <t>Retrait espèces chèque N°3667360</t>
  </si>
  <si>
    <t>Frais bancaire/Compte 56</t>
  </si>
  <si>
    <t>Reglement loyer mois de Juin 2023/Pluriel solution ch N°3667362</t>
  </si>
  <si>
    <t>Retrait espèces chèque N°3667364</t>
  </si>
  <si>
    <t>Reglement loyer mois de Juillet 2023/Pluriel solution ch N°3667365</t>
  </si>
  <si>
    <t>Fonds reçu de L'UE</t>
  </si>
  <si>
    <t>Paiement salaire mois de Juillet 2023/ Crépin IBOUILI IBOUILI/ CH N°3667366</t>
  </si>
  <si>
    <t>Paiement salaire mois de Juillet 2023/ Evariste LELOUSSI/ CH N°3667370</t>
  </si>
  <si>
    <t>Paiement salaire mois de Juillet 2023/ Merveille MAHANGA/ CH N°3667369</t>
  </si>
  <si>
    <t>Paiement salaire mois de Juillet 2023/ Grace Molende/ CH N°3667368</t>
  </si>
  <si>
    <t>Paiement salaire mois de Juillet 2023/ DOVI ZENNAWOE Homéfa/ CH N°3667371</t>
  </si>
  <si>
    <t>Reglement Honoraire du mois de Juillet 2023/P29/ch:3667372</t>
  </si>
  <si>
    <t>Reglement Honoraire du mois de Juillet 2023/T73/ch:3667373</t>
  </si>
  <si>
    <t>Reglement Honoraire du mois de Juillet 2023/D58/ch:3667374</t>
  </si>
  <si>
    <t>Billet: Pointe-Noire-Brazzaville/Crépin</t>
  </si>
  <si>
    <t>CREPIN - CONGO Frais de d'Hotel 02 Nuitéés du 30/06/ au 02/07/2023 à Pointe-Noire</t>
  </si>
  <si>
    <t>CREPIN - CONGO Food-Allowance 03 Nuitées du 05 au 08/07/2023 à Dolisie</t>
  </si>
  <si>
    <t>Billet: Brazzaville-Dolisie/Crépin</t>
  </si>
  <si>
    <t>Billet: Dolisie-Brazzaville/Crépin</t>
  </si>
  <si>
    <t>Cumul frais de Jail Visit mois de Juillet 2023/Crépin IBOUILI</t>
  </si>
  <si>
    <t>Jail visit</t>
  </si>
  <si>
    <t>CREPIN - CONGO Frais de d'Hotel 03 Nuitées à  Dolisie du 05 au 08/07/2023</t>
  </si>
  <si>
    <t>Bonus de 18 gendarmes de l'intervention pour l'opération du 29/07/2023 à Brazzaville</t>
  </si>
  <si>
    <t>Bonus 01 agent EF pour l'opération du 29/07/2023 à Brazzaville</t>
  </si>
  <si>
    <t>Cumul frais de Transport Local mois de Juillet 2023/Crépin IBOUILI</t>
  </si>
  <si>
    <t>Achat billet pour  BRAZZAVILLE - DJAMBALA /D58</t>
  </si>
  <si>
    <t>D58 - CONGO Frais d'hotel du 05 au 10/07/2023 à Djambala (05 nuitées)</t>
  </si>
  <si>
    <t>Achat billet pour Djambala - Lekana /D58</t>
  </si>
  <si>
    <t>Achat billet pour Lekana - BRAZZAVILLE /D58</t>
  </si>
  <si>
    <t>D58 - CONGO Frais d'hotel du 10 au 12/07/2023 à Lekana (02 nuitées)</t>
  </si>
  <si>
    <t>Cumul frais de Trust Building du mois de Juillet 2023 / D58</t>
  </si>
  <si>
    <t>Trust Building</t>
  </si>
  <si>
    <t>Frais de Visite Appartement OP/Diata Tonton Old</t>
  </si>
  <si>
    <t>Frais de Visite Appartement OP/Stade Massamba Débat</t>
  </si>
  <si>
    <t>Frais de Visite Appartement OP/Clé phénix</t>
  </si>
  <si>
    <t>Cumul frais de transport local mois de Juillet 2023/D58</t>
  </si>
  <si>
    <t>Cumul Frais de Transport Local du mois Juillet 2023/Dovi</t>
  </si>
  <si>
    <t>Rafraichissement des Gendarmes avant l'OP</t>
  </si>
  <si>
    <t>Cumul Frais de transport local mois de Juillet 2023/Hurielle</t>
  </si>
  <si>
    <t>Reçu de Caisse/ IT87</t>
  </si>
  <si>
    <t>Cumul frais de Trust Building Mois de Juillet 2023/IT87</t>
  </si>
  <si>
    <t>Taxi : B52 - Port Autonome/ RDV/IT87</t>
  </si>
  <si>
    <t>Taxi : Port Autonome - Domicile/ Retour /IT87</t>
  </si>
  <si>
    <t>Cumul frais de Ration Journalière Mois de Juillet 2023/IT87</t>
  </si>
  <si>
    <t>Cumul Frais de Transport Local Mois de Juillet 2023/IT87</t>
  </si>
  <si>
    <t>Achat Raffraichissement avant OP des gendarmes</t>
  </si>
  <si>
    <t>Cumul frais de transport local mois de Juillet 2023/Merveille MAHANGA</t>
  </si>
  <si>
    <t>reçu de caisse/T73</t>
  </si>
  <si>
    <t>achat billet : brazzaville - makoua/T73</t>
  </si>
  <si>
    <t>T73 - CONGO Food Allowance du 05 au 12/07/2023 (07 nuitées)</t>
  </si>
  <si>
    <t>T73 - CONGO Frais d'Hotel du 05 au 08/07/2023 (03 nuitées) à makoua</t>
  </si>
  <si>
    <t xml:space="preserve"> achat billet : makoua - boundji /T73</t>
  </si>
  <si>
    <t>T73 - CONGO Frais d'Hotel du 08 au 09/07/2023 (01 nuitée) à boundji</t>
  </si>
  <si>
    <t>achat billet : boundji - ewo/T73</t>
  </si>
  <si>
    <t>T73 - CONGO Frais d'Hotel du 09 au 12/07/2023 (03 nuitées) à ewo</t>
  </si>
  <si>
    <t>achat billet : brazzaville - pointe noire/T73</t>
  </si>
  <si>
    <t>T73 - CONGO Food Allowance du 18 au 26/07/2023 (08 nuitées)</t>
  </si>
  <si>
    <t>T73 - CONGO Frais d'Hotel du 18 au 26/07/2023 (08 nuitées) à pointe noire</t>
  </si>
  <si>
    <t>achat billet: pointe noire - brazzaville/T73</t>
  </si>
  <si>
    <t>Cumul frais de trust Building du mois de Juillet 2023/T73</t>
  </si>
  <si>
    <t>frais demarcheur Recherche App OP à Brazzaville</t>
  </si>
  <si>
    <t>Cumul frais de transport local du mois de Juillet 2023/T73</t>
  </si>
  <si>
    <t>Achat produits pharmaceutique du prevenu MALONGA</t>
  </si>
  <si>
    <t>Frais d'imprission de 12 photos procédure juridique</t>
  </si>
  <si>
    <t>DONALD - CONGO Frais d'hôtel 04 Nuitées du 30/06 au 04/07/2023 à Pointe Noire</t>
  </si>
  <si>
    <t>Achat cartouche A17 et Ram papier pour la procedure gendarmerie</t>
  </si>
  <si>
    <t>DONALD - CONGO Frais d'hôtel 03 Nuitées du 04 au 07/07/2023 à Pointe Noire</t>
  </si>
  <si>
    <t>Achat billet Pointe-Noire-Brazzaville/Donald-Roméo</t>
  </si>
  <si>
    <t>Retour caisse/Donald</t>
  </si>
  <si>
    <t>Achat billet Brazzaville-Pointe-Noire/Donald-Roméo</t>
  </si>
  <si>
    <t>DONALD - CONGO Food Allowance Mission du 12 au 15/07/2023 _ 03 nuitées</t>
  </si>
  <si>
    <t>DONALD - CONGO Frais d'hôtel 03 Nuitées du 12 au 15/07/2023 à Pointe Noire</t>
  </si>
  <si>
    <t>Achat billet Brazzaville-Dolisie/Donald-Roméo</t>
  </si>
  <si>
    <t>DONALD - CONGO Food Allowance Mission du 19 au 29/07/2023 (10 nuitées)</t>
  </si>
  <si>
    <t>DONALD - CONGO Frais d'hôtel 08 Nuitées du 19 au 27/07/2023 à Dolisie</t>
  </si>
  <si>
    <t>Achat billet Dolisie - Sibiti /Donald-Roméo</t>
  </si>
  <si>
    <t xml:space="preserve">Transport </t>
  </si>
  <si>
    <t>Cumul frais de Jail Visits mois Juillet 2023/Donald-Roméo</t>
  </si>
  <si>
    <t>DONALD - CONGO Frais d'hôtel/ 02 Nuitées du 27 au 29/07/2023 à Sibiti</t>
  </si>
  <si>
    <t>Achat billet Dolisie - Nkayi/ Donald-Roméo</t>
  </si>
  <si>
    <t>Achat billet Nkayi-Brazzaville/Donald-Roméo</t>
  </si>
  <si>
    <t>Cumul Frais de transport local du mois Juillet 2023/Donald</t>
  </si>
  <si>
    <t>Achat billet Pointe Noire-Brazzaville/Evariste</t>
  </si>
  <si>
    <t>EVARISTE - CONGO Frais d'hôtel du 25 juin au 02 juillet 2023 (7 nuitées) à Pointe Noire</t>
  </si>
  <si>
    <t>Reçu de la caisse/Evariste</t>
  </si>
  <si>
    <t>Achat carburant pour la BJ de la Gendarmerie</t>
  </si>
  <si>
    <t xml:space="preserve">Achat jus et biscuits (rafraichissement) pour 10 gendarmes lors de l'opération. </t>
  </si>
  <si>
    <t>Cumul frais de Transport local mois de Juillet 2023/EVARISTE LELOUSSI</t>
  </si>
  <si>
    <t>Retour Caisse/Grace MOLENDE</t>
  </si>
  <si>
    <t>Cumul frais de Transport Local mois de Juillet 2023/Grace MOLENDE</t>
  </si>
  <si>
    <t>Billet Loudima - Gare routière de Sibiti /Oracle</t>
  </si>
  <si>
    <t>Billet Gare routière de Sibiti - Loudima/Oracle</t>
  </si>
  <si>
    <t>Achat billet de bus Brazzaville - Pointe-Noire/Oracle</t>
  </si>
  <si>
    <t>ORACLE - CONGO Food allowance du 19 au 21/07/2023 (02 nuitées)</t>
  </si>
  <si>
    <t>ORACLE - CONGO Frais d’hôtel du 19 au 21 juillet 2023 à Pointe Noire (02 nuitées)</t>
  </si>
  <si>
    <t>Achat billet de bus: Pointe-Noire - Brazzaville/Oracle</t>
  </si>
  <si>
    <t>ORACLE - CONGO Food allowance du 26 au 28/07/2023 (02 nuitées)</t>
  </si>
  <si>
    <t>ORACLE - CONGO Frais d’hôtel du 26 au 28 juillet 2023 (02 nuitées) à Pointe Noire</t>
  </si>
  <si>
    <t>Rafraichissement avant OP</t>
  </si>
  <si>
    <t>Frais de Taxi (Course) CHU - Kintele/Oracle</t>
  </si>
  <si>
    <t>Frais de Taxi (Course) Kintele - Plateaux /Oracle</t>
  </si>
  <si>
    <t>Cumul frais de Jail visits mois de Juillet 2023/Oracle</t>
  </si>
  <si>
    <t>Cumul frais de ration journalière mois de Juillet 2023/Oracle</t>
  </si>
  <si>
    <t>Cumul frais de Transport Local mois de Juillet 2023/Oracle</t>
  </si>
  <si>
    <t>Achat billet brazzaville-ouesso/P29</t>
  </si>
  <si>
    <t>P29 - CONGO Food allowance mission du 05-07au 12-07-2023 (07 nuitées)</t>
  </si>
  <si>
    <t>Achat billet ouesso-owando/P29</t>
  </si>
  <si>
    <t>P29 - CONGO Frais d'Hotel 03 nuitées du 05 au 08/07/2023  à Ouesso</t>
  </si>
  <si>
    <t>Achat billet owando - Oyo/P29</t>
  </si>
  <si>
    <t>P29 - CONGO Frais d'Hotel 02 nuitées du 08 au 10/07/2023  à Owando</t>
  </si>
  <si>
    <t>Achat billet oyo-Brazzaville/P29</t>
  </si>
  <si>
    <t>P29 - CONGO Frais d'Hotel 02 nuitées du 10 au 12/07/2023  à Oyo</t>
  </si>
  <si>
    <t xml:space="preserve">P29 - CONGO Food allowance mission du 18-07au 26-07-2023 </t>
  </si>
  <si>
    <t>Achat billet  Pointe Noire - Brazzaville/P29</t>
  </si>
  <si>
    <t>P29 - CONGO Frais d'Hotel 08 nuitées du 18 au 26/07/2023 à pointe noire</t>
  </si>
  <si>
    <t>Cumul frais de Trust Bulding mois de Juillet 2023/P29</t>
  </si>
  <si>
    <t>Cumul frais de transport local du mois de Juillet 2023/P29</t>
  </si>
  <si>
    <t>Equipement</t>
  </si>
  <si>
    <t>Achat eau minerale/Bureau</t>
  </si>
  <si>
    <t>Collation (Achat boisson et biscuits)</t>
  </si>
  <si>
    <t>4.2</t>
  </si>
  <si>
    <t>D58 - CONGO Food allowance du 05 au12 /07/2023 (07 nuitées)</t>
  </si>
  <si>
    <t>D58 - CONGO  Frais d'hotel du 28 au 30/07/2023 à Brazzaville  (02 nuitées)</t>
  </si>
  <si>
    <t>Frais Demarcheur pour location Appartement OP</t>
  </si>
  <si>
    <t>RALFF-CO4741</t>
  </si>
  <si>
    <t>RALFF-CO4742</t>
  </si>
  <si>
    <t>RALFF-CO4743</t>
  </si>
  <si>
    <t>RALFF-CO4744</t>
  </si>
  <si>
    <t>RALFF-CO4745</t>
  </si>
  <si>
    <t>RALFF-CO4746</t>
  </si>
  <si>
    <t>RALFF-CO4747</t>
  </si>
  <si>
    <t>RALFF-CO4748</t>
  </si>
  <si>
    <t>RALFF-CO4749</t>
  </si>
  <si>
    <t>RALFF-CO4750</t>
  </si>
  <si>
    <t>RALFF-CO4751</t>
  </si>
  <si>
    <t>RALFF-CO4752</t>
  </si>
  <si>
    <t>RALFF-CO4753</t>
  </si>
  <si>
    <t>RALFF-CO4754</t>
  </si>
  <si>
    <t>RALFF-CO4755</t>
  </si>
  <si>
    <t>RALFF-CO4756</t>
  </si>
  <si>
    <t>RALFF-CO4757</t>
  </si>
  <si>
    <t>RALFF-CO4758</t>
  </si>
  <si>
    <t>RALFF-CO4759</t>
  </si>
  <si>
    <t>RALFF-CO4760</t>
  </si>
  <si>
    <t>RALFF-CO4761</t>
  </si>
  <si>
    <t>RALFF-CO4762</t>
  </si>
  <si>
    <t>RALFF-CO4763</t>
  </si>
  <si>
    <t>RALFF-CO4764</t>
  </si>
  <si>
    <t>RALFF-CO4765</t>
  </si>
  <si>
    <t>RALFF-CO4766</t>
  </si>
  <si>
    <t>RALFF-CO4767</t>
  </si>
  <si>
    <t>RALFF-CO4768</t>
  </si>
  <si>
    <t>RALFF-CO4769</t>
  </si>
  <si>
    <t>RALFF-CO4770</t>
  </si>
  <si>
    <t>RALFF-CO4771</t>
  </si>
  <si>
    <t>RALFF-CO4772</t>
  </si>
  <si>
    <t>RALFF-CO4773</t>
  </si>
  <si>
    <t>RALFF-CO4774</t>
  </si>
  <si>
    <t>RALFF-CO4775</t>
  </si>
  <si>
    <t>RALFF-CO4776</t>
  </si>
  <si>
    <t>RALFF-CO4777</t>
  </si>
  <si>
    <t>RALFF-CO4778</t>
  </si>
  <si>
    <t>RALFF-CO4779</t>
  </si>
  <si>
    <t>RALFF-CO4780</t>
  </si>
  <si>
    <t>RALFF-CO4781</t>
  </si>
  <si>
    <t>RALFF-CO4782</t>
  </si>
  <si>
    <t>RALFF-CO4783</t>
  </si>
  <si>
    <t>RALFF-CO4784</t>
  </si>
  <si>
    <t>RALFF-CO4785</t>
  </si>
  <si>
    <t>RALFF-CO4786</t>
  </si>
  <si>
    <t>RALFF-CO4787</t>
  </si>
  <si>
    <t>RALFF-CO4788</t>
  </si>
  <si>
    <t>RALFF-CO4789</t>
  </si>
  <si>
    <t>RALFF-CO4790</t>
  </si>
  <si>
    <t>RALFF-CO4791</t>
  </si>
  <si>
    <t>RALFF-CO4792</t>
  </si>
  <si>
    <t>RALFF-CO4793</t>
  </si>
  <si>
    <t>RALFF-CO4794</t>
  </si>
  <si>
    <t>RALFF-CO4795</t>
  </si>
  <si>
    <t>RALFF-CO4796</t>
  </si>
  <si>
    <t>RALFF-CO4797</t>
  </si>
  <si>
    <t>RALFF-CO4798</t>
  </si>
  <si>
    <t>RALFF-CO4799</t>
  </si>
  <si>
    <t>RALFF-CO4800</t>
  </si>
  <si>
    <t>RALFF-CO4801</t>
  </si>
  <si>
    <t>RALFF-CO4802</t>
  </si>
  <si>
    <t>RALFF-CO4803</t>
  </si>
  <si>
    <t>RALFF-CO4804</t>
  </si>
  <si>
    <t>RALFF-CO4805</t>
  </si>
  <si>
    <t>RALFF-CO4806</t>
  </si>
  <si>
    <t>RALFF-CO4807</t>
  </si>
  <si>
    <t>RALFF-CO4808</t>
  </si>
  <si>
    <t>RALFF-CO4809</t>
  </si>
  <si>
    <t>RALFF-CO4810</t>
  </si>
  <si>
    <t>RALFF-CO4811</t>
  </si>
  <si>
    <t>RALFF-CO4812</t>
  </si>
  <si>
    <t>RALFF-CO4813</t>
  </si>
  <si>
    <t>RALFF-CO4814</t>
  </si>
  <si>
    <t>RALFF-CO4815</t>
  </si>
  <si>
    <t>RALFF-CO4816</t>
  </si>
  <si>
    <t>RALFF-CO4817</t>
  </si>
  <si>
    <t>RALFF-CO4818</t>
  </si>
  <si>
    <t>RALFF-CO4819</t>
  </si>
  <si>
    <t>RALFF-CO4820</t>
  </si>
  <si>
    <t>RALFF-CO4821</t>
  </si>
  <si>
    <t>RALFF-CO4822</t>
  </si>
  <si>
    <t>RALFF-CO4823</t>
  </si>
  <si>
    <t>RALFF-CO4824</t>
  </si>
  <si>
    <t>RALFF-CO4825</t>
  </si>
  <si>
    <t>RALFF-CO4826</t>
  </si>
  <si>
    <t>RALFF-CO4827</t>
  </si>
  <si>
    <t>RALFF-CO4828</t>
  </si>
  <si>
    <t>RALFF-CO4829</t>
  </si>
  <si>
    <t>RALFF-CO4830</t>
  </si>
  <si>
    <t>RALFF-CO4831</t>
  </si>
  <si>
    <t>RALFF-CO4832</t>
  </si>
  <si>
    <t>RALFF-CO4833</t>
  </si>
  <si>
    <t>RALFF-CO4834</t>
  </si>
  <si>
    <t>RALFF-CO4835</t>
  </si>
  <si>
    <t>RALFF-CO4836</t>
  </si>
  <si>
    <t>RALFF-CO4837</t>
  </si>
  <si>
    <t>RALFF-CO4838</t>
  </si>
  <si>
    <t>RALFF-CO4839</t>
  </si>
  <si>
    <t>RALFF-CO4840</t>
  </si>
  <si>
    <t>RALFF-CO4841</t>
  </si>
  <si>
    <t>RALFF-CO4842</t>
  </si>
  <si>
    <t>RALFF-CO4843</t>
  </si>
  <si>
    <t>RALFF-CO4844</t>
  </si>
  <si>
    <t>RALFF-CO4845</t>
  </si>
  <si>
    <t>RALFF-CO4846</t>
  </si>
  <si>
    <t>RALFF-CO4847</t>
  </si>
  <si>
    <t>RALFF-CO4848</t>
  </si>
  <si>
    <t>RALFF-CO4849</t>
  </si>
  <si>
    <t>RALFF-CO4850</t>
  </si>
  <si>
    <t>RALFF-CO4851</t>
  </si>
  <si>
    <t>BALANCE 31 JUILLET 2023</t>
  </si>
  <si>
    <t>Paiement salaire mois de Juillet 2023/PINDI BINGA Donald-Roméo/ CH N°3667367</t>
  </si>
  <si>
    <t>Achat Carburant Goupe electrogène</t>
  </si>
  <si>
    <t>ORACLE - CONGO Frais d’hôtel du 06 au 08 juillet 2023 (02 nuitées) à Sibiti</t>
  </si>
  <si>
    <t>ORACLE - CONGO Food allowance du 06 au 08 juillet 2023 (02 nuitées) à Sibiti</t>
  </si>
  <si>
    <t>Achat billet : Ewo - Brazzaville /T73</t>
  </si>
  <si>
    <t>Achat 01 Téléphone Camon 20 et Accessoirs/Agents PALF/Dovi</t>
  </si>
  <si>
    <t>Achat 01 Téléphone Camon 20 et Accessoirs/Bureau PALF</t>
  </si>
  <si>
    <t>Achat 02 Téléphones Camon 20 et Accessoirs/Agents PALF/P29 et T73</t>
  </si>
  <si>
    <t>Equipements</t>
  </si>
  <si>
    <r>
      <t>Cumul Ration 02 Prévenus après OP /</t>
    </r>
    <r>
      <rPr>
        <sz val="11"/>
        <color rgb="FFFF0000"/>
        <rFont val="Arial Narrow"/>
        <family val="2"/>
      </rPr>
      <t>Hurielle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</si>
</sst>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\ _F_C_F_A_-;\-* #,##0\ _F_C_F_A_-;_-* &quot;-&quot;\ _F_C_F_A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[$-409]d\-mmm\-yy;@"/>
    <numFmt numFmtId="168" formatCode="[$-40C]0"/>
    <numFmt numFmtId="169" formatCode="&quot; &quot;#,##0&quot;    &quot;;&quot;-&quot;#,##0&quot;    &quot;;&quot; -&quot;#&quot;    &quot;;&quot; &quot;@&quot; &quot;"/>
    <numFmt numFmtId="170" formatCode="[$]d\ mmm\ yyyy;@"/>
    <numFmt numFmtId="171" formatCode="_-* #,##0\ _€_-;\-* #,##0\ _€_-;_-* &quot;-&quot;??\ _€_-;_-@"/>
    <numFmt numFmtId="172" formatCode="[$-40C]dd\-mmm\-yy;@"/>
    <numFmt numFmtId="173" formatCode="[$-40C]General"/>
    <numFmt numFmtId="174" formatCode="d\-mmm\-yy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00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3" fillId="0" borderId="0" applyBorder="0" applyProtection="0"/>
    <xf numFmtId="9" fontId="1" fillId="0" borderId="0" applyFont="0" applyFill="0" applyBorder="0" applyAlignment="0" applyProtection="0"/>
    <xf numFmtId="0" fontId="1" fillId="0" borderId="0" applyBorder="0">
      <alignment vertical="center"/>
    </xf>
    <xf numFmtId="165" fontId="1" fillId="0" borderId="0" applyFont="0" applyFill="0" applyBorder="0" applyAlignment="0" applyProtection="0">
      <alignment vertical="center"/>
    </xf>
  </cellStyleXfs>
  <cellXfs count="49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Border="1"/>
    <xf numFmtId="166" fontId="0" fillId="0" borderId="0" xfId="0" applyNumberForma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6" fontId="14" fillId="0" borderId="0" xfId="1" applyNumberFormat="1" applyFont="1" applyBorder="1" applyProtection="1">
      <protection locked="0"/>
    </xf>
    <xf numFmtId="166" fontId="15" fillId="0" borderId="0" xfId="1" applyNumberFormat="1" applyFont="1" applyBorder="1" applyProtection="1">
      <protection locked="0"/>
    </xf>
    <xf numFmtId="166" fontId="12" fillId="0" borderId="0" xfId="0" applyNumberFormat="1" applyFont="1"/>
    <xf numFmtId="166" fontId="13" fillId="0" borderId="0" xfId="0" applyNumberFormat="1" applyFont="1" applyAlignment="1">
      <alignment vertical="center"/>
    </xf>
    <xf numFmtId="0" fontId="16" fillId="0" borderId="0" xfId="0" applyFont="1"/>
    <xf numFmtId="0" fontId="4" fillId="0" borderId="0" xfId="0" applyFont="1"/>
    <xf numFmtId="0" fontId="5" fillId="7" borderId="0" xfId="0" applyFont="1" applyFill="1" applyAlignment="1">
      <alignment horizontal="center"/>
    </xf>
    <xf numFmtId="0" fontId="5" fillId="0" borderId="0" xfId="0" applyFont="1"/>
    <xf numFmtId="166" fontId="4" fillId="0" borderId="0" xfId="1" applyNumberFormat="1" applyFont="1" applyFill="1" applyProtection="1"/>
    <xf numFmtId="166" fontId="5" fillId="0" borderId="3" xfId="1" applyNumberFormat="1" applyFont="1" applyFill="1" applyBorder="1" applyAlignment="1" applyProtection="1">
      <alignment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/>
    <xf numFmtId="166" fontId="4" fillId="10" borderId="5" xfId="1" applyNumberFormat="1" applyFont="1" applyFill="1" applyBorder="1" applyProtection="1"/>
    <xf numFmtId="166" fontId="4" fillId="10" borderId="5" xfId="0" applyNumberFormat="1" applyFont="1" applyFill="1" applyBorder="1"/>
    <xf numFmtId="166" fontId="4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4" fillId="0" borderId="6" xfId="1" applyNumberFormat="1" applyFont="1" applyFill="1" applyBorder="1" applyProtection="1"/>
    <xf numFmtId="166" fontId="4" fillId="0" borderId="1" xfId="0" applyNumberFormat="1" applyFont="1" applyBorder="1"/>
    <xf numFmtId="166" fontId="4" fillId="0" borderId="1" xfId="1" applyNumberFormat="1" applyFont="1" applyFill="1" applyBorder="1" applyProtection="1"/>
    <xf numFmtId="166" fontId="19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5" fillId="10" borderId="4" xfId="1" applyNumberFormat="1" applyFont="1" applyFill="1" applyBorder="1" applyAlignment="1" applyProtection="1">
      <alignment horizontal="left"/>
    </xf>
    <xf numFmtId="166" fontId="5" fillId="10" borderId="5" xfId="1" applyNumberFormat="1" applyFont="1" applyFill="1" applyBorder="1" applyAlignment="1" applyProtection="1">
      <alignment horizontal="left"/>
    </xf>
    <xf numFmtId="166" fontId="4" fillId="10" borderId="1" xfId="0" applyNumberFormat="1" applyFont="1" applyFill="1" applyBorder="1"/>
    <xf numFmtId="0" fontId="5" fillId="0" borderId="4" xfId="0" applyFont="1" applyBorder="1"/>
    <xf numFmtId="166" fontId="4" fillId="0" borderId="1" xfId="1" applyNumberFormat="1" applyFont="1" applyFill="1" applyBorder="1" applyAlignment="1" applyProtection="1"/>
    <xf numFmtId="166" fontId="4" fillId="0" borderId="6" xfId="1" applyNumberFormat="1" applyFont="1" applyBorder="1" applyProtection="1"/>
    <xf numFmtId="166" fontId="20" fillId="0" borderId="1" xfId="1" applyNumberFormat="1" applyFont="1" applyBorder="1" applyProtection="1"/>
    <xf numFmtId="166" fontId="20" fillId="0" borderId="0" xfId="1" applyNumberFormat="1" applyFont="1" applyProtection="1"/>
    <xf numFmtId="166" fontId="10" fillId="0" borderId="1" xfId="0" applyNumberFormat="1" applyFont="1" applyBorder="1"/>
    <xf numFmtId="0" fontId="18" fillId="10" borderId="4" xfId="0" applyFont="1" applyFill="1" applyBorder="1"/>
    <xf numFmtId="166" fontId="0" fillId="0" borderId="1" xfId="1" applyNumberFormat="1" applyFont="1" applyBorder="1" applyProtection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16" fillId="0" borderId="6" xfId="1" applyNumberFormat="1" applyFont="1" applyBorder="1" applyProtection="1"/>
    <xf numFmtId="166" fontId="19" fillId="0" borderId="6" xfId="1" applyNumberFormat="1" applyFont="1" applyBorder="1" applyProtection="1"/>
    <xf numFmtId="166" fontId="19" fillId="0" borderId="1" xfId="1" applyNumberFormat="1" applyFont="1" applyBorder="1" applyAlignment="1" applyProtection="1">
      <alignment vertical="center"/>
    </xf>
    <xf numFmtId="166" fontId="19" fillId="5" borderId="1" xfId="1" applyNumberFormat="1" applyFont="1" applyFill="1" applyBorder="1" applyProtection="1"/>
    <xf numFmtId="166" fontId="9" fillId="0" borderId="3" xfId="1" applyNumberFormat="1" applyFont="1" applyFill="1" applyBorder="1" applyProtection="1"/>
    <xf numFmtId="166" fontId="19" fillId="5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19" fillId="0" borderId="1" xfId="1" applyNumberFormat="1" applyFont="1" applyFill="1" applyBorder="1" applyAlignment="1" applyProtection="1">
      <alignment horizontal="center" vertical="center"/>
    </xf>
    <xf numFmtId="166" fontId="8" fillId="0" borderId="6" xfId="1" applyNumberFormat="1" applyFont="1" applyFill="1" applyBorder="1" applyProtection="1"/>
    <xf numFmtId="166" fontId="21" fillId="0" borderId="0" xfId="1" applyNumberFormat="1" applyFont="1" applyBorder="1" applyProtection="1">
      <protection locked="0"/>
    </xf>
    <xf numFmtId="0" fontId="6" fillId="0" borderId="1" xfId="0" applyFont="1" applyBorder="1"/>
    <xf numFmtId="0" fontId="22" fillId="0" borderId="1" xfId="0" applyFont="1" applyBorder="1" applyAlignment="1">
      <alignment vertical="center"/>
    </xf>
    <xf numFmtId="166" fontId="23" fillId="0" borderId="1" xfId="1" applyNumberFormat="1" applyFont="1" applyBorder="1" applyProtection="1">
      <protection locked="0"/>
    </xf>
    <xf numFmtId="166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13" borderId="0" xfId="0" applyFont="1" applyFill="1" applyAlignment="1">
      <alignment horizont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166" fontId="4" fillId="0" borderId="0" xfId="1" applyNumberFormat="1" applyFont="1" applyFill="1" applyBorder="1" applyProtection="1"/>
    <xf numFmtId="166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/>
    <xf numFmtId="166" fontId="4" fillId="17" borderId="5" xfId="1" applyNumberFormat="1" applyFont="1" applyFill="1" applyBorder="1" applyProtection="1"/>
    <xf numFmtId="166" fontId="4" fillId="17" borderId="5" xfId="0" applyNumberFormat="1" applyFont="1" applyFill="1" applyBorder="1"/>
    <xf numFmtId="166" fontId="4" fillId="0" borderId="3" xfId="1" applyNumberFormat="1" applyFont="1" applyFill="1" applyBorder="1" applyProtection="1"/>
    <xf numFmtId="166" fontId="24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horizontal="center" vertical="center"/>
    </xf>
    <xf numFmtId="166" fontId="23" fillId="0" borderId="1" xfId="1" applyNumberFormat="1" applyFont="1" applyFill="1" applyBorder="1" applyProtection="1"/>
    <xf numFmtId="166" fontId="28" fillId="0" borderId="1" xfId="1" applyNumberFormat="1" applyFont="1" applyFill="1" applyBorder="1" applyProtection="1"/>
    <xf numFmtId="166" fontId="23" fillId="0" borderId="0" xfId="1" applyNumberFormat="1" applyFont="1" applyFill="1" applyBorder="1" applyProtection="1"/>
    <xf numFmtId="166" fontId="5" fillId="17" borderId="4" xfId="1" applyNumberFormat="1" applyFont="1" applyFill="1" applyBorder="1" applyAlignment="1" applyProtection="1">
      <alignment horizontal="left"/>
    </xf>
    <xf numFmtId="166" fontId="5" fillId="17" borderId="5" xfId="1" applyNumberFormat="1" applyFont="1" applyFill="1" applyBorder="1" applyAlignment="1" applyProtection="1">
      <alignment horizontal="left"/>
    </xf>
    <xf numFmtId="166" fontId="4" fillId="17" borderId="1" xfId="0" applyNumberFormat="1" applyFont="1" applyFill="1" applyBorder="1"/>
    <xf numFmtId="166" fontId="29" fillId="0" borderId="1" xfId="1" applyNumberFormat="1" applyFont="1" applyFill="1" applyBorder="1" applyProtection="1"/>
    <xf numFmtId="3" fontId="24" fillId="0" borderId="1" xfId="0" applyNumberFormat="1" applyFont="1" applyBorder="1" applyAlignment="1">
      <alignment vertical="center"/>
    </xf>
    <xf numFmtId="166" fontId="29" fillId="0" borderId="0" xfId="1" applyNumberFormat="1" applyFont="1" applyFill="1" applyBorder="1" applyProtection="1"/>
    <xf numFmtId="0" fontId="18" fillId="17" borderId="4" xfId="0" applyFont="1" applyFill="1" applyBorder="1"/>
    <xf numFmtId="166" fontId="30" fillId="0" borderId="3" xfId="1" applyNumberFormat="1" applyFont="1" applyFill="1" applyBorder="1" applyProtection="1"/>
    <xf numFmtId="166" fontId="28" fillId="0" borderId="6" xfId="1" applyNumberFormat="1" applyFont="1" applyFill="1" applyBorder="1" applyProtection="1"/>
    <xf numFmtId="166" fontId="28" fillId="18" borderId="1" xfId="1" applyNumberFormat="1" applyFont="1" applyFill="1" applyBorder="1" applyProtection="1"/>
    <xf numFmtId="166" fontId="28" fillId="18" borderId="1" xfId="1" applyNumberFormat="1" applyFont="1" applyFill="1" applyBorder="1" applyAlignment="1" applyProtection="1">
      <alignment vertical="center"/>
    </xf>
    <xf numFmtId="166" fontId="31" fillId="0" borderId="6" xfId="1" applyNumberFormat="1" applyFont="1" applyFill="1" applyBorder="1" applyProtection="1"/>
    <xf numFmtId="166" fontId="31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vertical="center"/>
    </xf>
    <xf numFmtId="166" fontId="24" fillId="0" borderId="0" xfId="0" applyNumberFormat="1" applyFont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Border="1"/>
    <xf numFmtId="166" fontId="19" fillId="0" borderId="6" xfId="1" applyNumberFormat="1" applyFont="1" applyFill="1" applyBorder="1" applyProtection="1"/>
    <xf numFmtId="166" fontId="19" fillId="0" borderId="1" xfId="0" applyNumberFormat="1" applyFont="1" applyBorder="1"/>
    <xf numFmtId="166" fontId="7" fillId="0" borderId="0" xfId="0" applyNumberFormat="1" applyFont="1" applyAlignment="1">
      <alignment vertical="center"/>
    </xf>
    <xf numFmtId="166" fontId="8" fillId="0" borderId="6" xfId="1" applyNumberFormat="1" applyFont="1" applyBorder="1" applyProtection="1"/>
    <xf numFmtId="166" fontId="8" fillId="0" borderId="1" xfId="1" applyNumberFormat="1" applyFont="1" applyFill="1" applyBorder="1" applyProtection="1"/>
    <xf numFmtId="166" fontId="32" fillId="0" borderId="0" xfId="0" applyNumberFormat="1" applyFont="1" applyAlignment="1">
      <alignment vertical="center"/>
    </xf>
    <xf numFmtId="166" fontId="7" fillId="22" borderId="0" xfId="0" applyNumberFormat="1" applyFont="1" applyFill="1" applyAlignment="1">
      <alignment vertical="center"/>
    </xf>
    <xf numFmtId="166" fontId="4" fillId="3" borderId="3" xfId="1" applyNumberFormat="1" applyFont="1" applyFill="1" applyBorder="1" applyProtection="1"/>
    <xf numFmtId="0" fontId="12" fillId="3" borderId="1" xfId="0" applyFont="1" applyFill="1" applyBorder="1"/>
    <xf numFmtId="166" fontId="0" fillId="3" borderId="1" xfId="1" applyNumberFormat="1" applyFont="1" applyFill="1" applyBorder="1" applyProtection="1"/>
    <xf numFmtId="166" fontId="4" fillId="3" borderId="1" xfId="1" applyNumberFormat="1" applyFont="1" applyFill="1" applyBorder="1" applyProtection="1"/>
    <xf numFmtId="166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4" fillId="3" borderId="1" xfId="0" applyNumberFormat="1" applyFont="1" applyFill="1" applyBorder="1"/>
    <xf numFmtId="0" fontId="6" fillId="21" borderId="1" xfId="0" applyFont="1" applyFill="1" applyBorder="1"/>
    <xf numFmtId="0" fontId="22" fillId="21" borderId="1" xfId="0" applyFont="1" applyFill="1" applyBorder="1" applyAlignment="1">
      <alignment vertical="center"/>
    </xf>
    <xf numFmtId="166" fontId="23" fillId="21" borderId="1" xfId="1" applyNumberFormat="1" applyFont="1" applyFill="1" applyBorder="1" applyProtection="1">
      <protection locked="0"/>
    </xf>
    <xf numFmtId="166" fontId="24" fillId="21" borderId="1" xfId="1" applyNumberFormat="1" applyFont="1" applyFill="1" applyBorder="1" applyProtection="1">
      <protection locked="0"/>
    </xf>
    <xf numFmtId="166" fontId="4" fillId="5" borderId="1" xfId="1" applyNumberFormat="1" applyFont="1" applyFill="1" applyBorder="1" applyProtection="1"/>
    <xf numFmtId="166" fontId="19" fillId="21" borderId="1" xfId="1" applyNumberFormat="1" applyFont="1" applyFill="1" applyBorder="1" applyProtection="1"/>
    <xf numFmtId="166" fontId="4" fillId="21" borderId="1" xfId="0" applyNumberFormat="1" applyFont="1" applyFill="1" applyBorder="1"/>
    <xf numFmtId="166" fontId="4" fillId="0" borderId="1" xfId="1" applyNumberFormat="1" applyFont="1" applyBorder="1" applyProtection="1"/>
    <xf numFmtId="166" fontId="4" fillId="21" borderId="1" xfId="1" applyNumberFormat="1" applyFont="1" applyFill="1" applyBorder="1" applyProtection="1"/>
    <xf numFmtId="166" fontId="19" fillId="5" borderId="1" xfId="0" applyNumberFormat="1" applyFont="1" applyFill="1" applyBorder="1"/>
    <xf numFmtId="166" fontId="19" fillId="0" borderId="1" xfId="1" applyNumberFormat="1" applyFont="1" applyBorder="1" applyProtection="1"/>
    <xf numFmtId="166" fontId="19" fillId="0" borderId="0" xfId="1" applyNumberFormat="1" applyFont="1" applyProtection="1"/>
    <xf numFmtId="0" fontId="5" fillId="0" borderId="1" xfId="0" applyFont="1" applyBorder="1"/>
    <xf numFmtId="0" fontId="5" fillId="5" borderId="1" xfId="0" applyFont="1" applyFill="1" applyBorder="1"/>
    <xf numFmtId="0" fontId="5" fillId="21" borderId="1" xfId="0" applyFont="1" applyFill="1" applyBorder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6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6" fontId="35" fillId="0" borderId="0" xfId="1" applyNumberFormat="1" applyFont="1" applyBorder="1" applyProtection="1">
      <protection locked="0"/>
    </xf>
    <xf numFmtId="166" fontId="8" fillId="0" borderId="1" xfId="1" applyNumberFormat="1" applyFont="1" applyFill="1" applyBorder="1" applyAlignment="1" applyProtection="1">
      <alignment horizontal="center" vertical="center"/>
    </xf>
    <xf numFmtId="166" fontId="8" fillId="5" borderId="1" xfId="1" applyNumberFormat="1" applyFont="1" applyFill="1" applyBorder="1" applyProtection="1"/>
    <xf numFmtId="166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6" fontId="8" fillId="0" borderId="1" xfId="1" applyNumberFormat="1" applyFont="1" applyBorder="1" applyProtection="1"/>
    <xf numFmtId="166" fontId="34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4" xfId="0" applyFont="1" applyBorder="1"/>
    <xf numFmtId="0" fontId="40" fillId="0" borderId="0" xfId="0" applyFont="1"/>
    <xf numFmtId="0" fontId="40" fillId="0" borderId="1" xfId="0" applyFont="1" applyBorder="1"/>
    <xf numFmtId="166" fontId="19" fillId="0" borderId="3" xfId="1" applyNumberFormat="1" applyFont="1" applyBorder="1" applyProtection="1"/>
    <xf numFmtId="166" fontId="1" fillId="0" borderId="1" xfId="1" applyNumberFormat="1" applyFont="1" applyBorder="1" applyProtection="1"/>
    <xf numFmtId="166" fontId="19" fillId="22" borderId="1" xfId="0" applyNumberFormat="1" applyFont="1" applyFill="1" applyBorder="1"/>
    <xf numFmtId="0" fontId="1" fillId="0" borderId="1" xfId="0" applyFont="1" applyBorder="1" applyAlignment="1">
      <alignment vertical="center"/>
    </xf>
    <xf numFmtId="166" fontId="15" fillId="0" borderId="0" xfId="1" applyNumberFormat="1" applyFont="1" applyFill="1" applyBorder="1" applyProtection="1">
      <protection locked="0"/>
    </xf>
    <xf numFmtId="166" fontId="14" fillId="0" borderId="0" xfId="1" applyNumberFormat="1" applyFont="1" applyFill="1" applyBorder="1" applyProtection="1">
      <protection locked="0"/>
    </xf>
    <xf numFmtId="166" fontId="24" fillId="0" borderId="1" xfId="1" applyNumberFormat="1" applyFont="1" applyFill="1" applyBorder="1" applyProtection="1">
      <protection locked="0"/>
    </xf>
    <xf numFmtId="166" fontId="19" fillId="21" borderId="1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14" fontId="41" fillId="0" borderId="1" xfId="3" applyNumberFormat="1" applyFont="1" applyBorder="1"/>
    <xf numFmtId="0" fontId="36" fillId="19" borderId="1" xfId="0" applyFont="1" applyFill="1" applyBorder="1" applyAlignment="1">
      <alignment vertical="center"/>
    </xf>
    <xf numFmtId="0" fontId="0" fillId="25" borderId="0" xfId="0" applyFill="1" applyAlignment="1">
      <alignment vertical="center"/>
    </xf>
    <xf numFmtId="166" fontId="2" fillId="25" borderId="0" xfId="0" applyNumberFormat="1" applyFont="1" applyFill="1" applyAlignment="1">
      <alignment vertical="center"/>
    </xf>
    <xf numFmtId="166" fontId="34" fillId="25" borderId="0" xfId="0" applyNumberFormat="1" applyFont="1" applyFill="1" applyAlignment="1">
      <alignment vertical="center"/>
    </xf>
    <xf numFmtId="166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4" fillId="0" borderId="0" xfId="7" applyNumberFormat="1" applyFont="1"/>
    <xf numFmtId="0" fontId="2" fillId="0" borderId="0" xfId="0" applyFont="1"/>
    <xf numFmtId="0" fontId="0" fillId="0" borderId="1" xfId="0" applyBorder="1"/>
    <xf numFmtId="0" fontId="41" fillId="0" borderId="1" xfId="0" applyFont="1" applyBorder="1"/>
    <xf numFmtId="0" fontId="43" fillId="0" borderId="1" xfId="0" applyFont="1" applyBorder="1" applyAlignment="1">
      <alignment vertical="center"/>
    </xf>
    <xf numFmtId="166" fontId="44" fillId="0" borderId="1" xfId="1" applyNumberFormat="1" applyFont="1" applyBorder="1" applyProtection="1">
      <protection locked="0"/>
    </xf>
    <xf numFmtId="166" fontId="45" fillId="0" borderId="0" xfId="0" applyNumberFormat="1" applyFont="1" applyAlignment="1">
      <alignment vertical="center"/>
    </xf>
    <xf numFmtId="0" fontId="45" fillId="0" borderId="1" xfId="0" applyFont="1" applyBorder="1" applyAlignment="1">
      <alignment vertical="center"/>
    </xf>
    <xf numFmtId="3" fontId="45" fillId="0" borderId="1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25" fillId="0" borderId="1" xfId="0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3" fontId="25" fillId="0" borderId="1" xfId="1" applyNumberFormat="1" applyFont="1" applyFill="1" applyBorder="1" applyAlignment="1" applyProtection="1">
      <alignment vertical="center"/>
    </xf>
    <xf numFmtId="166" fontId="25" fillId="0" borderId="1" xfId="0" applyNumberFormat="1" applyFont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166" fontId="6" fillId="0" borderId="1" xfId="1" applyNumberFormat="1" applyFont="1" applyFill="1" applyBorder="1"/>
    <xf numFmtId="0" fontId="25" fillId="23" borderId="1" xfId="0" applyFont="1" applyFill="1" applyBorder="1" applyAlignment="1">
      <alignment vertical="center"/>
    </xf>
    <xf numFmtId="164" fontId="25" fillId="23" borderId="1" xfId="4" applyFont="1" applyFill="1" applyBorder="1" applyAlignment="1">
      <alignment horizontal="right" vertical="center"/>
    </xf>
    <xf numFmtId="164" fontId="25" fillId="0" borderId="1" xfId="4" applyFont="1" applyFill="1" applyBorder="1" applyAlignment="1" applyProtection="1">
      <alignment horizontal="right"/>
    </xf>
    <xf numFmtId="166" fontId="25" fillId="0" borderId="1" xfId="1" applyNumberFormat="1" applyFont="1" applyFill="1" applyBorder="1" applyAlignment="1" applyProtection="1">
      <alignment vertical="center"/>
    </xf>
    <xf numFmtId="0" fontId="46" fillId="0" borderId="1" xfId="0" applyFont="1" applyBorder="1" applyAlignment="1">
      <alignment vertical="center"/>
    </xf>
    <xf numFmtId="0" fontId="47" fillId="21" borderId="1" xfId="0" applyFont="1" applyFill="1" applyBorder="1" applyAlignment="1">
      <alignment vertical="center"/>
    </xf>
    <xf numFmtId="0" fontId="47" fillId="21" borderId="1" xfId="0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3" fontId="26" fillId="0" borderId="1" xfId="1" applyNumberFormat="1" applyFont="1" applyFill="1" applyBorder="1" applyAlignment="1" applyProtection="1">
      <alignment vertical="center"/>
    </xf>
    <xf numFmtId="3" fontId="48" fillId="24" borderId="1" xfId="1" applyNumberFormat="1" applyFont="1" applyFill="1" applyBorder="1" applyAlignment="1" applyProtection="1">
      <alignment vertical="center"/>
    </xf>
    <xf numFmtId="166" fontId="25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166" fontId="26" fillId="0" borderId="1" xfId="0" applyNumberFormat="1" applyFont="1" applyBorder="1" applyAlignment="1">
      <alignment horizontal="center" vertical="center"/>
    </xf>
    <xf numFmtId="166" fontId="46" fillId="0" borderId="1" xfId="0" applyNumberFormat="1" applyFont="1" applyBorder="1" applyAlignment="1">
      <alignment horizontal="center" vertical="center"/>
    </xf>
    <xf numFmtId="0" fontId="34" fillId="0" borderId="0" xfId="0" applyFont="1"/>
    <xf numFmtId="0" fontId="4" fillId="0" borderId="11" xfId="0" applyFont="1" applyBorder="1"/>
    <xf numFmtId="166" fontId="6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left"/>
    </xf>
    <xf numFmtId="166" fontId="25" fillId="0" borderId="1" xfId="1" applyNumberFormat="1" applyFont="1" applyFill="1" applyBorder="1"/>
    <xf numFmtId="166" fontId="49" fillId="0" borderId="0" xfId="1" applyNumberFormat="1" applyFont="1" applyBorder="1" applyProtection="1">
      <protection locked="0"/>
    </xf>
    <xf numFmtId="0" fontId="50" fillId="19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/>
    <xf numFmtId="172" fontId="6" fillId="0" borderId="1" xfId="0" applyNumberFormat="1" applyFont="1" applyFill="1" applyBorder="1"/>
    <xf numFmtId="0" fontId="25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25" fillId="0" borderId="1" xfId="0" applyFont="1" applyFill="1" applyBorder="1"/>
    <xf numFmtId="17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48" fillId="0" borderId="1" xfId="0" applyFont="1" applyFill="1" applyBorder="1"/>
    <xf numFmtId="3" fontId="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171" fontId="25" fillId="0" borderId="1" xfId="0" applyNumberFormat="1" applyFont="1" applyFill="1" applyBorder="1"/>
    <xf numFmtId="166" fontId="25" fillId="0" borderId="1" xfId="0" applyNumberFormat="1" applyFont="1" applyFill="1" applyBorder="1"/>
    <xf numFmtId="172" fontId="6" fillId="0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/>
    </xf>
    <xf numFmtId="172" fontId="25" fillId="0" borderId="1" xfId="0" applyNumberFormat="1" applyFont="1" applyFill="1" applyBorder="1"/>
    <xf numFmtId="0" fontId="25" fillId="0" borderId="1" xfId="0" applyFont="1" applyFill="1" applyBorder="1" applyAlignment="1">
      <alignment vertical="center"/>
    </xf>
    <xf numFmtId="0" fontId="0" fillId="0" borderId="0" xfId="0" applyNumberFormat="1"/>
    <xf numFmtId="172" fontId="25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/>
    <xf numFmtId="0" fontId="26" fillId="0" borderId="1" xfId="0" applyFont="1" applyFill="1" applyBorder="1"/>
    <xf numFmtId="3" fontId="25" fillId="0" borderId="1" xfId="0" applyNumberFormat="1" applyFont="1" applyFill="1" applyBorder="1"/>
    <xf numFmtId="172" fontId="25" fillId="0" borderId="1" xfId="2" applyNumberFormat="1" applyFont="1" applyFill="1" applyBorder="1"/>
    <xf numFmtId="0" fontId="25" fillId="0" borderId="1" xfId="0" applyFont="1" applyFill="1" applyBorder="1" applyAlignment="1">
      <alignment horizontal="left"/>
    </xf>
    <xf numFmtId="166" fontId="25" fillId="0" borderId="1" xfId="1" applyNumberFormat="1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vertical="center"/>
    </xf>
    <xf numFmtId="166" fontId="26" fillId="0" borderId="1" xfId="0" applyNumberFormat="1" applyFont="1" applyFill="1" applyBorder="1"/>
    <xf numFmtId="172" fontId="25" fillId="0" borderId="1" xfId="2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right" vertical="center"/>
    </xf>
    <xf numFmtId="17" fontId="26" fillId="0" borderId="1" xfId="0" applyNumberFormat="1" applyFont="1" applyFill="1" applyBorder="1" applyAlignment="1">
      <alignment horizontal="left"/>
    </xf>
    <xf numFmtId="3" fontId="26" fillId="0" borderId="1" xfId="0" applyNumberFormat="1" applyFont="1" applyFill="1" applyBorder="1"/>
    <xf numFmtId="174" fontId="25" fillId="0" borderId="1" xfId="2" applyNumberFormat="1" applyFont="1" applyFill="1" applyBorder="1"/>
    <xf numFmtId="169" fontId="25" fillId="0" borderId="1" xfId="6" applyNumberFormat="1" applyFont="1" applyFill="1" applyBorder="1" applyAlignment="1">
      <alignment horizontal="right" vertical="top" wrapText="1"/>
    </xf>
    <xf numFmtId="168" fontId="25" fillId="0" borderId="1" xfId="2" applyNumberFormat="1" applyFont="1" applyFill="1" applyBorder="1" applyAlignment="1">
      <alignment vertical="top"/>
    </xf>
    <xf numFmtId="0" fontId="26" fillId="0" borderId="1" xfId="0" applyFont="1" applyFill="1" applyBorder="1" applyAlignment="1">
      <alignment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0" fontId="25" fillId="12" borderId="1" xfId="0" applyNumberFormat="1" applyFont="1" applyFill="1" applyBorder="1"/>
    <xf numFmtId="0" fontId="25" fillId="12" borderId="1" xfId="0" applyFont="1" applyFill="1" applyBorder="1" applyAlignment="1">
      <alignment vertical="center"/>
    </xf>
    <xf numFmtId="0" fontId="25" fillId="12" borderId="1" xfId="0" applyFont="1" applyFill="1" applyBorder="1" applyAlignment="1">
      <alignment horizontal="center" vertical="center"/>
    </xf>
    <xf numFmtId="3" fontId="25" fillId="12" borderId="1" xfId="1" applyNumberFormat="1" applyFont="1" applyFill="1" applyBorder="1" applyAlignment="1" applyProtection="1">
      <alignment vertical="center"/>
    </xf>
    <xf numFmtId="166" fontId="25" fillId="12" borderId="1" xfId="1" applyNumberFormat="1" applyFont="1" applyFill="1" applyBorder="1" applyAlignment="1" applyProtection="1">
      <alignment vertical="center"/>
    </xf>
    <xf numFmtId="0" fontId="25" fillId="12" borderId="1" xfId="0" applyFont="1" applyFill="1" applyBorder="1" applyAlignment="1">
      <alignment horizontal="left" vertical="center"/>
    </xf>
    <xf numFmtId="166" fontId="25" fillId="0" borderId="1" xfId="1" applyNumberFormat="1" applyFont="1" applyFill="1" applyBorder="1" applyAlignment="1"/>
    <xf numFmtId="0" fontId="25" fillId="0" borderId="1" xfId="0" applyFont="1" applyFill="1" applyBorder="1" applyAlignment="1"/>
    <xf numFmtId="166" fontId="25" fillId="0" borderId="1" xfId="0" applyNumberFormat="1" applyFont="1" applyFill="1" applyBorder="1" applyAlignment="1"/>
    <xf numFmtId="169" fontId="25" fillId="0" borderId="1" xfId="6" applyNumberFormat="1" applyFont="1" applyFill="1" applyBorder="1" applyAlignment="1">
      <alignment wrapText="1"/>
    </xf>
    <xf numFmtId="169" fontId="25" fillId="0" borderId="1" xfId="6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168" fontId="25" fillId="0" borderId="1" xfId="2" applyNumberFormat="1" applyFont="1" applyFill="1" applyBorder="1" applyAlignment="1">
      <alignment vertical="top" wrapText="1"/>
    </xf>
    <xf numFmtId="168" fontId="25" fillId="0" borderId="1" xfId="2" applyNumberFormat="1" applyFont="1" applyFill="1" applyBorder="1" applyAlignment="1">
      <alignment horizontal="right" vertical="top"/>
    </xf>
    <xf numFmtId="0" fontId="25" fillId="0" borderId="1" xfId="2" applyFont="1" applyFill="1" applyBorder="1"/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25" fillId="0" borderId="1" xfId="8" applyFont="1" applyBorder="1" applyAlignment="1"/>
    <xf numFmtId="0" fontId="25" fillId="0" borderId="1" xfId="8" applyFont="1" applyFill="1" applyBorder="1" applyAlignment="1"/>
    <xf numFmtId="166" fontId="25" fillId="0" borderId="1" xfId="9" applyNumberFormat="1" applyFont="1" applyFill="1" applyBorder="1" applyAlignment="1"/>
    <xf numFmtId="166" fontId="51" fillId="0" borderId="1" xfId="9" applyNumberFormat="1" applyFont="1" applyFill="1" applyBorder="1" applyAlignment="1"/>
    <xf numFmtId="166" fontId="25" fillId="0" borderId="1" xfId="9" applyNumberFormat="1" applyFont="1" applyBorder="1" applyAlignment="1"/>
    <xf numFmtId="0" fontId="25" fillId="0" borderId="0" xfId="0" applyFont="1"/>
    <xf numFmtId="166" fontId="6" fillId="0" borderId="1" xfId="9" applyNumberFormat="1" applyFont="1" applyFill="1" applyBorder="1" applyAlignment="1"/>
    <xf numFmtId="171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/>
    <xf numFmtId="0" fontId="25" fillId="0" borderId="11" xfId="0" applyFont="1" applyFill="1" applyBorder="1"/>
    <xf numFmtId="166" fontId="25" fillId="0" borderId="11" xfId="1" applyNumberFormat="1" applyFont="1" applyFill="1" applyBorder="1"/>
    <xf numFmtId="168" fontId="25" fillId="0" borderId="11" xfId="2" applyNumberFormat="1" applyFont="1" applyFill="1" applyBorder="1" applyAlignment="1">
      <alignment vertical="top"/>
    </xf>
    <xf numFmtId="0" fontId="25" fillId="0" borderId="11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/>
    <xf numFmtId="166" fontId="25" fillId="0" borderId="3" xfId="1" applyNumberFormat="1" applyFont="1" applyFill="1" applyBorder="1"/>
    <xf numFmtId="3" fontId="34" fillId="0" borderId="0" xfId="0" applyNumberFormat="1" applyFont="1"/>
    <xf numFmtId="171" fontId="2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/>
    <xf numFmtId="0" fontId="25" fillId="0" borderId="1" xfId="0" applyFont="1" applyBorder="1" applyAlignment="1"/>
    <xf numFmtId="0" fontId="25" fillId="0" borderId="3" xfId="0" applyFont="1" applyFill="1" applyBorder="1" applyAlignment="1"/>
    <xf numFmtId="0" fontId="0" fillId="0" borderId="0" xfId="0" applyAlignment="1"/>
    <xf numFmtId="0" fontId="25" fillId="0" borderId="0" xfId="0" applyFont="1" applyFill="1"/>
    <xf numFmtId="172" fontId="25" fillId="0" borderId="11" xfId="0" applyNumberFormat="1" applyFont="1" applyFill="1" applyBorder="1"/>
    <xf numFmtId="171" fontId="25" fillId="0" borderId="11" xfId="0" applyNumberFormat="1" applyFont="1" applyFill="1" applyBorder="1"/>
    <xf numFmtId="168" fontId="25" fillId="0" borderId="11" xfId="2" applyNumberFormat="1" applyFont="1" applyFill="1" applyBorder="1" applyAlignment="1">
      <alignment vertical="top" wrapText="1"/>
    </xf>
    <xf numFmtId="0" fontId="25" fillId="0" borderId="11" xfId="0" applyNumberFormat="1" applyFont="1" applyFill="1" applyBorder="1"/>
    <xf numFmtId="172" fontId="25" fillId="0" borderId="3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3" xfId="8" applyFont="1" applyBorder="1" applyAlignment="1"/>
    <xf numFmtId="173" fontId="25" fillId="0" borderId="1" xfId="2" applyNumberFormat="1" applyFont="1" applyFill="1" applyBorder="1" applyAlignment="1">
      <alignment horizontal="left"/>
    </xf>
    <xf numFmtId="164" fontId="25" fillId="12" borderId="1" xfId="4" applyFont="1" applyFill="1" applyBorder="1" applyAlignment="1" applyProtection="1">
      <alignment horizontal="left"/>
    </xf>
    <xf numFmtId="0" fontId="46" fillId="0" borderId="1" xfId="0" applyFont="1" applyFill="1" applyBorder="1"/>
    <xf numFmtId="0" fontId="48" fillId="0" borderId="6" xfId="0" applyFont="1" applyBorder="1" applyAlignment="1">
      <alignment vertical="center"/>
    </xf>
    <xf numFmtId="0" fontId="26" fillId="0" borderId="6" xfId="0" applyFont="1" applyFill="1" applyBorder="1"/>
    <xf numFmtId="166" fontId="26" fillId="0" borderId="6" xfId="0" applyNumberFormat="1" applyFont="1" applyFill="1" applyBorder="1"/>
    <xf numFmtId="3" fontId="26" fillId="0" borderId="6" xfId="0" applyNumberFormat="1" applyFont="1" applyFill="1" applyBorder="1"/>
    <xf numFmtId="0" fontId="48" fillId="0" borderId="6" xfId="0" applyFont="1" applyFill="1" applyBorder="1"/>
    <xf numFmtId="0" fontId="26" fillId="0" borderId="6" xfId="0" applyFont="1" applyFill="1" applyBorder="1" applyAlignment="1">
      <alignment vertical="center"/>
    </xf>
    <xf numFmtId="0" fontId="48" fillId="0" borderId="6" xfId="0" applyFont="1" applyFill="1" applyBorder="1" applyAlignment="1">
      <alignment vertical="center"/>
    </xf>
    <xf numFmtId="0" fontId="26" fillId="0" borderId="6" xfId="0" applyFont="1" applyBorder="1"/>
    <xf numFmtId="0" fontId="25" fillId="0" borderId="6" xfId="0" applyFont="1" applyBorder="1"/>
    <xf numFmtId="0" fontId="25" fillId="0" borderId="11" xfId="0" applyFont="1" applyBorder="1"/>
    <xf numFmtId="0" fontId="25" fillId="0" borderId="11" xfId="0" applyFont="1" applyBorder="1" applyAlignment="1"/>
    <xf numFmtId="172" fontId="6" fillId="0" borderId="11" xfId="0" applyNumberFormat="1" applyFont="1" applyFill="1" applyBorder="1"/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/>
    <xf numFmtId="172" fontId="25" fillId="0" borderId="11" xfId="0" applyNumberFormat="1" applyFont="1" applyFill="1" applyBorder="1" applyAlignment="1">
      <alignment vertical="center"/>
    </xf>
    <xf numFmtId="0" fontId="25" fillId="0" borderId="11" xfId="8" applyFont="1" applyBorder="1" applyAlignment="1"/>
    <xf numFmtId="166" fontId="25" fillId="0" borderId="11" xfId="9" applyNumberFormat="1" applyFont="1" applyFill="1" applyBorder="1" applyAlignment="1"/>
    <xf numFmtId="172" fontId="25" fillId="0" borderId="11" xfId="2" applyNumberFormat="1" applyFont="1" applyFill="1" applyBorder="1"/>
    <xf numFmtId="166" fontId="25" fillId="0" borderId="11" xfId="1" applyNumberFormat="1" applyFont="1" applyFill="1" applyBorder="1" applyAlignment="1"/>
    <xf numFmtId="166" fontId="25" fillId="0" borderId="11" xfId="0" applyNumberFormat="1" applyFont="1" applyFill="1" applyBorder="1" applyAlignment="1">
      <alignment vertical="center"/>
    </xf>
    <xf numFmtId="3" fontId="25" fillId="0" borderId="11" xfId="0" applyNumberFormat="1" applyFont="1" applyFill="1" applyBorder="1"/>
    <xf numFmtId="172" fontId="25" fillId="0" borderId="11" xfId="2" applyNumberFormat="1" applyFont="1" applyFill="1" applyBorder="1" applyAlignment="1">
      <alignment vertical="top" wrapText="1"/>
    </xf>
    <xf numFmtId="169" fontId="25" fillId="0" borderId="11" xfId="6" applyNumberFormat="1" applyFont="1" applyFill="1" applyBorder="1" applyAlignment="1">
      <alignment vertical="top" wrapText="1"/>
    </xf>
    <xf numFmtId="169" fontId="25" fillId="0" borderId="11" xfId="6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/>
    </xf>
    <xf numFmtId="0" fontId="25" fillId="0" borderId="11" xfId="8" applyFont="1" applyFill="1" applyBorder="1" applyAlignment="1"/>
    <xf numFmtId="166" fontId="25" fillId="0" borderId="11" xfId="1" applyNumberFormat="1" applyFont="1" applyFill="1" applyBorder="1" applyAlignment="1">
      <alignment horizontal="right"/>
    </xf>
    <xf numFmtId="0" fontId="6" fillId="0" borderId="11" xfId="0" applyFont="1" applyFill="1" applyBorder="1"/>
    <xf numFmtId="166" fontId="6" fillId="0" borderId="11" xfId="1" applyNumberFormat="1" applyFont="1" applyFill="1" applyBorder="1"/>
    <xf numFmtId="0" fontId="6" fillId="0" borderId="11" xfId="0" applyFont="1" applyFill="1" applyBorder="1" applyAlignment="1"/>
    <xf numFmtId="0" fontId="25" fillId="0" borderId="11" xfId="2" applyFont="1" applyFill="1" applyBorder="1"/>
    <xf numFmtId="174" fontId="25" fillId="0" borderId="11" xfId="2" applyNumberFormat="1" applyFont="1" applyFill="1" applyBorder="1"/>
    <xf numFmtId="166" fontId="6" fillId="0" borderId="11" xfId="0" applyNumberFormat="1" applyFont="1" applyFill="1" applyBorder="1"/>
    <xf numFmtId="172" fontId="25" fillId="0" borderId="12" xfId="0" applyNumberFormat="1" applyFont="1" applyFill="1" applyBorder="1" applyAlignment="1">
      <alignment vertical="center"/>
    </xf>
    <xf numFmtId="0" fontId="25" fillId="0" borderId="12" xfId="0" applyFont="1" applyFill="1" applyBorder="1"/>
    <xf numFmtId="3" fontId="25" fillId="0" borderId="12" xfId="1" applyNumberFormat="1" applyFont="1" applyFill="1" applyBorder="1" applyAlignment="1" applyProtection="1">
      <alignment vertical="center"/>
    </xf>
    <xf numFmtId="166" fontId="25" fillId="0" borderId="12" xfId="1" applyNumberFormat="1" applyFont="1" applyFill="1" applyBorder="1"/>
    <xf numFmtId="0" fontId="25" fillId="0" borderId="12" xfId="0" applyFont="1" applyFill="1" applyBorder="1" applyAlignment="1"/>
    <xf numFmtId="0" fontId="25" fillId="0" borderId="12" xfId="0" applyFont="1" applyFill="1" applyBorder="1" applyAlignment="1">
      <alignment vertical="center"/>
    </xf>
    <xf numFmtId="0" fontId="25" fillId="0" borderId="12" xfId="8" applyFont="1" applyBorder="1" applyAlignment="1"/>
    <xf numFmtId="172" fontId="6" fillId="0" borderId="12" xfId="0" applyNumberFormat="1" applyFont="1" applyFill="1" applyBorder="1"/>
    <xf numFmtId="0" fontId="25" fillId="0" borderId="12" xfId="0" applyFont="1" applyFill="1" applyBorder="1" applyAlignment="1">
      <alignment horizontal="left" vertical="center"/>
    </xf>
    <xf numFmtId="166" fontId="25" fillId="0" borderId="12" xfId="1" applyNumberFormat="1" applyFont="1" applyFill="1" applyBorder="1" applyAlignment="1">
      <alignment vertical="center"/>
    </xf>
    <xf numFmtId="3" fontId="25" fillId="0" borderId="12" xfId="1" applyNumberFormat="1" applyFont="1" applyFill="1" applyBorder="1" applyAlignment="1" applyProtection="1"/>
    <xf numFmtId="166" fontId="25" fillId="0" borderId="12" xfId="1" applyNumberFormat="1" applyFont="1" applyFill="1" applyBorder="1" applyAlignment="1" applyProtection="1">
      <alignment horizontal="left" vertical="center"/>
    </xf>
    <xf numFmtId="172" fontId="25" fillId="0" borderId="3" xfId="0" applyNumberFormat="1" applyFont="1" applyFill="1" applyBorder="1"/>
    <xf numFmtId="0" fontId="25" fillId="0" borderId="3" xfId="0" applyFont="1" applyFill="1" applyBorder="1" applyAlignment="1">
      <alignment horizontal="right"/>
    </xf>
    <xf numFmtId="3" fontId="25" fillId="0" borderId="3" xfId="0" applyNumberFormat="1" applyFont="1" applyFill="1" applyBorder="1"/>
    <xf numFmtId="172" fontId="25" fillId="0" borderId="3" xfId="2" applyNumberFormat="1" applyFont="1" applyFill="1" applyBorder="1" applyAlignment="1">
      <alignment vertical="top" wrapText="1"/>
    </xf>
    <xf numFmtId="171" fontId="25" fillId="0" borderId="3" xfId="0" applyNumberFormat="1" applyFont="1" applyFill="1" applyBorder="1"/>
    <xf numFmtId="3" fontId="25" fillId="0" borderId="3" xfId="0" applyNumberFormat="1" applyFont="1" applyFill="1" applyBorder="1" applyAlignment="1">
      <alignment horizontal="right"/>
    </xf>
    <xf numFmtId="0" fontId="25" fillId="0" borderId="3" xfId="0" applyFont="1" applyFill="1" applyBorder="1" applyAlignment="1">
      <alignment horizontal="right" vertical="center"/>
    </xf>
    <xf numFmtId="0" fontId="25" fillId="0" borderId="3" xfId="0" applyNumberFormat="1" applyFont="1" applyFill="1" applyBorder="1"/>
    <xf numFmtId="172" fontId="25" fillId="0" borderId="3" xfId="2" applyNumberFormat="1" applyFont="1" applyFill="1" applyBorder="1"/>
    <xf numFmtId="0" fontId="25" fillId="0" borderId="3" xfId="0" applyFont="1" applyFill="1" applyBorder="1" applyAlignment="1">
      <alignment horizontal="left"/>
    </xf>
    <xf numFmtId="166" fontId="25" fillId="0" borderId="3" xfId="0" applyNumberFormat="1" applyFont="1" applyFill="1" applyBorder="1" applyAlignment="1"/>
    <xf numFmtId="166" fontId="25" fillId="0" borderId="3" xfId="0" applyNumberFormat="1" applyFont="1" applyFill="1" applyBorder="1" applyAlignment="1">
      <alignment vertical="center"/>
    </xf>
    <xf numFmtId="172" fontId="25" fillId="0" borderId="12" xfId="0" applyNumberFormat="1" applyFont="1" applyFill="1" applyBorder="1"/>
    <xf numFmtId="166" fontId="25" fillId="0" borderId="3" xfId="9" applyNumberFormat="1" applyFont="1" applyFill="1" applyBorder="1" applyAlignment="1"/>
    <xf numFmtId="0" fontId="25" fillId="0" borderId="3" xfId="0" applyFont="1" applyBorder="1"/>
    <xf numFmtId="0" fontId="25" fillId="0" borderId="12" xfId="0" applyNumberFormat="1" applyFont="1" applyFill="1" applyBorder="1"/>
    <xf numFmtId="172" fontId="25" fillId="0" borderId="12" xfId="2" applyNumberFormat="1" applyFont="1" applyFill="1" applyBorder="1" applyAlignment="1">
      <alignment vertical="top" wrapText="1"/>
    </xf>
    <xf numFmtId="171" fontId="25" fillId="0" borderId="12" xfId="0" applyNumberFormat="1" applyFont="1" applyFill="1" applyBorder="1"/>
    <xf numFmtId="166" fontId="25" fillId="0" borderId="12" xfId="1" applyNumberFormat="1" applyFont="1" applyFill="1" applyBorder="1" applyAlignment="1"/>
    <xf numFmtId="0" fontId="25" fillId="0" borderId="3" xfId="0" applyFont="1" applyBorder="1" applyAlignment="1">
      <alignment vertical="center"/>
    </xf>
    <xf numFmtId="3" fontId="25" fillId="0" borderId="12" xfId="0" applyNumberFormat="1" applyFont="1" applyFill="1" applyBorder="1"/>
    <xf numFmtId="166" fontId="25" fillId="0" borderId="3" xfId="1" applyNumberFormat="1" applyFont="1" applyFill="1" applyBorder="1" applyAlignment="1">
      <alignment horizontal="right"/>
    </xf>
    <xf numFmtId="169" fontId="25" fillId="0" borderId="12" xfId="6" applyNumberFormat="1" applyFont="1" applyFill="1" applyBorder="1" applyAlignment="1">
      <alignment wrapText="1"/>
    </xf>
    <xf numFmtId="168" fontId="25" fillId="0" borderId="12" xfId="2" applyNumberFormat="1" applyFont="1" applyFill="1" applyBorder="1" applyAlignment="1">
      <alignment vertical="top"/>
    </xf>
    <xf numFmtId="169" fontId="25" fillId="0" borderId="12" xfId="6" applyNumberFormat="1" applyFont="1" applyFill="1" applyBorder="1" applyAlignment="1">
      <alignment vertical="top" wrapText="1"/>
    </xf>
    <xf numFmtId="169" fontId="25" fillId="0" borderId="12" xfId="6" applyNumberFormat="1" applyFont="1" applyFill="1" applyBorder="1" applyAlignment="1">
      <alignment horizontal="right" vertical="top" wrapText="1"/>
    </xf>
    <xf numFmtId="168" fontId="25" fillId="0" borderId="12" xfId="2" applyNumberFormat="1" applyFont="1" applyFill="1" applyBorder="1" applyAlignment="1">
      <alignment vertical="top" wrapText="1"/>
    </xf>
    <xf numFmtId="166" fontId="25" fillId="0" borderId="3" xfId="1" applyNumberFormat="1" applyFont="1" applyFill="1" applyBorder="1" applyAlignment="1"/>
    <xf numFmtId="0" fontId="25" fillId="0" borderId="12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left" vertical="center"/>
    </xf>
    <xf numFmtId="166" fontId="25" fillId="0" borderId="3" xfId="0" applyNumberFormat="1" applyFont="1" applyFill="1" applyBorder="1"/>
    <xf numFmtId="0" fontId="25" fillId="0" borderId="12" xfId="0" applyFont="1" applyBorder="1" applyAlignment="1">
      <alignment vertical="center"/>
    </xf>
    <xf numFmtId="166" fontId="25" fillId="0" borderId="12" xfId="9" applyNumberFormat="1" applyFont="1" applyFill="1" applyBorder="1" applyAlignment="1"/>
    <xf numFmtId="0" fontId="25" fillId="0" borderId="12" xfId="0" applyFont="1" applyBorder="1"/>
    <xf numFmtId="172" fontId="6" fillId="0" borderId="3" xfId="0" applyNumberFormat="1" applyFont="1" applyFill="1" applyBorder="1"/>
    <xf numFmtId="0" fontId="6" fillId="0" borderId="3" xfId="0" applyFont="1" applyFill="1" applyBorder="1"/>
    <xf numFmtId="166" fontId="6" fillId="0" borderId="3" xfId="1" applyNumberFormat="1" applyFont="1" applyFill="1" applyBorder="1"/>
    <xf numFmtId="0" fontId="6" fillId="0" borderId="3" xfId="0" applyFont="1" applyFill="1" applyBorder="1" applyAlignment="1"/>
    <xf numFmtId="0" fontId="6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/>
    <xf numFmtId="166" fontId="6" fillId="0" borderId="12" xfId="0" applyNumberFormat="1" applyFont="1" applyFill="1" applyBorder="1" applyAlignment="1">
      <alignment vertical="center"/>
    </xf>
    <xf numFmtId="166" fontId="6" fillId="0" borderId="12" xfId="1" applyNumberFormat="1" applyFont="1" applyFill="1" applyBorder="1"/>
    <xf numFmtId="3" fontId="6" fillId="0" borderId="12" xfId="0" applyNumberFormat="1" applyFont="1" applyFill="1" applyBorder="1"/>
    <xf numFmtId="0" fontId="6" fillId="0" borderId="12" xfId="0" applyFont="1" applyFill="1" applyBorder="1" applyAlignment="1"/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172" fontId="25" fillId="0" borderId="12" xfId="2" applyNumberFormat="1" applyFont="1" applyFill="1" applyBorder="1"/>
    <xf numFmtId="0" fontId="25" fillId="0" borderId="12" xfId="2" applyFont="1" applyFill="1" applyBorder="1"/>
    <xf numFmtId="166" fontId="25" fillId="0" borderId="12" xfId="0" applyNumberFormat="1" applyFont="1" applyFill="1" applyBorder="1" applyAlignment="1">
      <alignment vertical="center"/>
    </xf>
    <xf numFmtId="166" fontId="6" fillId="0" borderId="3" xfId="1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left"/>
    </xf>
    <xf numFmtId="169" fontId="25" fillId="0" borderId="3" xfId="0" applyNumberFormat="1" applyFont="1" applyFill="1" applyBorder="1"/>
    <xf numFmtId="167" fontId="5" fillId="0" borderId="1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164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2" fillId="2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/>
    </xf>
    <xf numFmtId="166" fontId="46" fillId="0" borderId="1" xfId="1" applyNumberFormat="1" applyFont="1" applyFill="1" applyBorder="1"/>
    <xf numFmtId="166" fontId="46" fillId="0" borderId="1" xfId="1" applyNumberFormat="1" applyFont="1" applyFill="1" applyBorder="1" applyAlignment="1"/>
  </cellXfs>
  <cellStyles count="10">
    <cellStyle name="Comma" xfId="1" builtinId="3"/>
    <cellStyle name="Comma [0]" xfId="4" builtinId="6"/>
    <cellStyle name="Comma 2" xfId="9"/>
    <cellStyle name="Excel Built-in Comma" xfId="6"/>
    <cellStyle name="Excel Built-in Normal" xfId="2"/>
    <cellStyle name="Milliers 3" xfId="5"/>
    <cellStyle name="Normal" xfId="0" builtinId="0"/>
    <cellStyle name="Normal 2" xfId="8"/>
    <cellStyle name="Normal_Total expenses by date" xfId="3"/>
    <cellStyle name="Percent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uin%2023/Compta%20Juin/Compta_Oracle%20Juin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5154.63145763889" createdVersion="3" refreshedVersion="3" minRefreshableVersion="3" recordCount="306">
  <cacheSource type="worksheet">
    <worksheetSource ref="A12:O320" sheet="DATA JUILLET 2023"/>
  </cacheSource>
  <cacheFields count="15">
    <cacheField name="Date" numFmtId="0">
      <sharedItems containsSemiMixedTypes="0" containsNonDate="0" containsDate="1" containsString="0" minDate="2023-07-01T00:00:00" maxDate="2023-08-01T00:00:00"/>
    </cacheField>
    <cacheField name="Details" numFmtId="0">
      <sharedItems/>
    </cacheField>
    <cacheField name="Type de dépenses" numFmtId="0">
      <sharedItems containsBlank="1" count="20">
        <m/>
        <s v="Lawyer Fees"/>
        <s v="Transport"/>
        <s v="Services"/>
        <s v="Travel Subsistence"/>
        <s v="Jail visit"/>
        <s v="Telephone"/>
        <s v="Bonus"/>
        <s v="Versement"/>
        <s v="Office Materials"/>
        <s v="Transfer fees"/>
        <s v="Personnel"/>
        <s v="Rent &amp; Utilities"/>
        <s v="Bank fees"/>
        <s v="Website"/>
        <s v="Equipement"/>
        <s v="Transport "/>
        <s v="Grant"/>
        <s v="Trust Building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15000" maxValue="11771804"/>
    </cacheField>
    <cacheField name="Spent" numFmtId="0">
      <sharedItems containsString="0" containsBlank="1" containsNumber="1" containsInteger="1" minValue="1000" maxValue="2000000"/>
    </cacheField>
    <cacheField name="Balance" numFmtId="166">
      <sharedItems containsSemiMixedTypes="0" containsString="0" containsNumber="1" containsInteger="1" minValue="16494090" maxValue="28286894"/>
    </cacheField>
    <cacheField name="Name" numFmtId="0">
      <sharedItems containsBlank="1" count="16">
        <m/>
        <s v="Caisse"/>
        <s v="Crépin"/>
        <s v="Evariste"/>
        <s v="BCI"/>
        <s v="Donald-Roméo"/>
        <s v="Merveille"/>
        <s v="BCI-Sous Compte"/>
        <s v="D58"/>
        <s v="T73"/>
        <s v="P29"/>
        <s v="Grace"/>
        <s v="Oracle"/>
        <s v="IT87"/>
        <s v="DOVI"/>
        <s v="Hurielle"/>
      </sharedItems>
    </cacheField>
    <cacheField name="Receipt" numFmtId="0">
      <sharedItems containsBlank="1" containsMixedTypes="1" containsNumber="1" containsInteger="1" minValue="3654555" maxValue="3667374"/>
    </cacheField>
    <cacheField name="Donor" numFmtId="0">
      <sharedItems containsBlank="1" count="3">
        <m/>
        <s v="Wildcat"/>
        <s v="UE"/>
      </sharedItems>
    </cacheField>
    <cacheField name="Project" numFmtId="0">
      <sharedItems containsBlank="1" count="3">
        <m/>
        <s v="PALF"/>
        <s v="RALFF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6">
  <r>
    <d v="2023-07-01T00:00:00"/>
    <s v="Solde au 01/07/2023"/>
    <x v="0"/>
    <m/>
    <m/>
    <m/>
    <n v="23593552"/>
    <x v="0"/>
    <m/>
    <x v="0"/>
    <x v="0"/>
    <m/>
    <m/>
    <m/>
    <m/>
  </r>
  <r>
    <d v="2023-07-01T00:00:00"/>
    <s v="Frais de mission maitre Marie Hélène NANITEMIO du 02 au 07/07/2023 à Pointe-Noire /Cas NTONDELE et Consorts"/>
    <x v="1"/>
    <s v="Legal"/>
    <m/>
    <n v="167000"/>
    <n v="23426552"/>
    <x v="1"/>
    <s v="Oui"/>
    <x v="1"/>
    <x v="1"/>
    <s v="CONGO"/>
    <m/>
    <m/>
    <m/>
  </r>
  <r>
    <d v="2023-07-01T00:00:00"/>
    <s v="Billet: Pointe-Noire-Brazzaville/Crépin"/>
    <x v="2"/>
    <s v="Management"/>
    <m/>
    <n v="15000"/>
    <n v="23411552"/>
    <x v="2"/>
    <s v="Oui"/>
    <x v="2"/>
    <x v="2"/>
    <s v="CONGO"/>
    <s v="RALFF-CO4741"/>
    <s v="2.2"/>
    <m/>
  </r>
  <r>
    <d v="2023-07-01T00:00:00"/>
    <s v="Achat billet Pointe Noire-Brazzaville/Evariste"/>
    <x v="2"/>
    <s v="Media"/>
    <m/>
    <n v="15000"/>
    <n v="23396552"/>
    <x v="3"/>
    <s v="Oui"/>
    <x v="1"/>
    <x v="2"/>
    <s v="CONGO"/>
    <s v="RALFF-CO4742"/>
    <s v="2.2"/>
    <m/>
  </r>
  <r>
    <d v="2023-07-02T00:00:00"/>
    <s v="Reglement Facture Gardiennage Mois de Juin 2023/3654555"/>
    <x v="3"/>
    <s v="Office"/>
    <m/>
    <n v="260000"/>
    <n v="23136552"/>
    <x v="4"/>
    <n v="3654555"/>
    <x v="1"/>
    <x v="1"/>
    <s v="CONGO"/>
    <m/>
    <m/>
    <m/>
  </r>
  <r>
    <d v="2023-07-02T00:00:00"/>
    <s v="CREPIN - CONGO Frais de d'Hotel 02 Nuitéés du 30/06/ au 02/07/2023 à Pointe-Noire"/>
    <x v="4"/>
    <s v="Management"/>
    <m/>
    <n v="40000"/>
    <n v="23096552"/>
    <x v="2"/>
    <s v="Oui"/>
    <x v="1"/>
    <x v="2"/>
    <s v="CONGO"/>
    <s v="RALFF-CO4743"/>
    <s v="1.3.2"/>
    <m/>
  </r>
  <r>
    <d v="2023-07-02T00:00:00"/>
    <s v="Achat produits pharmaceutique du prevenu MALONGA"/>
    <x v="5"/>
    <s v="Legal"/>
    <m/>
    <n v="7280"/>
    <n v="23089272"/>
    <x v="5"/>
    <s v="Oui"/>
    <x v="1"/>
    <x v="1"/>
    <s v="CONGO"/>
    <m/>
    <m/>
    <m/>
  </r>
  <r>
    <d v="2023-07-02T00:00:00"/>
    <s v="EVARISTE - CONGO Frais d'hôtel du 25 juin au 02 juillet 2023 (7 nuitées) à Pointe Noire"/>
    <x v="4"/>
    <s v="Media"/>
    <m/>
    <n v="40000"/>
    <n v="23049272"/>
    <x v="3"/>
    <s v="Oui"/>
    <x v="1"/>
    <x v="2"/>
    <s v="CONGO"/>
    <s v="RALFF-CO4744"/>
    <s v="1.3.2"/>
    <m/>
  </r>
  <r>
    <d v="2023-07-03T00:00:00"/>
    <s v="Achat credit  teléphonique MTN/PALF/Prémière partie Juillet 2023/Management"/>
    <x v="6"/>
    <s v="Management"/>
    <m/>
    <n v="53000"/>
    <n v="22996272"/>
    <x v="1"/>
    <s v="Oui"/>
    <x v="2"/>
    <x v="2"/>
    <s v="CONGO"/>
    <s v="RALFF-CO4745"/>
    <s v="4.6"/>
    <m/>
  </r>
  <r>
    <d v="2023-07-03T00:00:00"/>
    <s v="Achat credit  teléphonique MTN/PALF/Prémière partie Juillet 2023/Legal"/>
    <x v="6"/>
    <s v="Legal"/>
    <m/>
    <n v="37000"/>
    <n v="22959272"/>
    <x v="1"/>
    <s v="Oui"/>
    <x v="2"/>
    <x v="2"/>
    <s v="CONGO"/>
    <s v="RALFF-CO4746"/>
    <s v="4.6"/>
    <m/>
  </r>
  <r>
    <d v="2023-07-03T00:00:00"/>
    <s v="Achat credit  teléphonique MTN/PALF/Prémière partie Juillet 2023/Legal Volontaire"/>
    <x v="6"/>
    <s v="Legal"/>
    <m/>
    <n v="21000"/>
    <n v="22938272"/>
    <x v="1"/>
    <s v="Oui"/>
    <x v="1"/>
    <x v="1"/>
    <s v="CONGO"/>
    <m/>
    <m/>
    <m/>
  </r>
  <r>
    <d v="2023-07-03T00:00:00"/>
    <s v="Achat credit  teléphonique MTN/PALF/Prémière partie Juillet 2023/Investigation"/>
    <x v="6"/>
    <s v="Investigation"/>
    <m/>
    <n v="52000"/>
    <n v="22886272"/>
    <x v="1"/>
    <s v="Oui"/>
    <x v="2"/>
    <x v="2"/>
    <s v="CONGO"/>
    <s v="RALFF-CO4747"/>
    <s v="4.6"/>
    <m/>
  </r>
  <r>
    <d v="2023-07-03T00:00:00"/>
    <s v="Achat credit  teléphonique MTN/PALF/Prémière partie Juillet 2023/Media"/>
    <x v="6"/>
    <s v="Media"/>
    <m/>
    <n v="10000"/>
    <n v="22876272"/>
    <x v="1"/>
    <s v="Oui"/>
    <x v="2"/>
    <x v="2"/>
    <s v="CONGO"/>
    <s v="RALFF-CO4748"/>
    <s v="4.6"/>
    <m/>
  </r>
  <r>
    <d v="2023-07-03T00:00:00"/>
    <s v="Achat credit  teléphonique Airtel/PALF/Prémière partie Juillet 2023/Management"/>
    <x v="6"/>
    <s v="Management"/>
    <m/>
    <n v="10000"/>
    <n v="22866272"/>
    <x v="1"/>
    <s v="Oui"/>
    <x v="2"/>
    <x v="2"/>
    <s v="CONGO"/>
    <s v="RALFF-CO4749"/>
    <s v="4.6"/>
    <m/>
  </r>
  <r>
    <d v="2023-07-03T00:00:00"/>
    <s v="Achat credit  teléphonique Airtel/PALF/Prémière partie Juillet 2023/Legal"/>
    <x v="6"/>
    <s v="Legal"/>
    <m/>
    <n v="5000"/>
    <n v="22861272"/>
    <x v="1"/>
    <s v="Oui"/>
    <x v="2"/>
    <x v="2"/>
    <s v="CONGO"/>
    <s v="RALFF-CO4750"/>
    <s v="4.6"/>
    <m/>
  </r>
  <r>
    <d v="2023-07-03T00:00:00"/>
    <s v="Achat credit  teléphonique Airtel/PALF/Prémière partie Juillet 2023/Investigation"/>
    <x v="6"/>
    <s v="Investigation"/>
    <m/>
    <n v="16000"/>
    <n v="22845272"/>
    <x v="1"/>
    <s v="Oui"/>
    <x v="2"/>
    <x v="2"/>
    <s v="CONGO"/>
    <s v="RALFF-CO4751"/>
    <s v="4.6"/>
    <m/>
  </r>
  <r>
    <d v="2023-07-03T00:00:00"/>
    <s v="Achat credit  teléphonique Airtel/PALF/Prémière partie Juillet 2023/Media"/>
    <x v="6"/>
    <s v="Media"/>
    <m/>
    <n v="11000"/>
    <n v="22834272"/>
    <x v="1"/>
    <s v="Oui"/>
    <x v="2"/>
    <x v="2"/>
    <s v="CONGO"/>
    <s v="RALFF-CO4752"/>
    <s v="4.6"/>
    <m/>
  </r>
  <r>
    <d v="2023-07-03T00:00:00"/>
    <s v="Bonus média portant sur l'interpellation,le 28 Juin 2023 à Pointe-Noire de 04 Présumés trafiquants/Télé Congo"/>
    <x v="7"/>
    <s v="Media"/>
    <m/>
    <n v="150000"/>
    <n v="22684272"/>
    <x v="1"/>
    <s v="Decharge"/>
    <x v="1"/>
    <x v="1"/>
    <s v="CONGO"/>
    <m/>
    <m/>
    <m/>
  </r>
  <r>
    <d v="2023-07-03T00:00:00"/>
    <s v="Reparation frigo/Bureau PALF"/>
    <x v="3"/>
    <s v="Office"/>
    <m/>
    <n v="4000"/>
    <n v="22680272"/>
    <x v="1"/>
    <s v="Oui"/>
    <x v="1"/>
    <x v="1"/>
    <s v="CONGO"/>
    <m/>
    <m/>
    <m/>
  </r>
  <r>
    <d v="2023-07-03T00:00:00"/>
    <s v="Merveille/retour caisse acompte frais d'hebergement Hélène"/>
    <x v="8"/>
    <m/>
    <n v="160000"/>
    <m/>
    <n v="22840272"/>
    <x v="1"/>
    <m/>
    <x v="0"/>
    <x v="0"/>
    <m/>
    <m/>
    <m/>
    <m/>
  </r>
  <r>
    <d v="2023-07-03T00:00:00"/>
    <s v="Retour caisse/Merveille"/>
    <x v="8"/>
    <m/>
    <m/>
    <n v="160000"/>
    <n v="22680272"/>
    <x v="6"/>
    <m/>
    <x v="0"/>
    <x v="0"/>
    <m/>
    <m/>
    <m/>
    <m/>
  </r>
  <r>
    <d v="2023-07-03T00:00:00"/>
    <s v="Frais d'imprission de 12 photos procédure juridique"/>
    <x v="9"/>
    <s v="Legal"/>
    <m/>
    <n v="2400"/>
    <n v="22677872"/>
    <x v="5"/>
    <s v="Oui"/>
    <x v="1"/>
    <x v="1"/>
    <s v="CONGO"/>
    <m/>
    <m/>
    <m/>
  </r>
  <r>
    <d v="2023-07-04T00:00:00"/>
    <s v="Donald-Roméo"/>
    <x v="8"/>
    <m/>
    <m/>
    <n v="68000"/>
    <n v="22609872"/>
    <x v="1"/>
    <m/>
    <x v="0"/>
    <x v="0"/>
    <m/>
    <m/>
    <m/>
    <m/>
  </r>
  <r>
    <d v="2023-07-04T00:00:00"/>
    <s v="P29"/>
    <x v="8"/>
    <m/>
    <m/>
    <n v="100000"/>
    <n v="22509872"/>
    <x v="1"/>
    <m/>
    <x v="0"/>
    <x v="0"/>
    <m/>
    <m/>
    <m/>
    <m/>
  </r>
  <r>
    <d v="2023-07-04T00:00:00"/>
    <s v="T73"/>
    <x v="8"/>
    <m/>
    <m/>
    <n v="100000"/>
    <n v="22409872"/>
    <x v="1"/>
    <m/>
    <x v="0"/>
    <x v="0"/>
    <m/>
    <m/>
    <m/>
    <m/>
  </r>
  <r>
    <d v="2023-07-04T00:00:00"/>
    <s v="D58"/>
    <x v="8"/>
    <m/>
    <m/>
    <n v="100000"/>
    <n v="22309872"/>
    <x v="1"/>
    <m/>
    <x v="0"/>
    <x v="0"/>
    <m/>
    <m/>
    <m/>
    <m/>
  </r>
  <r>
    <d v="2023-07-04T00:00:00"/>
    <s v="Crépin"/>
    <x v="8"/>
    <m/>
    <m/>
    <n v="94000"/>
    <n v="22215872"/>
    <x v="1"/>
    <m/>
    <x v="0"/>
    <x v="0"/>
    <m/>
    <m/>
    <m/>
    <m/>
  </r>
  <r>
    <d v="2023-07-04T00:00:00"/>
    <s v="Frais de transfert charden farell à Donald"/>
    <x v="10"/>
    <s v="Office"/>
    <m/>
    <n v="3660"/>
    <n v="22212212"/>
    <x v="1"/>
    <s v="Oui"/>
    <x v="2"/>
    <x v="2"/>
    <s v="CONGO"/>
    <s v="RALFF-CO4753"/>
    <s v="5.6"/>
    <m/>
  </r>
  <r>
    <d v="2023-07-04T00:00:00"/>
    <s v="Paiement CNSS deuxième trismestre 2023 /Avril,Mai et Juin  2023/Crépin IBOUILI IBOUILI"/>
    <x v="11"/>
    <s v="Legal"/>
    <m/>
    <n v="222625"/>
    <n v="21989587"/>
    <x v="7"/>
    <n v="3667361"/>
    <x v="2"/>
    <x v="2"/>
    <s v="CONGO"/>
    <s v="RALFF-CO4754"/>
    <s v="1.1.1.7"/>
    <m/>
  </r>
  <r>
    <d v="2023-07-04T00:00:00"/>
    <s v="Paiement CNSS premier trismestre 2023 /Avril,Mai et Juin  2023/Hurielle MFOULOU"/>
    <x v="11"/>
    <s v="Legal"/>
    <m/>
    <n v="103493"/>
    <n v="21886094"/>
    <x v="7"/>
    <n v="3667361"/>
    <x v="2"/>
    <x v="2"/>
    <s v="CONGO"/>
    <s v="RALFF-CO4755"/>
    <s v="1.1.1.7"/>
    <m/>
  </r>
  <r>
    <d v="2023-07-04T00:00:00"/>
    <s v="Paiement CNSS premier trismestre 2023 /Avril,Mai et Juin  2023/Donald-Roméo PINDI BINGA"/>
    <x v="11"/>
    <s v="Legal"/>
    <m/>
    <n v="129942"/>
    <n v="21756152"/>
    <x v="7"/>
    <n v="3667361"/>
    <x v="2"/>
    <x v="2"/>
    <s v="CONGO"/>
    <s v="RALFF-CO4756"/>
    <s v="1.1.1.7"/>
    <m/>
  </r>
  <r>
    <d v="2023-07-04T00:00:00"/>
    <s v="Paiement CNSS premier trismestre 2023 /Avril,Mai et Juin  2023/MOLENDE OVOULAS"/>
    <x v="11"/>
    <s v="Management"/>
    <m/>
    <n v="215485"/>
    <n v="21540667"/>
    <x v="7"/>
    <n v="3667361"/>
    <x v="2"/>
    <x v="2"/>
    <s v="CONGO"/>
    <s v="RALFF-CO4757"/>
    <s v="1.1.2.1"/>
    <m/>
  </r>
  <r>
    <d v="2023-07-04T00:00:00"/>
    <s v="Paiement CNSS premier trismestre 2023 /Avril,Mai et Juin  2023/Merveille MAHANGA"/>
    <x v="11"/>
    <s v="Management"/>
    <m/>
    <n v="177548"/>
    <n v="21363119"/>
    <x v="7"/>
    <n v="3667361"/>
    <x v="2"/>
    <x v="2"/>
    <s v="CONGO"/>
    <s v="RALFF-CO4758"/>
    <s v="1.1.2.1"/>
    <m/>
  </r>
  <r>
    <d v="2023-07-04T00:00:00"/>
    <s v="Paiement CNSS premier trismestre 2023 /Avril,Mai et Juin  2023/Evariste LELOUSSI"/>
    <x v="11"/>
    <s v="Media"/>
    <m/>
    <n v="125633"/>
    <n v="21237486"/>
    <x v="7"/>
    <n v="3667361"/>
    <x v="2"/>
    <x v="2"/>
    <s v="CONGO"/>
    <s v="RALFF-CO4759"/>
    <s v="1.1.1.4"/>
    <m/>
  </r>
  <r>
    <d v="2023-07-04T00:00:00"/>
    <s v="Reçu de caisse/Crépin"/>
    <x v="8"/>
    <m/>
    <n v="94000"/>
    <m/>
    <n v="21331486"/>
    <x v="2"/>
    <m/>
    <x v="0"/>
    <x v="0"/>
    <m/>
    <m/>
    <m/>
    <m/>
  </r>
  <r>
    <d v="2023-07-04T00:00:00"/>
    <s v="Recu caisse/D58"/>
    <x v="8"/>
    <m/>
    <n v="100000"/>
    <m/>
    <n v="21431486"/>
    <x v="8"/>
    <m/>
    <x v="0"/>
    <x v="0"/>
    <m/>
    <m/>
    <m/>
    <m/>
  </r>
  <r>
    <d v="2023-07-04T00:00:00"/>
    <s v="reçu de caisse/T73"/>
    <x v="8"/>
    <m/>
    <n v="100000"/>
    <m/>
    <n v="21531486"/>
    <x v="9"/>
    <m/>
    <x v="0"/>
    <x v="0"/>
    <m/>
    <m/>
    <m/>
    <m/>
  </r>
  <r>
    <d v="2023-07-04T00:00:00"/>
    <s v="achat billet : brazzaville - makoua/T73"/>
    <x v="2"/>
    <s v="Investigation"/>
    <m/>
    <n v="10000"/>
    <n v="21521486"/>
    <x v="9"/>
    <s v="Oui"/>
    <x v="1"/>
    <x v="2"/>
    <s v="CONGO"/>
    <s v="RALFF-CO4760"/>
    <s v="2.2"/>
    <m/>
  </r>
  <r>
    <d v="2023-07-04T00:00:00"/>
    <s v="DONALD - CONGO Frais d'hôtel 04 Nuitées du 30/06 au 04/07/2023 à Pointe Noire"/>
    <x v="4"/>
    <s v="Legal"/>
    <m/>
    <n v="80000"/>
    <n v="21441486"/>
    <x v="5"/>
    <s v="Oui"/>
    <x v="1"/>
    <x v="2"/>
    <s v="CONGO"/>
    <s v="RALFF-CO4761"/>
    <s v="1.3.2"/>
    <m/>
  </r>
  <r>
    <d v="2023-07-04T00:00:00"/>
    <s v="Reçu caisse/Donald"/>
    <x v="8"/>
    <m/>
    <n v="68000"/>
    <m/>
    <n v="21509486"/>
    <x v="5"/>
    <m/>
    <x v="0"/>
    <x v="0"/>
    <m/>
    <m/>
    <m/>
    <m/>
  </r>
  <r>
    <d v="2023-07-04T00:00:00"/>
    <s v="Reçu de caisse/P29"/>
    <x v="8"/>
    <m/>
    <n v="100000"/>
    <m/>
    <n v="21609486"/>
    <x v="10"/>
    <m/>
    <x v="0"/>
    <x v="0"/>
    <m/>
    <m/>
    <m/>
    <m/>
  </r>
  <r>
    <d v="2023-07-04T00:00:00"/>
    <s v="Achat billet brazzaville-ouesso/P29"/>
    <x v="2"/>
    <s v="Investigation"/>
    <m/>
    <n v="15000"/>
    <n v="21594486"/>
    <x v="10"/>
    <s v="Oui"/>
    <x v="1"/>
    <x v="2"/>
    <s v="CONGO"/>
    <s v="RALFF-CO4762"/>
    <s v="2.2"/>
    <m/>
  </r>
  <r>
    <d v="2023-07-05T00:00:00"/>
    <s v="BCI-3667353"/>
    <x v="8"/>
    <m/>
    <n v="2000000"/>
    <m/>
    <n v="23594486"/>
    <x v="1"/>
    <m/>
    <x v="0"/>
    <x v="0"/>
    <m/>
    <m/>
    <m/>
    <m/>
  </r>
  <r>
    <d v="2023-07-05T00:00:00"/>
    <s v="Oracle"/>
    <x v="8"/>
    <m/>
    <m/>
    <n v="88000"/>
    <n v="23506486"/>
    <x v="1"/>
    <m/>
    <x v="0"/>
    <x v="0"/>
    <m/>
    <m/>
    <m/>
    <m/>
  </r>
  <r>
    <d v="2023-07-05T00:00:00"/>
    <s v="Bonus du mois de Juin 2023/Grace"/>
    <x v="7"/>
    <s v="Management"/>
    <m/>
    <n v="50000"/>
    <n v="23456486"/>
    <x v="1"/>
    <s v="Decharge"/>
    <x v="1"/>
    <x v="1"/>
    <s v="CONGO"/>
    <m/>
    <m/>
    <m/>
  </r>
  <r>
    <d v="2023-07-05T00:00:00"/>
    <s v="Bonus du mois de Juin 2023/Merveille"/>
    <x v="7"/>
    <s v="Office"/>
    <m/>
    <n v="20000"/>
    <n v="23436486"/>
    <x v="1"/>
    <s v="Decharge"/>
    <x v="1"/>
    <x v="1"/>
    <s v="CONGO"/>
    <m/>
    <m/>
    <m/>
  </r>
  <r>
    <d v="2023-07-05T00:00:00"/>
    <s v="Bonus du mois de Juin 2023/Evariste"/>
    <x v="7"/>
    <s v="Media"/>
    <m/>
    <n v="20000"/>
    <n v="23416486"/>
    <x v="1"/>
    <s v="Decharge"/>
    <x v="1"/>
    <x v="1"/>
    <s v="CONGO"/>
    <m/>
    <m/>
    <m/>
  </r>
  <r>
    <d v="2023-07-05T00:00:00"/>
    <s v="Bonus du mois de Juin 2023/Hurielle"/>
    <x v="7"/>
    <s v="Legal"/>
    <m/>
    <n v="20000"/>
    <n v="23396486"/>
    <x v="1"/>
    <s v="Decharge"/>
    <x v="1"/>
    <x v="1"/>
    <s v="CONGO"/>
    <m/>
    <m/>
    <m/>
  </r>
  <r>
    <d v="2023-07-05T00:00:00"/>
    <s v="Bonus opération du 28 Juin 2023 à Pointe-Noire / Evariste"/>
    <x v="7"/>
    <s v="Operation"/>
    <m/>
    <n v="30000"/>
    <n v="23366486"/>
    <x v="1"/>
    <s v="Decharge"/>
    <x v="1"/>
    <x v="1"/>
    <s v="CONGO"/>
    <m/>
    <m/>
    <m/>
  </r>
  <r>
    <d v="2023-07-05T00:00:00"/>
    <s v="Bonus opération du 28 Juin 2023 à Pointe-Noire / Grace"/>
    <x v="7"/>
    <s v="Operation"/>
    <m/>
    <n v="25000"/>
    <n v="23341486"/>
    <x v="1"/>
    <s v="Decharge"/>
    <x v="1"/>
    <x v="1"/>
    <s v="CONGO"/>
    <m/>
    <m/>
    <m/>
  </r>
  <r>
    <d v="2023-07-05T00:00:00"/>
    <s v="Bonus opération du 28 Juin 2023 à Pointe-Noire / Merveille"/>
    <x v="7"/>
    <s v="Operation"/>
    <m/>
    <n v="25000"/>
    <n v="23316486"/>
    <x v="1"/>
    <s v="Decharge"/>
    <x v="1"/>
    <x v="1"/>
    <s v="CONGO"/>
    <m/>
    <m/>
    <m/>
  </r>
  <r>
    <d v="2023-07-05T00:00:00"/>
    <s v="Grace/retour caisse sur incident OP"/>
    <x v="8"/>
    <m/>
    <n v="90000"/>
    <m/>
    <n v="23406486"/>
    <x v="1"/>
    <m/>
    <x v="0"/>
    <x v="0"/>
    <m/>
    <m/>
    <m/>
    <m/>
  </r>
  <r>
    <d v="2023-07-05T00:00:00"/>
    <s v="Donald-Roméo"/>
    <x v="8"/>
    <m/>
    <m/>
    <n v="48500"/>
    <n v="23357986"/>
    <x v="1"/>
    <m/>
    <x v="0"/>
    <x v="0"/>
    <m/>
    <m/>
    <m/>
    <m/>
  </r>
  <r>
    <d v="2023-07-05T00:00:00"/>
    <s v="Frais de transfert charden farell à Donald"/>
    <x v="10"/>
    <s v="Office"/>
    <m/>
    <n v="1455"/>
    <n v="23356531"/>
    <x v="1"/>
    <s v="Oui"/>
    <x v="2"/>
    <x v="2"/>
    <s v="CONGO"/>
    <s v="RALFF-CO4763"/>
    <s v="5.6"/>
    <m/>
  </r>
  <r>
    <d v="2023-07-05T00:00:00"/>
    <s v="Reglement électricité periode Mai-Juin 2023"/>
    <x v="12"/>
    <s v="Office"/>
    <m/>
    <n v="68733"/>
    <n v="23287798"/>
    <x v="1"/>
    <s v="Oui"/>
    <x v="2"/>
    <x v="2"/>
    <s v="CONGO"/>
    <s v="RALFF-CO4764"/>
    <s v="4.4"/>
    <m/>
  </r>
  <r>
    <d v="2023-07-05T00:00:00"/>
    <s v="Taxes sur Reglement électricité periode Mai-Juin 2023"/>
    <x v="12"/>
    <s v="Office"/>
    <m/>
    <n v="14039"/>
    <n v="23273759"/>
    <x v="1"/>
    <s v="Oui"/>
    <x v="1"/>
    <x v="1"/>
    <s v="CONGO"/>
    <m/>
    <m/>
    <m/>
  </r>
  <r>
    <d v="2023-07-05T00:00:00"/>
    <s v="Retrait espèces chèque N°3667360"/>
    <x v="8"/>
    <m/>
    <m/>
    <n v="2000000"/>
    <n v="21273759"/>
    <x v="7"/>
    <n v="3667360"/>
    <x v="0"/>
    <x v="0"/>
    <m/>
    <m/>
    <m/>
    <m/>
  </r>
  <r>
    <d v="2023-07-05T00:00:00"/>
    <s v="Frais bancaire/Compte 56"/>
    <x v="13"/>
    <s v="Office"/>
    <m/>
    <n v="35114"/>
    <n v="21238645"/>
    <x v="7"/>
    <s v="Relevé"/>
    <x v="2"/>
    <x v="2"/>
    <s v="CONGO"/>
    <s v="RALFF-CO4765"/>
    <s v="5.6"/>
    <m/>
  </r>
  <r>
    <d v="2023-07-05T00:00:00"/>
    <s v="CREPIN - CONGO Food-Allowance 03 Nuitées du 05 au 08/07/2023 à Dolisie"/>
    <x v="4"/>
    <s v="Management"/>
    <m/>
    <n v="30000"/>
    <n v="21208645"/>
    <x v="2"/>
    <s v="Decharge"/>
    <x v="1"/>
    <x v="2"/>
    <s v="CONGO"/>
    <s v="RALFF-CO4766"/>
    <s v="1.3.2"/>
    <m/>
  </r>
  <r>
    <d v="2023-07-05T00:00:00"/>
    <s v="Billet: Brazzaville-Dolisie/Crépin"/>
    <x v="2"/>
    <s v="Management"/>
    <m/>
    <n v="7000"/>
    <n v="21201645"/>
    <x v="2"/>
    <s v="Oui"/>
    <x v="2"/>
    <x v="2"/>
    <s v="CONGO"/>
    <s v="RALFF-CO4767"/>
    <s v="2.2"/>
    <m/>
  </r>
  <r>
    <d v="2023-07-05T00:00:00"/>
    <s v="Achat billet pour  BRAZZAVILLE - DJAMBALA /D58"/>
    <x v="2"/>
    <s v="Investigation"/>
    <m/>
    <n v="5000"/>
    <n v="21196645"/>
    <x v="8"/>
    <s v="Oui"/>
    <x v="1"/>
    <x v="2"/>
    <s v="CONGO"/>
    <s v="RALFF-CO4768"/>
    <s v="2.2"/>
    <m/>
  </r>
  <r>
    <d v="2023-07-05T00:00:00"/>
    <s v="D58 - CONGO Food allowance du 05 au12 /07/2023 (07 nuitées)"/>
    <x v="4"/>
    <s v="Investigation"/>
    <m/>
    <n v="70000"/>
    <n v="21126645"/>
    <x v="8"/>
    <s v="Decharge"/>
    <x v="1"/>
    <x v="2"/>
    <s v="CONGO"/>
    <s v="RALFF-CO4769"/>
    <s v="1.3.2"/>
    <m/>
  </r>
  <r>
    <d v="2023-07-05T00:00:00"/>
    <s v="T73 - CONGO Food Allowance du 05 au 12/07/2023 (07 nuitées)"/>
    <x v="4"/>
    <s v="Investigation"/>
    <m/>
    <n v="70000"/>
    <n v="21056645"/>
    <x v="9"/>
    <s v="Decharge"/>
    <x v="1"/>
    <x v="2"/>
    <s v="CONGO"/>
    <s v="RALFF-CO4770"/>
    <s v="1.3.2"/>
    <m/>
  </r>
  <r>
    <d v="2023-07-05T00:00:00"/>
    <s v="Achat cartouche A17 et Ram papier pour la procedure gendarmerie"/>
    <x v="9"/>
    <s v="Legal"/>
    <m/>
    <n v="48500"/>
    <n v="21008145"/>
    <x v="5"/>
    <s v="Oui"/>
    <x v="1"/>
    <x v="1"/>
    <s v="CONGO"/>
    <m/>
    <m/>
    <m/>
  </r>
  <r>
    <d v="2023-07-05T00:00:00"/>
    <s v="Reçu caisse/Donald"/>
    <x v="8"/>
    <m/>
    <n v="48500"/>
    <m/>
    <n v="21056645"/>
    <x v="5"/>
    <m/>
    <x v="0"/>
    <x v="0"/>
    <m/>
    <m/>
    <m/>
    <m/>
  </r>
  <r>
    <d v="2023-07-05T00:00:00"/>
    <s v="Retour Caisse/Grace MOLENDE"/>
    <x v="8"/>
    <m/>
    <m/>
    <n v="90000"/>
    <n v="20966645"/>
    <x v="11"/>
    <m/>
    <x v="0"/>
    <x v="0"/>
    <m/>
    <m/>
    <m/>
    <m/>
  </r>
  <r>
    <d v="2023-07-05T00:00:00"/>
    <s v="Reçu caisse/Oracle"/>
    <x v="8"/>
    <m/>
    <n v="88000"/>
    <m/>
    <n v="21054645"/>
    <x v="12"/>
    <m/>
    <x v="0"/>
    <x v="0"/>
    <m/>
    <m/>
    <m/>
    <m/>
  </r>
  <r>
    <d v="2023-07-05T00:00:00"/>
    <s v="P29 - CONGO Food allowance mission du 05-07au 12-07-2023 (07 nuitées)"/>
    <x v="4"/>
    <s v="Investigation"/>
    <m/>
    <n v="70000"/>
    <n v="20984645"/>
    <x v="10"/>
    <s v="Decharge"/>
    <x v="1"/>
    <x v="2"/>
    <s v="CONGO"/>
    <s v="RALFF-CO4771"/>
    <s v="1.3.2"/>
    <m/>
  </r>
  <r>
    <d v="2023-07-06T00:00:00"/>
    <s v="Donald-Roméo"/>
    <x v="8"/>
    <m/>
    <m/>
    <n v="29000"/>
    <n v="20955645"/>
    <x v="1"/>
    <m/>
    <x v="0"/>
    <x v="0"/>
    <m/>
    <m/>
    <m/>
    <m/>
  </r>
  <r>
    <d v="2023-07-06T00:00:00"/>
    <s v="Frais de transfert charden farell à Donald"/>
    <x v="10"/>
    <s v="Office"/>
    <m/>
    <n v="1680"/>
    <n v="20953965"/>
    <x v="1"/>
    <s v="Oui"/>
    <x v="2"/>
    <x v="2"/>
    <s v="CONGO"/>
    <s v="RALFF-CO4772"/>
    <s v="5.6"/>
    <m/>
  </r>
  <r>
    <d v="2023-07-06T00:00:00"/>
    <s v="Frais bancaire/56"/>
    <x v="13"/>
    <s v="Office"/>
    <m/>
    <n v="23345"/>
    <n v="20930620"/>
    <x v="4"/>
    <s v="Relevé"/>
    <x v="1"/>
    <x v="1"/>
    <s v="CONGO"/>
    <m/>
    <m/>
    <m/>
  </r>
  <r>
    <d v="2023-07-06T00:00:00"/>
    <s v="Reçu caisse/Donald"/>
    <x v="8"/>
    <m/>
    <n v="29000"/>
    <m/>
    <n v="20959620"/>
    <x v="5"/>
    <m/>
    <x v="0"/>
    <x v="0"/>
    <m/>
    <m/>
    <m/>
    <m/>
  </r>
  <r>
    <d v="2023-07-06T00:00:00"/>
    <s v="Achat billet Brazzaville - Loudima/Oracle"/>
    <x v="2"/>
    <s v="Legal"/>
    <m/>
    <n v="9000"/>
    <n v="20950620"/>
    <x v="12"/>
    <s v="Oui"/>
    <x v="1"/>
    <x v="1"/>
    <s v="CONGO"/>
    <m/>
    <m/>
    <m/>
  </r>
  <r>
    <d v="2023-07-06T00:00:00"/>
    <s v="Billet Loudima - Gare routière de Sibiti /Oracle"/>
    <x v="2"/>
    <s v="Legal"/>
    <m/>
    <n v="3500"/>
    <n v="20947120"/>
    <x v="12"/>
    <s v="Oui"/>
    <x v="1"/>
    <x v="1"/>
    <s v="CONGO"/>
    <m/>
    <m/>
    <m/>
  </r>
  <r>
    <d v="2023-07-06T00:00:00"/>
    <s v="ORACLE - CONGO Food allowance du 06 au 08 juillet 2023 (02 nuitées) à Sibiti"/>
    <x v="4"/>
    <s v="Legal"/>
    <m/>
    <n v="20000"/>
    <n v="20927120"/>
    <x v="12"/>
    <s v="Decharge"/>
    <x v="1"/>
    <x v="1"/>
    <s v="CONGO"/>
    <m/>
    <m/>
    <m/>
  </r>
  <r>
    <d v="2023-07-06T00:00:00"/>
    <s v="Achat Carburant Goupe electrogène"/>
    <x v="12"/>
    <s v="Office"/>
    <m/>
    <n v="25000"/>
    <n v="20902120"/>
    <x v="1"/>
    <s v="Oui"/>
    <x v="2"/>
    <x v="2"/>
    <s v="CONGO"/>
    <s v="RALFF-CO4773"/>
    <s v="4.4"/>
    <m/>
  </r>
  <r>
    <d v="2023-07-07T00:00:00"/>
    <s v="T73"/>
    <x v="8"/>
    <m/>
    <m/>
    <n v="149000"/>
    <n v="20753120"/>
    <x v="1"/>
    <m/>
    <x v="0"/>
    <x v="0"/>
    <m/>
    <m/>
    <m/>
    <m/>
  </r>
  <r>
    <d v="2023-07-07T00:00:00"/>
    <s v="P29"/>
    <x v="8"/>
    <m/>
    <m/>
    <n v="148000"/>
    <n v="20605120"/>
    <x v="1"/>
    <m/>
    <x v="0"/>
    <x v="0"/>
    <m/>
    <m/>
    <m/>
    <m/>
  </r>
  <r>
    <d v="2023-07-07T00:00:00"/>
    <s v="D58"/>
    <x v="8"/>
    <m/>
    <m/>
    <n v="141000"/>
    <n v="20464120"/>
    <x v="1"/>
    <m/>
    <x v="0"/>
    <x v="0"/>
    <m/>
    <m/>
    <m/>
    <m/>
  </r>
  <r>
    <d v="2023-07-07T00:00:00"/>
    <s v="Crépin"/>
    <x v="8"/>
    <m/>
    <m/>
    <n v="33000"/>
    <n v="20431120"/>
    <x v="1"/>
    <m/>
    <x v="0"/>
    <x v="0"/>
    <m/>
    <m/>
    <m/>
    <m/>
  </r>
  <r>
    <d v="2023-07-07T00:00:00"/>
    <s v="Frais de transfert charden farell à T73,Crépin,D58 et P29"/>
    <x v="10"/>
    <s v="Office"/>
    <m/>
    <n v="14130"/>
    <n v="20416990"/>
    <x v="1"/>
    <s v="Oui"/>
    <x v="2"/>
    <x v="2"/>
    <s v="CONGO"/>
    <s v="RALFF-CO4774"/>
    <s v="5.6"/>
    <m/>
  </r>
  <r>
    <d v="2023-07-07T00:00:00"/>
    <s v="Collation (Achat boisson et biscuits)"/>
    <x v="11"/>
    <s v="Team Building"/>
    <m/>
    <n v="14550"/>
    <n v="20402440"/>
    <x v="1"/>
    <s v="Oui"/>
    <x v="1"/>
    <x v="1"/>
    <s v="CONGO"/>
    <m/>
    <m/>
    <m/>
  </r>
  <r>
    <d v="2023-07-07T00:00:00"/>
    <s v="Bonus média portant sur l'interpellation,le 28 Juin 2023 à Pointe-Noire de 04 Présumés trafiquants de perroquets gris du gabon"/>
    <x v="7"/>
    <s v="Media"/>
    <m/>
    <n v="91000"/>
    <n v="20311440"/>
    <x v="1"/>
    <s v="Decharge"/>
    <x v="1"/>
    <x v="1"/>
    <s v="CONGO"/>
    <m/>
    <m/>
    <m/>
  </r>
  <r>
    <d v="2023-07-07T00:00:00"/>
    <s v="Reçu de caisse/Crépin"/>
    <x v="8"/>
    <m/>
    <n v="33000"/>
    <m/>
    <n v="20344440"/>
    <x v="2"/>
    <m/>
    <x v="0"/>
    <x v="0"/>
    <m/>
    <m/>
    <m/>
    <m/>
  </r>
  <r>
    <d v="2023-07-07T00:00:00"/>
    <s v="Cumul frais de Jail Visit mois de Juillet 2023/Crépin IBOUILI"/>
    <x v="5"/>
    <s v="Management"/>
    <m/>
    <n v="25000"/>
    <n v="20319440"/>
    <x v="2"/>
    <s v="Decharge"/>
    <x v="1"/>
    <x v="1"/>
    <s v="CONGO"/>
    <m/>
    <m/>
    <m/>
  </r>
  <r>
    <d v="2023-07-07T00:00:00"/>
    <s v="DONALD - CONGO Frais d'hôtel 03 Nuitées du 04 au 07/07/2023 à Pointe Noire"/>
    <x v="4"/>
    <s v="Legal"/>
    <m/>
    <n v="45000"/>
    <n v="20274440"/>
    <x v="5"/>
    <s v="Oui"/>
    <x v="1"/>
    <x v="2"/>
    <s v="CONGO"/>
    <s v="RALFF-CO4775"/>
    <s v="1.3.2"/>
    <m/>
  </r>
  <r>
    <d v="2023-07-07T00:00:00"/>
    <s v="Recu caisse/D58"/>
    <x v="8"/>
    <m/>
    <n v="141000"/>
    <m/>
    <n v="20415440"/>
    <x v="8"/>
    <m/>
    <x v="0"/>
    <x v="0"/>
    <m/>
    <m/>
    <m/>
    <m/>
  </r>
  <r>
    <d v="2023-07-07T00:00:00"/>
    <s v="reçu de caisse/T73"/>
    <x v="8"/>
    <m/>
    <n v="149000"/>
    <m/>
    <n v="20564440"/>
    <x v="9"/>
    <m/>
    <x v="0"/>
    <x v="0"/>
    <m/>
    <m/>
    <m/>
    <m/>
  </r>
  <r>
    <d v="2023-07-07T00:00:00"/>
    <s v="Achat billet Pointe-Noire-Brazzaville/Donald-Roméo"/>
    <x v="2"/>
    <s v="Legal"/>
    <m/>
    <n v="15000"/>
    <n v="20549440"/>
    <x v="5"/>
    <s v="Oui"/>
    <x v="1"/>
    <x v="2"/>
    <s v="CONGO"/>
    <s v="RALFF-CO4776"/>
    <s v="2.2"/>
    <m/>
  </r>
  <r>
    <d v="2023-07-08T00:00:00"/>
    <s v="Billet: Dolisie-Brazzaville/Crépin"/>
    <x v="2"/>
    <s v="Management"/>
    <m/>
    <n v="10000"/>
    <n v="20539440"/>
    <x v="2"/>
    <s v="Oui"/>
    <x v="2"/>
    <x v="2"/>
    <s v="CONGO"/>
    <s v="RALFF-CO4777"/>
    <s v="2.2"/>
    <m/>
  </r>
  <r>
    <d v="2023-07-07T00:00:00"/>
    <s v="Reçu de caisse/P29"/>
    <x v="8"/>
    <m/>
    <n v="148000"/>
    <m/>
    <n v="20687440"/>
    <x v="10"/>
    <m/>
    <x v="0"/>
    <x v="0"/>
    <m/>
    <m/>
    <m/>
    <m/>
  </r>
  <r>
    <d v="2023-07-08T00:00:00"/>
    <s v="CREPIN - CONGO Frais de d'Hotel 03 Nuitées à  Dolisie du 05 au 08/07/2023"/>
    <x v="4"/>
    <s v="Management"/>
    <m/>
    <n v="45000"/>
    <n v="20642440"/>
    <x v="2"/>
    <s v="Oui"/>
    <x v="1"/>
    <x v="2"/>
    <s v="CONGO"/>
    <s v="RALFF-CO4778"/>
    <s v="1.3.2"/>
    <m/>
  </r>
  <r>
    <d v="2023-07-08T00:00:00"/>
    <s v="T73 - CONGO Frais d'Hotel du 05 au 08/07/2023 (03 nuitées) à makoua"/>
    <x v="4"/>
    <s v="Investigation"/>
    <m/>
    <n v="45000"/>
    <n v="20597440"/>
    <x v="9"/>
    <s v="Oui"/>
    <x v="1"/>
    <x v="2"/>
    <s v="CONGO"/>
    <s v="RALFF-CO4779"/>
    <s v="1.3.2"/>
    <m/>
  </r>
  <r>
    <d v="2023-07-08T00:00:00"/>
    <s v=" achat billet : makoua - boundji /T73"/>
    <x v="2"/>
    <s v="Investigation"/>
    <m/>
    <n v="6000"/>
    <n v="20591440"/>
    <x v="9"/>
    <s v="Oui"/>
    <x v="1"/>
    <x v="2"/>
    <s v="CONGO"/>
    <s v="RALFF-CO4780"/>
    <s v="2.2"/>
    <m/>
  </r>
  <r>
    <d v="2023-07-08T00:00:00"/>
    <s v="ORACLE - CONGO Frais d’hôtel du 06 au 08 juillet 2023 (02 nuitées) à Sibiti"/>
    <x v="4"/>
    <s v="Legal"/>
    <m/>
    <n v="30000"/>
    <n v="20561440"/>
    <x v="12"/>
    <s v="Oui"/>
    <x v="1"/>
    <x v="1"/>
    <s v="CONGO"/>
    <m/>
    <m/>
    <m/>
  </r>
  <r>
    <d v="2023-07-08T00:00:00"/>
    <s v="Billet Gare routière de Sibiti - Loudima/Oracle"/>
    <x v="2"/>
    <s v="Legal"/>
    <m/>
    <n v="3500"/>
    <n v="20557940"/>
    <x v="12"/>
    <s v="Oui"/>
    <x v="1"/>
    <x v="1"/>
    <s v="CONGO"/>
    <m/>
    <m/>
    <m/>
  </r>
  <r>
    <d v="2023-07-08T00:00:00"/>
    <s v="Achat billet de bus: Loudima - Brazzaville/Oracle"/>
    <x v="2"/>
    <s v="Legal"/>
    <m/>
    <n v="9000"/>
    <n v="20548940"/>
    <x v="12"/>
    <s v="Oui"/>
    <x v="1"/>
    <x v="1"/>
    <s v="CONGO"/>
    <m/>
    <m/>
    <m/>
  </r>
  <r>
    <d v="2023-07-08T00:00:00"/>
    <s v="Achat billet ouesso-owando/P29"/>
    <x v="2"/>
    <s v="Investigation"/>
    <m/>
    <n v="8000"/>
    <n v="20540940"/>
    <x v="10"/>
    <s v="Oui"/>
    <x v="1"/>
    <x v="2"/>
    <s v="CONGO"/>
    <s v="RALFF-CO4781"/>
    <s v="2.2"/>
    <m/>
  </r>
  <r>
    <d v="2023-07-08T00:00:00"/>
    <s v="P29 - CONGO Frais d'Hotel 03 nuitées du 05 au 08/07/2023  à Ouesso"/>
    <x v="4"/>
    <s v="Investigation"/>
    <m/>
    <n v="45000"/>
    <n v="20495940"/>
    <x v="10"/>
    <s v="Oui"/>
    <x v="1"/>
    <x v="2"/>
    <s v="CONGO"/>
    <s v="RALFF-CO4782"/>
    <s v="1.3.2"/>
    <m/>
  </r>
  <r>
    <d v="2023-07-09T00:00:00"/>
    <s v="T73 - CONGO Frais d'Hotel du 08 au 09/07/2023 (01 nuitée) à boundji"/>
    <x v="4"/>
    <s v="Investigation"/>
    <m/>
    <n v="15000"/>
    <n v="20480940"/>
    <x v="9"/>
    <s v="Oui"/>
    <x v="1"/>
    <x v="2"/>
    <s v="CONGO"/>
    <s v="RALFF-CO4783"/>
    <s v="1.3.2"/>
    <m/>
  </r>
  <r>
    <d v="2023-07-09T00:00:00"/>
    <s v="achat billet : boundji - ewo/T73"/>
    <x v="2"/>
    <s v="Investigation"/>
    <m/>
    <n v="5000"/>
    <n v="20475940"/>
    <x v="9"/>
    <s v="Oui"/>
    <x v="1"/>
    <x v="2"/>
    <s v="CONGO"/>
    <s v="RALFF-CO4784"/>
    <s v="2.2"/>
    <m/>
  </r>
  <r>
    <d v="2023-07-10T00:00:00"/>
    <s v="Bonus du mois de Juin 2023/Crépin"/>
    <x v="7"/>
    <s v="Legal"/>
    <m/>
    <n v="50000"/>
    <n v="20425940"/>
    <x v="1"/>
    <s v="Decharge"/>
    <x v="1"/>
    <x v="1"/>
    <s v="CONGO"/>
    <m/>
    <m/>
    <m/>
  </r>
  <r>
    <d v="2023-07-10T00:00:00"/>
    <s v="Bonus opération du 28 Juin 2023 à Pointe-Noire /Crépin"/>
    <x v="7"/>
    <s v="Operation"/>
    <m/>
    <n v="50000"/>
    <n v="20375940"/>
    <x v="1"/>
    <s v="Decharge"/>
    <x v="1"/>
    <x v="1"/>
    <s v="CONGO"/>
    <m/>
    <m/>
    <m/>
  </r>
  <r>
    <d v="2023-07-10T00:00:00"/>
    <s v="D58 - CONGO Frais d'hotel du 05 au 10/07/2023 à Djambala (05 nuitées)"/>
    <x v="4"/>
    <s v="Investigation"/>
    <m/>
    <n v="75000"/>
    <n v="20300940"/>
    <x v="8"/>
    <s v="Oui"/>
    <x v="1"/>
    <x v="2"/>
    <s v="CONGO"/>
    <s v="RALFF-CO4785"/>
    <s v="1.3.2"/>
    <m/>
  </r>
  <r>
    <d v="2023-07-10T00:00:00"/>
    <s v="Achat billet pour Djambala - Lekana /D58"/>
    <x v="2"/>
    <s v="Investigation"/>
    <m/>
    <n v="3000"/>
    <n v="20297940"/>
    <x v="8"/>
    <s v="Oui"/>
    <x v="1"/>
    <x v="2"/>
    <s v="CONGO"/>
    <s v="RALFF-CO4786"/>
    <s v="2.2"/>
    <m/>
  </r>
  <r>
    <d v="2023-07-10T00:00:00"/>
    <s v="Retour caisse/Donald"/>
    <x v="8"/>
    <m/>
    <m/>
    <n v="65000"/>
    <n v="20232940"/>
    <x v="5"/>
    <m/>
    <x v="0"/>
    <x v="0"/>
    <m/>
    <m/>
    <m/>
    <m/>
  </r>
  <r>
    <d v="2023-07-10T00:00:00"/>
    <s v="Achat billet owando - Oyo/P29"/>
    <x v="2"/>
    <s v="Investigation"/>
    <m/>
    <n v="3000"/>
    <n v="20229940"/>
    <x v="10"/>
    <s v="Oui"/>
    <x v="1"/>
    <x v="2"/>
    <s v="CONGO"/>
    <s v="RALFF-CO4787"/>
    <s v="2.2"/>
    <m/>
  </r>
  <r>
    <d v="2023-07-10T00:00:00"/>
    <s v="P29 - CONGO Frais d'Hotel 02 nuitées du 08 au 10/07/2023  à Owando"/>
    <x v="4"/>
    <s v="Investigation"/>
    <m/>
    <n v="30000"/>
    <n v="20199940"/>
    <x v="10"/>
    <s v="Oui"/>
    <x v="1"/>
    <x v="2"/>
    <s v="CONGO"/>
    <s v="RALFF-CO4788"/>
    <s v="1.3.2"/>
    <m/>
  </r>
  <r>
    <d v="2023-07-11T00:00:00"/>
    <s v="Bonus du mois de Juin 2023/Donald-Roméo"/>
    <x v="7"/>
    <s v="Legal"/>
    <m/>
    <n v="20000"/>
    <n v="20179940"/>
    <x v="1"/>
    <s v="Decharge"/>
    <x v="1"/>
    <x v="1"/>
    <s v="CONGO"/>
    <m/>
    <m/>
    <m/>
  </r>
  <r>
    <d v="2023-07-11T00:00:00"/>
    <s v="Bonus opération du 28 Juin 2023 à Pointe-Noire /Donald-Roméo"/>
    <x v="7"/>
    <s v="Operation"/>
    <m/>
    <n v="30000"/>
    <n v="20149940"/>
    <x v="1"/>
    <s v="Decharge"/>
    <x v="1"/>
    <x v="1"/>
    <s v="CONGO"/>
    <m/>
    <m/>
    <m/>
  </r>
  <r>
    <d v="2023-07-11T00:00:00"/>
    <s v="Donald-Roméo"/>
    <x v="8"/>
    <m/>
    <m/>
    <n v="104000"/>
    <n v="20045940"/>
    <x v="1"/>
    <m/>
    <x v="0"/>
    <x v="0"/>
    <m/>
    <m/>
    <m/>
    <m/>
  </r>
  <r>
    <d v="2023-07-11T00:00:00"/>
    <s v="Donald-Roméo/Retour caisse"/>
    <x v="8"/>
    <m/>
    <n v="65000"/>
    <m/>
    <n v="20110940"/>
    <x v="1"/>
    <m/>
    <x v="0"/>
    <x v="0"/>
    <m/>
    <m/>
    <m/>
    <m/>
  </r>
  <r>
    <d v="2023-07-11T00:00:00"/>
    <s v="Frais de mission maitre Marie Hélène NANITEMIO du 12 au 14/07/2023 à Pointe-Noire /Cas NTONDELE et Consorts"/>
    <x v="1"/>
    <s v="Legal"/>
    <m/>
    <n v="138000"/>
    <n v="19972940"/>
    <x v="1"/>
    <s v="Oui"/>
    <x v="1"/>
    <x v="1"/>
    <s v="CONGO"/>
    <m/>
    <m/>
    <m/>
  </r>
  <r>
    <d v="2023-07-11T00:00:00"/>
    <s v="Paiement Honoraire Me LOCKO/Mois de Mai  2023/3654556"/>
    <x v="1"/>
    <s v="Legal"/>
    <m/>
    <n v="150000"/>
    <n v="19822940"/>
    <x v="4"/>
    <n v="3654556"/>
    <x v="1"/>
    <x v="1"/>
    <s v="CONGO"/>
    <m/>
    <m/>
    <m/>
  </r>
  <r>
    <d v="2023-07-11T00:00:00"/>
    <s v="Reglement loyer mois de Juin 2023/Pluriel solution ch N°3667362"/>
    <x v="12"/>
    <s v="Office"/>
    <m/>
    <n v="500000"/>
    <n v="19322940"/>
    <x v="7"/>
    <n v="3667362"/>
    <x v="2"/>
    <x v="2"/>
    <s v="CONGO"/>
    <s v="RALFF-CO4789"/>
    <s v="4.2"/>
    <m/>
  </r>
  <r>
    <d v="2023-07-11T00:00:00"/>
    <s v="Reçu caisse/Donald"/>
    <x v="8"/>
    <m/>
    <n v="104000"/>
    <m/>
    <n v="19426940"/>
    <x v="5"/>
    <m/>
    <x v="0"/>
    <x v="0"/>
    <m/>
    <m/>
    <m/>
    <m/>
  </r>
  <r>
    <d v="2023-07-11T00:00:00"/>
    <s v="Achat billet Brazzaville-Pointe-Noire/Donald-Roméo"/>
    <x v="2"/>
    <s v="Legal"/>
    <m/>
    <n v="15000"/>
    <n v="19411940"/>
    <x v="5"/>
    <s v="Oui"/>
    <x v="1"/>
    <x v="2"/>
    <s v="CONGO"/>
    <s v="RALFF-CO4790"/>
    <s v="2.2"/>
    <m/>
  </r>
  <r>
    <d v="2023-07-11T00:00:00"/>
    <s v="Achat billet oyo-Brazzaville/P29"/>
    <x v="2"/>
    <s v="Investigation"/>
    <m/>
    <n v="5000"/>
    <n v="19406940"/>
    <x v="10"/>
    <s v="Oui"/>
    <x v="1"/>
    <x v="2"/>
    <s v="CONGO"/>
    <s v="RALFF-CO4791"/>
    <s v="2.2"/>
    <m/>
  </r>
  <r>
    <d v="2023-07-12T00:00:00"/>
    <s v="Impression cartes de visite coordinateur/EAGLE"/>
    <x v="9"/>
    <s v="Office"/>
    <m/>
    <n v="25000"/>
    <n v="19381940"/>
    <x v="1"/>
    <s v="Oui"/>
    <x v="1"/>
    <x v="1"/>
    <s v="CONGO"/>
    <m/>
    <m/>
    <m/>
  </r>
  <r>
    <d v="2023-07-12T00:00:00"/>
    <s v="Achat eau minerale/Bureau"/>
    <x v="9"/>
    <s v="Office"/>
    <m/>
    <n v="18000"/>
    <n v="19363940"/>
    <x v="1"/>
    <s v="Oui"/>
    <x v="2"/>
    <x v="2"/>
    <s v="CONGO"/>
    <s v="RALFF-CO4792"/>
    <s v="4.3"/>
    <m/>
  </r>
  <r>
    <d v="2023-07-12T00:00:00"/>
    <s v="Bonus média portant sur l'interpellation,le 28 Juin 2023 à Pointe-Noire de 04 Présumés trafiquants de perroquets gris du gabon"/>
    <x v="7"/>
    <s v="Media"/>
    <m/>
    <n v="48000"/>
    <n v="19315940"/>
    <x v="1"/>
    <s v="Decharge"/>
    <x v="1"/>
    <x v="1"/>
    <s v="CONGO"/>
    <m/>
    <m/>
    <m/>
  </r>
  <r>
    <d v="2023-07-12T00:00:00"/>
    <s v="Achat billet pour Lekana - BRAZZAVILLE /D58"/>
    <x v="2"/>
    <s v="Investigation"/>
    <m/>
    <n v="8000"/>
    <n v="19307940"/>
    <x v="8"/>
    <s v="Oui"/>
    <x v="1"/>
    <x v="2"/>
    <s v="CONGO"/>
    <s v="RALFF-CO4793"/>
    <s v="2.2"/>
    <m/>
  </r>
  <r>
    <d v="2023-07-12T00:00:00"/>
    <s v="D58 - CONGO Frais d'hotel du 10 au 12/07/2023 à Lekana (02 nuitées)"/>
    <x v="4"/>
    <s v="Investigation"/>
    <m/>
    <n v="30000"/>
    <n v="19277940"/>
    <x v="8"/>
    <s v="Oui"/>
    <x v="1"/>
    <x v="2"/>
    <s v="CONGO"/>
    <s v="RALFF-CO4794"/>
    <s v="1.3.2"/>
    <m/>
  </r>
  <r>
    <d v="2023-07-12T00:00:00"/>
    <s v="T73 - CONGO Frais d'Hotel du 09 au 12/07/2023 (03 nuitées) à ewo"/>
    <x v="4"/>
    <s v="Investigation"/>
    <m/>
    <n v="45000"/>
    <n v="19232940"/>
    <x v="9"/>
    <s v="Oui"/>
    <x v="1"/>
    <x v="1"/>
    <s v="CONGO"/>
    <m/>
    <m/>
    <m/>
  </r>
  <r>
    <d v="2023-07-12T00:00:00"/>
    <s v="Achat billet : Ewo - Brazzaville /T73"/>
    <x v="2"/>
    <s v="Investigation"/>
    <m/>
    <n v="15000"/>
    <n v="19217940"/>
    <x v="9"/>
    <s v="Oui"/>
    <x v="1"/>
    <x v="2"/>
    <s v="CONGO"/>
    <s v="RALFF-CO4795"/>
    <s v="2.2"/>
    <m/>
  </r>
  <r>
    <d v="2023-07-12T00:00:00"/>
    <s v="DONALD - CONGO Food Allowance Mission du 12 au 15/07/2023 _ 03 nuitées"/>
    <x v="4"/>
    <s v="Legal"/>
    <m/>
    <n v="30000"/>
    <n v="19187940"/>
    <x v="5"/>
    <s v="Oui"/>
    <x v="1"/>
    <x v="2"/>
    <s v="CONGO"/>
    <s v="RALFF-CO4796"/>
    <s v="1.3.2"/>
    <m/>
  </r>
  <r>
    <d v="2023-07-12T00:00:00"/>
    <s v="P29 - CONGO Frais d'Hotel 02 nuitées du 10 au 12/07/2023  à Oyo"/>
    <x v="4"/>
    <s v="Investigation"/>
    <m/>
    <n v="30000"/>
    <n v="19157940"/>
    <x v="10"/>
    <s v="Oui"/>
    <x v="1"/>
    <x v="2"/>
    <s v="CONGO"/>
    <s v="RALFF-CO4797"/>
    <s v="1.3.2"/>
    <m/>
  </r>
  <r>
    <d v="2023-07-13T00:00:00"/>
    <s v="Oracle"/>
    <x v="8"/>
    <m/>
    <m/>
    <n v="15000"/>
    <n v="19142940"/>
    <x v="1"/>
    <m/>
    <x v="0"/>
    <x v="0"/>
    <m/>
    <m/>
    <m/>
    <m/>
  </r>
  <r>
    <d v="2023-07-13T00:00:00"/>
    <s v="Frais d'installation pack office 2013 ET 2013"/>
    <x v="14"/>
    <s v="Office"/>
    <m/>
    <n v="22000"/>
    <n v="19120940"/>
    <x v="1"/>
    <s v="Oui"/>
    <x v="1"/>
    <x v="1"/>
    <s v="CONGO"/>
    <m/>
    <m/>
    <m/>
  </r>
  <r>
    <d v="2023-07-13T00:00:00"/>
    <s v="Reçu caisse/Oracle"/>
    <x v="8"/>
    <m/>
    <n v="15000"/>
    <m/>
    <n v="19135940"/>
    <x v="12"/>
    <m/>
    <x v="0"/>
    <x v="0"/>
    <m/>
    <m/>
    <m/>
    <m/>
  </r>
  <r>
    <d v="2023-07-14T00:00:00"/>
    <s v="Donald-Roméo"/>
    <x v="8"/>
    <m/>
    <m/>
    <n v="29000"/>
    <n v="19106940"/>
    <x v="1"/>
    <m/>
    <x v="0"/>
    <x v="0"/>
    <m/>
    <m/>
    <m/>
    <m/>
  </r>
  <r>
    <d v="2023-07-14T00:00:00"/>
    <s v="Frais de transfert charden farell à Donald"/>
    <x v="10"/>
    <s v="Office"/>
    <m/>
    <n v="1680"/>
    <n v="19105260"/>
    <x v="1"/>
    <s v="Oui"/>
    <x v="2"/>
    <x v="2"/>
    <s v="CONGO"/>
    <s v="RALFF-CO4798"/>
    <s v="5.6"/>
    <m/>
  </r>
  <r>
    <d v="2023-07-14T00:00:00"/>
    <s v="Achat 01 Cartouche d'encre HP 216A et 01 cartouche SP 311"/>
    <x v="9"/>
    <s v="Office"/>
    <m/>
    <n v="125000"/>
    <n v="18980260"/>
    <x v="1"/>
    <s v="Oui"/>
    <x v="2"/>
    <x v="2"/>
    <s v="CONGO"/>
    <s v="RALFF-CO4799"/>
    <s v="4.3"/>
    <m/>
  </r>
  <r>
    <d v="2023-07-14T00:00:00"/>
    <s v="Reçu caisse/Donald"/>
    <x v="8"/>
    <m/>
    <n v="29000"/>
    <m/>
    <n v="19009260"/>
    <x v="5"/>
    <m/>
    <x v="0"/>
    <x v="0"/>
    <m/>
    <m/>
    <m/>
    <m/>
  </r>
  <r>
    <d v="2023-07-14T00:00:00"/>
    <s v="Achat billet Pointe-Noire-Brazzaville/Donald-Roméo"/>
    <x v="2"/>
    <s v="Legal"/>
    <m/>
    <n v="15000"/>
    <n v="18994260"/>
    <x v="5"/>
    <s v="Oui"/>
    <x v="1"/>
    <x v="2"/>
    <s v="CONGO"/>
    <s v="RALFF-CO4800"/>
    <s v="2.2"/>
    <m/>
  </r>
  <r>
    <d v="2023-07-15T00:00:00"/>
    <s v="DONALD - CONGO Frais d'hôtel 03 Nuitées du 12 au 15/07/2023 à Pointe Noire"/>
    <x v="4"/>
    <s v="Legal"/>
    <m/>
    <n v="45000"/>
    <n v="18949260"/>
    <x v="5"/>
    <s v="Oui"/>
    <x v="1"/>
    <x v="2"/>
    <s v="CONGO"/>
    <s v="RALFF-CO4801"/>
    <s v="1.3.2"/>
    <m/>
  </r>
  <r>
    <d v="2023-07-17T00:00:00"/>
    <s v="BCI - 3667364/56"/>
    <x v="8"/>
    <m/>
    <n v="2000000"/>
    <m/>
    <n v="20949260"/>
    <x v="1"/>
    <m/>
    <x v="0"/>
    <x v="0"/>
    <m/>
    <m/>
    <m/>
    <m/>
  </r>
  <r>
    <d v="2023-07-17T00:00:00"/>
    <s v="P29"/>
    <x v="8"/>
    <m/>
    <m/>
    <n v="100000"/>
    <n v="20849260"/>
    <x v="1"/>
    <m/>
    <x v="0"/>
    <x v="0"/>
    <m/>
    <m/>
    <m/>
    <m/>
  </r>
  <r>
    <d v="2023-07-17T00:00:00"/>
    <s v="T73"/>
    <x v="8"/>
    <m/>
    <m/>
    <n v="100000"/>
    <n v="20749260"/>
    <x v="1"/>
    <m/>
    <x v="0"/>
    <x v="0"/>
    <m/>
    <m/>
    <m/>
    <m/>
  </r>
  <r>
    <d v="2023-07-17T00:00:00"/>
    <s v="Achat matériel de plomberie pour reparation-Bureau PALF"/>
    <x v="15"/>
    <s v="Office"/>
    <m/>
    <n v="125000"/>
    <n v="20624260"/>
    <x v="1"/>
    <s v="Oui"/>
    <x v="1"/>
    <x v="1"/>
    <s v="CONGO"/>
    <m/>
    <m/>
    <m/>
  </r>
  <r>
    <d v="2023-07-17T00:00:00"/>
    <s v="Main d'œuvre reparation meetigeur et robinet"/>
    <x v="3"/>
    <s v="Office"/>
    <m/>
    <n v="15000"/>
    <n v="20609260"/>
    <x v="1"/>
    <s v="Oui"/>
    <x v="1"/>
    <x v="1"/>
    <s v="CONGO"/>
    <m/>
    <m/>
    <m/>
  </r>
  <r>
    <d v="2023-07-17T00:00:00"/>
    <s v="Achat 04 Téléphones Camon 20 et Accessoirs/Agents PALF"/>
    <x v="15"/>
    <s v="Office"/>
    <m/>
    <n v="544000"/>
    <n v="20065260"/>
    <x v="1"/>
    <s v="Oui"/>
    <x v="1"/>
    <x v="1"/>
    <s v="CONGO"/>
    <m/>
    <m/>
    <m/>
  </r>
  <r>
    <d v="2023-07-17T00:00:00"/>
    <s v="Achat credit  teléphonique MTN/PALF/deuxième partie Juillet 2023/Management"/>
    <x v="6"/>
    <s v="Management"/>
    <m/>
    <n v="20000"/>
    <n v="20045260"/>
    <x v="1"/>
    <s v="Oui"/>
    <x v="2"/>
    <x v="2"/>
    <s v="CONGO"/>
    <s v="RALFF-CO4802"/>
    <s v="4.6"/>
    <m/>
  </r>
  <r>
    <d v="2023-07-17T00:00:00"/>
    <s v="Achat credit  teléphonique MTN/PALF/deuxième partie Juillet 2023/Legal"/>
    <x v="6"/>
    <s v="Legal"/>
    <m/>
    <n v="15000"/>
    <n v="20030260"/>
    <x v="1"/>
    <s v="Oui"/>
    <x v="2"/>
    <x v="2"/>
    <s v="CONGO"/>
    <s v="RALFF-CO4803"/>
    <s v="4.6"/>
    <m/>
  </r>
  <r>
    <d v="2023-07-17T00:00:00"/>
    <s v="Achat credit  teléphonique MTN/PALF/deuxième partie Juillet 2023/Legal Volontaire"/>
    <x v="6"/>
    <s v="Legal"/>
    <m/>
    <n v="5000"/>
    <n v="20025260"/>
    <x v="1"/>
    <s v="Oui"/>
    <x v="1"/>
    <x v="1"/>
    <s v="CONGO"/>
    <m/>
    <m/>
    <m/>
  </r>
  <r>
    <d v="2023-07-17T00:00:00"/>
    <s v="Achat credit  teléphonique MTN/PALF/deuxième partie Juillet 2023/Investigation"/>
    <x v="6"/>
    <s v="Investigation"/>
    <m/>
    <n v="40000"/>
    <n v="19985260"/>
    <x v="1"/>
    <s v="Oui"/>
    <x v="2"/>
    <x v="2"/>
    <s v="CONGO"/>
    <s v="RALFF-CO4804"/>
    <s v="4.6"/>
    <m/>
  </r>
  <r>
    <d v="2023-07-17T00:00:00"/>
    <s v="Achat credit  teléphonique MTN/PALF/deuxième partie Juillet 2023/Media"/>
    <x v="6"/>
    <s v="Media"/>
    <m/>
    <n v="10000"/>
    <n v="19975260"/>
    <x v="1"/>
    <s v="Oui"/>
    <x v="2"/>
    <x v="2"/>
    <s v="CONGO"/>
    <s v="RALFF-CO4805"/>
    <s v="4.6"/>
    <m/>
  </r>
  <r>
    <d v="2023-07-17T00:00:00"/>
    <s v="Achat credit  teléphonique Airtel/PALF/deuxième partie Juillet 2023/Management"/>
    <x v="6"/>
    <s v="Management"/>
    <m/>
    <n v="10000"/>
    <n v="19965260"/>
    <x v="1"/>
    <s v="Oui"/>
    <x v="2"/>
    <x v="2"/>
    <s v="CONGO"/>
    <s v="RALFF-CO4806"/>
    <s v="4.6"/>
    <m/>
  </r>
  <r>
    <d v="2023-07-17T00:00:00"/>
    <s v="Achat credit  teléphonique Airtel/PALF/deuxième partie Juillet 2023/Legal"/>
    <x v="6"/>
    <s v="Legal"/>
    <m/>
    <n v="5000"/>
    <n v="19960260"/>
    <x v="1"/>
    <s v="Oui"/>
    <x v="2"/>
    <x v="2"/>
    <s v="CONGO"/>
    <s v="RALFF-CO4807"/>
    <s v="4.6"/>
    <m/>
  </r>
  <r>
    <d v="2023-07-17T00:00:00"/>
    <s v="Achat credit  teléphonique Airtel/PALF/deuxième partie Juillet 2023/Legal Volontaire"/>
    <x v="6"/>
    <s v="Legal"/>
    <m/>
    <n v="5000"/>
    <n v="19955260"/>
    <x v="1"/>
    <s v="Oui"/>
    <x v="1"/>
    <x v="1"/>
    <s v="CONGO"/>
    <m/>
    <m/>
    <m/>
  </r>
  <r>
    <d v="2023-07-17T00:00:00"/>
    <s v="Achat credit  teléphonique Airtel/PALF/deuxième partie Juillet 2023/Investigation"/>
    <x v="6"/>
    <s v="Investigation"/>
    <m/>
    <n v="5000"/>
    <n v="19950260"/>
    <x v="1"/>
    <s v="Oui"/>
    <x v="2"/>
    <x v="2"/>
    <s v="CONGO"/>
    <s v="RALFF-CO4808"/>
    <s v="4.6"/>
    <m/>
  </r>
  <r>
    <d v="2023-07-17T00:00:00"/>
    <s v="Retrait espèces chèque N°3667364"/>
    <x v="8"/>
    <m/>
    <m/>
    <n v="2000000"/>
    <n v="17950260"/>
    <x v="7"/>
    <n v="3667364"/>
    <x v="0"/>
    <x v="0"/>
    <m/>
    <m/>
    <m/>
    <m/>
  </r>
  <r>
    <d v="2023-07-17T00:00:00"/>
    <s v="reçu de caisse/T73"/>
    <x v="8"/>
    <m/>
    <n v="100000"/>
    <m/>
    <n v="18050260"/>
    <x v="9"/>
    <m/>
    <x v="0"/>
    <x v="0"/>
    <m/>
    <m/>
    <m/>
    <m/>
  </r>
  <r>
    <d v="2023-07-17T00:00:00"/>
    <s v="achat billet : brazzaville - pointe noire/T73"/>
    <x v="2"/>
    <s v="Investigation"/>
    <m/>
    <n v="15000"/>
    <n v="18035260"/>
    <x v="9"/>
    <s v="Oui"/>
    <x v="1"/>
    <x v="2"/>
    <s v="CONGO"/>
    <s v="RALFF-CO4809"/>
    <s v="2.2"/>
    <m/>
  </r>
  <r>
    <d v="2023-07-17T00:00:00"/>
    <s v="Reçu de caisse/P29"/>
    <x v="8"/>
    <m/>
    <n v="100000"/>
    <m/>
    <n v="18135260"/>
    <x v="10"/>
    <m/>
    <x v="0"/>
    <x v="0"/>
    <m/>
    <m/>
    <m/>
    <m/>
  </r>
  <r>
    <d v="2023-07-17T00:00:00"/>
    <s v="Achat billet Brazzaville - Pointe Noire /P29"/>
    <x v="2"/>
    <s v="Investigation"/>
    <m/>
    <n v="15000"/>
    <n v="18120260"/>
    <x v="10"/>
    <s v="Oui"/>
    <x v="1"/>
    <x v="2"/>
    <s v="CONGO"/>
    <s v="RALFF-CO4810"/>
    <s v="2.2"/>
    <m/>
  </r>
  <r>
    <d v="2023-07-18T00:00:00"/>
    <s v="Achat 02 Robinets/Plomberie Bureau PALF"/>
    <x v="9"/>
    <s v="Office"/>
    <m/>
    <n v="8000"/>
    <n v="18112260"/>
    <x v="1"/>
    <s v="Oui"/>
    <x v="1"/>
    <x v="1"/>
    <s v="CONGO"/>
    <m/>
    <m/>
    <m/>
  </r>
  <r>
    <d v="2023-07-18T00:00:00"/>
    <s v="Frais de mission maitre Marie Hélène NANITEMIO du 19 au 21/07/2023 à Pointe-Noire /Cas NTONDELE et Consorts"/>
    <x v="1"/>
    <s v="Legal"/>
    <m/>
    <n v="86000"/>
    <n v="18026260"/>
    <x v="1"/>
    <s v="Oui"/>
    <x v="1"/>
    <x v="1"/>
    <s v="CONGO"/>
    <m/>
    <m/>
    <m/>
  </r>
  <r>
    <d v="2023-07-18T00:00:00"/>
    <s v="Evariste"/>
    <x v="8"/>
    <m/>
    <m/>
    <n v="20000"/>
    <n v="18006260"/>
    <x v="1"/>
    <m/>
    <x v="0"/>
    <x v="0"/>
    <m/>
    <m/>
    <m/>
    <m/>
  </r>
  <r>
    <d v="2023-07-18T00:00:00"/>
    <s v="Oracle"/>
    <x v="8"/>
    <m/>
    <m/>
    <n v="104000"/>
    <n v="17902260"/>
    <x v="1"/>
    <m/>
    <x v="0"/>
    <x v="0"/>
    <m/>
    <m/>
    <m/>
    <m/>
  </r>
  <r>
    <d v="2023-07-18T00:00:00"/>
    <s v="Donald-Roméo"/>
    <x v="8"/>
    <m/>
    <m/>
    <n v="94000"/>
    <n v="17808260"/>
    <x v="1"/>
    <m/>
    <x v="0"/>
    <x v="0"/>
    <m/>
    <m/>
    <m/>
    <m/>
  </r>
  <r>
    <d v="2023-07-18T00:00:00"/>
    <s v="Acompte honoraire contrat N°59 Pointe-Noire/Cas NTONDELE Martial et consorts"/>
    <x v="1"/>
    <s v="Legal"/>
    <m/>
    <n v="200000"/>
    <n v="17608260"/>
    <x v="4"/>
    <n v="3654557"/>
    <x v="1"/>
    <x v="1"/>
    <s v="CONGO"/>
    <m/>
    <m/>
    <m/>
  </r>
  <r>
    <d v="2023-07-18T00:00:00"/>
    <s v="Reglement loyer mois de Juillet 2023/Pluriel solution ch N°3667365"/>
    <x v="12"/>
    <s v="Office"/>
    <m/>
    <n v="500000"/>
    <n v="17108260"/>
    <x v="7"/>
    <n v="3667365"/>
    <x v="2"/>
    <x v="2"/>
    <s v="CONGO"/>
    <s v="RALFF-CO4811"/>
    <s v="4.2"/>
    <m/>
  </r>
  <r>
    <d v="2023-07-18T00:00:00"/>
    <s v="T73 - CONGO Food Allowance du 18 au 26/07/2023 (08 nuitées)"/>
    <x v="4"/>
    <s v="Investigation"/>
    <m/>
    <n v="80000"/>
    <n v="17028260"/>
    <x v="9"/>
    <s v="Decharge"/>
    <x v="1"/>
    <x v="2"/>
    <s v="CONGO"/>
    <s v="RALFF-CO4812"/>
    <s v="1.3.2"/>
    <m/>
  </r>
  <r>
    <d v="2023-07-18T00:00:00"/>
    <s v="Reçu caisse/Donald"/>
    <x v="8"/>
    <m/>
    <n v="94000"/>
    <m/>
    <n v="17122260"/>
    <x v="5"/>
    <m/>
    <x v="0"/>
    <x v="0"/>
    <m/>
    <m/>
    <m/>
    <m/>
  </r>
  <r>
    <d v="2023-07-18T00:00:00"/>
    <s v="Achat billet Brazzaville-Dolisie/Donald-Roméo"/>
    <x v="2"/>
    <s v="Legal"/>
    <m/>
    <n v="10000"/>
    <n v="17112260"/>
    <x v="5"/>
    <s v="Oui"/>
    <x v="1"/>
    <x v="2"/>
    <s v="CONGO"/>
    <s v="RALFF-CO4813"/>
    <s v="2.2"/>
    <m/>
  </r>
  <r>
    <d v="2023-07-18T00:00:00"/>
    <s v="Reçu de la caisse/Evariste"/>
    <x v="8"/>
    <m/>
    <n v="20000"/>
    <m/>
    <n v="17132260"/>
    <x v="3"/>
    <m/>
    <x v="0"/>
    <x v="0"/>
    <m/>
    <m/>
    <m/>
    <m/>
  </r>
  <r>
    <d v="2023-07-18T00:00:00"/>
    <s v="Reçu caisse/Oracle"/>
    <x v="8"/>
    <m/>
    <n v="104000"/>
    <m/>
    <n v="17236260"/>
    <x v="12"/>
    <m/>
    <x v="0"/>
    <x v="0"/>
    <m/>
    <m/>
    <m/>
    <m/>
  </r>
  <r>
    <d v="2023-07-18T00:00:00"/>
    <s v="Achat billet de bus Brazzaville - Pointe-Noire/Oracle"/>
    <x v="16"/>
    <s v="Legal"/>
    <m/>
    <n v="15000"/>
    <n v="17221260"/>
    <x v="12"/>
    <s v="Oui"/>
    <x v="1"/>
    <x v="1"/>
    <s v="CONGO"/>
    <m/>
    <m/>
    <m/>
  </r>
  <r>
    <d v="2023-07-18T00:00:00"/>
    <s v="P29 - CONGO Food allowance mission du 18-07au 26-07-2023 "/>
    <x v="4"/>
    <s v="Investigation"/>
    <m/>
    <n v="80000"/>
    <n v="17141260"/>
    <x v="10"/>
    <s v="Decharge"/>
    <x v="1"/>
    <x v="2"/>
    <s v="CONGO"/>
    <s v="RALFF-CO4814"/>
    <s v="1.3.2"/>
    <m/>
  </r>
  <r>
    <d v="2023-07-19T00:00:00"/>
    <s v="DONALD - CONGO Food Allowance Mission du 19 au 29/07/2023 (10 nuitées)"/>
    <x v="4"/>
    <s v="Legal"/>
    <m/>
    <n v="100000"/>
    <n v="17041260"/>
    <x v="5"/>
    <s v="Oui"/>
    <x v="1"/>
    <x v="2"/>
    <s v="CONGO"/>
    <s v="RALFF-CO4815"/>
    <s v="1.3.2"/>
    <m/>
  </r>
  <r>
    <d v="2023-07-19T00:00:00"/>
    <s v="ORACLE - CONGO Food allowance du 19 au 21/07/2023 (02 nuitées)"/>
    <x v="4"/>
    <s v="Legal"/>
    <m/>
    <n v="20000"/>
    <n v="17021260"/>
    <x v="12"/>
    <s v="Decharge"/>
    <x v="1"/>
    <x v="1"/>
    <s v="CONGO"/>
    <m/>
    <m/>
    <m/>
  </r>
  <r>
    <d v="2023-07-20T00:00:00"/>
    <s v="T73"/>
    <x v="8"/>
    <m/>
    <m/>
    <n v="151000"/>
    <n v="16870260"/>
    <x v="1"/>
    <m/>
    <x v="0"/>
    <x v="0"/>
    <m/>
    <m/>
    <m/>
    <m/>
  </r>
  <r>
    <d v="2023-07-20T00:00:00"/>
    <s v="Bonus média portant sur les audiences du 20 Juillet au TGI de Dolisie et TGI de Pointe-Noire"/>
    <x v="7"/>
    <s v="Media"/>
    <m/>
    <n v="42000"/>
    <n v="16828260"/>
    <x v="1"/>
    <s v="Decharge"/>
    <x v="1"/>
    <x v="1"/>
    <s v="CONGO"/>
    <m/>
    <m/>
    <m/>
  </r>
  <r>
    <d v="2023-07-20T00:00:00"/>
    <s v="P29"/>
    <x v="8"/>
    <m/>
    <m/>
    <n v="151000"/>
    <n v="16677260"/>
    <x v="1"/>
    <m/>
    <x v="0"/>
    <x v="0"/>
    <m/>
    <m/>
    <m/>
    <m/>
  </r>
  <r>
    <d v="2023-07-20T00:00:00"/>
    <s v="Frais de transfert charden farell à P29 et T73"/>
    <x v="10"/>
    <s v="Office"/>
    <m/>
    <n v="9060"/>
    <n v="16668200"/>
    <x v="1"/>
    <s v="Oui"/>
    <x v="2"/>
    <x v="2"/>
    <s v="CONGO"/>
    <s v="RALFF-CO4816"/>
    <s v="5.6"/>
    <m/>
  </r>
  <r>
    <d v="2023-07-20T00:00:00"/>
    <s v="reçu de caisse/T73"/>
    <x v="8"/>
    <m/>
    <n v="151000"/>
    <m/>
    <n v="16819200"/>
    <x v="9"/>
    <m/>
    <x v="0"/>
    <x v="0"/>
    <m/>
    <m/>
    <m/>
    <m/>
  </r>
  <r>
    <d v="2023-07-20T00:00:00"/>
    <s v="Reçu de caisse/P29"/>
    <x v="8"/>
    <m/>
    <n v="151000"/>
    <m/>
    <n v="16970200"/>
    <x v="10"/>
    <m/>
    <x v="0"/>
    <x v="0"/>
    <m/>
    <m/>
    <m/>
    <m/>
  </r>
  <r>
    <d v="2023-07-21T00:00:00"/>
    <s v="Donald-Roméo"/>
    <x v="8"/>
    <m/>
    <m/>
    <n v="105000"/>
    <n v="16865200"/>
    <x v="1"/>
    <m/>
    <x v="0"/>
    <x v="0"/>
    <m/>
    <m/>
    <m/>
    <m/>
  </r>
  <r>
    <d v="2023-07-21T00:00:00"/>
    <s v="Frais de transfert charden farell à Donald"/>
    <x v="10"/>
    <s v="Office"/>
    <m/>
    <n v="3150"/>
    <n v="16862050"/>
    <x v="1"/>
    <s v="Oui"/>
    <x v="2"/>
    <x v="2"/>
    <s v="CONGO"/>
    <s v="RALFF-CO4817"/>
    <s v="5.6"/>
    <m/>
  </r>
  <r>
    <d v="2023-07-21T00:00:00"/>
    <s v="Impression cartes de visite coordinateur/PALF"/>
    <x v="9"/>
    <s v="Office"/>
    <m/>
    <n v="20000"/>
    <n v="16842050"/>
    <x v="1"/>
    <s v="Oui"/>
    <x v="1"/>
    <x v="1"/>
    <s v="CONGO"/>
    <m/>
    <m/>
    <m/>
  </r>
  <r>
    <d v="2023-07-21T00:00:00"/>
    <s v="Reçu caisse/Donald"/>
    <x v="8"/>
    <m/>
    <n v="105000"/>
    <m/>
    <n v="16947050"/>
    <x v="5"/>
    <m/>
    <x v="0"/>
    <x v="0"/>
    <m/>
    <m/>
    <m/>
    <m/>
  </r>
  <r>
    <d v="2023-07-21T00:00:00"/>
    <s v="ORACLE - CONGO Frais d’hôtel du 19 au 21 juillet 2023 à Pointe Noire (02 nuitées)"/>
    <x v="4"/>
    <s v="Legal"/>
    <m/>
    <n v="30000"/>
    <n v="16917050"/>
    <x v="12"/>
    <s v="Oui"/>
    <x v="1"/>
    <x v="1"/>
    <s v="CONGO"/>
    <m/>
    <m/>
    <m/>
  </r>
  <r>
    <d v="2023-07-21T00:00:00"/>
    <s v="Achat billet de bus: Pointe-Noire - Brazzaville/Oracle"/>
    <x v="16"/>
    <s v="Legal"/>
    <m/>
    <n v="15000"/>
    <n v="16902050"/>
    <x v="12"/>
    <s v="Oui"/>
    <x v="1"/>
    <x v="1"/>
    <s v="CONGO"/>
    <m/>
    <m/>
    <m/>
  </r>
  <r>
    <d v="2023-07-24T00:00:00"/>
    <s v="Donald-Roméo"/>
    <x v="8"/>
    <m/>
    <m/>
    <n v="70000"/>
    <n v="16832050"/>
    <x v="1"/>
    <m/>
    <x v="0"/>
    <x v="0"/>
    <m/>
    <m/>
    <m/>
    <m/>
  </r>
  <r>
    <d v="2023-07-24T00:00:00"/>
    <s v="Frais de transfert charden farell à Donald"/>
    <x v="10"/>
    <s v="Office"/>
    <m/>
    <n v="2100"/>
    <n v="16829950"/>
    <x v="1"/>
    <s v="Oui"/>
    <x v="2"/>
    <x v="2"/>
    <s v="CONGO"/>
    <s v="RALFF-CO4818"/>
    <s v="5.6"/>
    <m/>
  </r>
  <r>
    <d v="2023-07-24T00:00:00"/>
    <s v="Achat produit d'entretien (Lait,sucre,papier toilette,javel,produit nettoyant)"/>
    <x v="9"/>
    <s v="Office"/>
    <m/>
    <n v="39500"/>
    <n v="16790450"/>
    <x v="1"/>
    <s v="Oui"/>
    <x v="2"/>
    <x v="2"/>
    <s v="CONGO"/>
    <s v="RALFF-CO4819"/>
    <s v="4.3"/>
    <m/>
  </r>
  <r>
    <d v="2023-07-24T00:00:00"/>
    <s v="Reçu caisse/Donald"/>
    <x v="8"/>
    <m/>
    <n v="70000"/>
    <m/>
    <n v="16860450"/>
    <x v="5"/>
    <m/>
    <x v="0"/>
    <x v="0"/>
    <m/>
    <m/>
    <m/>
    <m/>
  </r>
  <r>
    <d v="2023-07-25T00:00:00"/>
    <s v="Bonus média portant sur la condamnation ferme de trafiquants d'ivoire par la cour d'appel de Dolisie"/>
    <x v="7"/>
    <s v="Media"/>
    <m/>
    <n v="150000"/>
    <n v="16710450"/>
    <x v="1"/>
    <s v="Decharge"/>
    <x v="1"/>
    <x v="1"/>
    <s v="CONGO"/>
    <m/>
    <m/>
    <m/>
  </r>
  <r>
    <d v="2023-07-25T00:00:00"/>
    <s v="Oracle"/>
    <x v="8"/>
    <m/>
    <m/>
    <n v="104000"/>
    <n v="16606450"/>
    <x v="1"/>
    <m/>
    <x v="0"/>
    <x v="0"/>
    <m/>
    <m/>
    <m/>
    <m/>
  </r>
  <r>
    <d v="2023-07-25T00:00:00"/>
    <s v="D58"/>
    <x v="8"/>
    <m/>
    <m/>
    <n v="15000"/>
    <n v="16591450"/>
    <x v="1"/>
    <m/>
    <x v="0"/>
    <x v="0"/>
    <m/>
    <m/>
    <m/>
    <m/>
  </r>
  <r>
    <d v="2023-07-25T00:00:00"/>
    <s v="P29"/>
    <x v="8"/>
    <m/>
    <m/>
    <n v="31000"/>
    <n v="16560450"/>
    <x v="1"/>
    <m/>
    <x v="0"/>
    <x v="0"/>
    <m/>
    <m/>
    <m/>
    <m/>
  </r>
  <r>
    <d v="2023-07-25T00:00:00"/>
    <s v="T73"/>
    <x v="8"/>
    <m/>
    <m/>
    <n v="31000"/>
    <n v="16529450"/>
    <x v="1"/>
    <m/>
    <x v="0"/>
    <x v="0"/>
    <m/>
    <m/>
    <m/>
    <m/>
  </r>
  <r>
    <d v="2023-07-25T00:00:00"/>
    <s v="Frais de transfert charden farell à P29 et T73"/>
    <x v="10"/>
    <s v="Office"/>
    <m/>
    <n v="1860"/>
    <n v="16527590"/>
    <x v="1"/>
    <s v="Oui"/>
    <x v="2"/>
    <x v="2"/>
    <s v="CONGO"/>
    <s v="RALFF-CO4820"/>
    <s v="5.6"/>
    <m/>
  </r>
  <r>
    <d v="2023-07-25T00:00:00"/>
    <s v="BCI-36545458-34"/>
    <x v="8"/>
    <m/>
    <n v="2000000"/>
    <m/>
    <n v="18527590"/>
    <x v="1"/>
    <m/>
    <x v="0"/>
    <x v="0"/>
    <m/>
    <m/>
    <m/>
    <m/>
  </r>
  <r>
    <d v="2023-07-25T00:00:00"/>
    <s v="Achat Eau Minerale 03  maxi mayo de 19 Litres "/>
    <x v="9"/>
    <s v="Office"/>
    <m/>
    <n v="13500"/>
    <n v="18514090"/>
    <x v="1"/>
    <s v="Oui"/>
    <x v="2"/>
    <x v="2"/>
    <s v="CONGO"/>
    <s v="RALFF-CO4821"/>
    <s v="4.3"/>
    <m/>
  </r>
  <r>
    <d v="2023-07-25T00:00:00"/>
    <s v="IT87"/>
    <x v="8"/>
    <m/>
    <m/>
    <n v="20000"/>
    <n v="18494090"/>
    <x v="1"/>
    <m/>
    <x v="0"/>
    <x v="0"/>
    <m/>
    <m/>
    <m/>
    <m/>
  </r>
  <r>
    <d v="2023-07-25T00:00:00"/>
    <s v="Retrait especes/appro caisse/bord n°3654558"/>
    <x v="8"/>
    <m/>
    <m/>
    <n v="2000000"/>
    <n v="16494090"/>
    <x v="4"/>
    <n v="3654558"/>
    <x v="0"/>
    <x v="0"/>
    <m/>
    <m/>
    <m/>
    <m/>
  </r>
  <r>
    <d v="2023-07-25T00:00:00"/>
    <s v="Fonds reçu de L'UE"/>
    <x v="17"/>
    <m/>
    <n v="11771804"/>
    <m/>
    <n v="28265894"/>
    <x v="7"/>
    <s v="Relevé"/>
    <x v="2"/>
    <x v="0"/>
    <m/>
    <m/>
    <m/>
    <m/>
  </r>
  <r>
    <d v="2023-07-25T00:00:00"/>
    <s v="Recu caisse/D58"/>
    <x v="8"/>
    <m/>
    <n v="15000"/>
    <m/>
    <n v="28280894"/>
    <x v="8"/>
    <m/>
    <x v="0"/>
    <x v="0"/>
    <m/>
    <m/>
    <m/>
    <m/>
  </r>
  <r>
    <d v="2023-07-25T00:00:00"/>
    <s v="Cumul frais de Trust Building du mois de Juillet 2023 / D58"/>
    <x v="18"/>
    <s v="Investigation"/>
    <m/>
    <n v="14000"/>
    <n v="28266894"/>
    <x v="8"/>
    <s v="Decharge"/>
    <x v="1"/>
    <x v="1"/>
    <s v="CONGO"/>
    <m/>
    <m/>
    <m/>
  </r>
  <r>
    <d v="2023-07-25T00:00:00"/>
    <s v="Reçu de Caisse/ IT87"/>
    <x v="8"/>
    <m/>
    <n v="20000"/>
    <m/>
    <n v="28286894"/>
    <x v="13"/>
    <m/>
    <x v="0"/>
    <x v="0"/>
    <m/>
    <m/>
    <m/>
    <m/>
  </r>
  <r>
    <d v="2023-07-25T00:00:00"/>
    <s v="T73 - CONGO Frais d'Hotel du 18 au 26/07/2023 (08 nuitées) à pointe noire"/>
    <x v="4"/>
    <s v="Investigation"/>
    <m/>
    <n v="120000"/>
    <n v="28166894"/>
    <x v="9"/>
    <s v="Oui"/>
    <x v="1"/>
    <x v="2"/>
    <s v="CONGO"/>
    <s v="RALFF-CO4822"/>
    <s v="1.3.2"/>
    <m/>
  </r>
  <r>
    <d v="2023-07-25T00:00:00"/>
    <s v="achat billet: pointe noire - brazzaville/T73"/>
    <x v="2"/>
    <s v="Investigation"/>
    <m/>
    <n v="15000"/>
    <n v="28151894"/>
    <x v="9"/>
    <s v="Oui"/>
    <x v="1"/>
    <x v="2"/>
    <s v="CONGO"/>
    <s v="RALFF-CO4823"/>
    <s v="2.2"/>
    <m/>
  </r>
  <r>
    <d v="2023-07-25T00:00:00"/>
    <s v="reçu de caisse/T73"/>
    <x v="8"/>
    <m/>
    <n v="31000"/>
    <m/>
    <n v="28182894"/>
    <x v="9"/>
    <m/>
    <x v="0"/>
    <x v="0"/>
    <m/>
    <m/>
    <m/>
    <m/>
  </r>
  <r>
    <d v="2023-07-25T00:00:00"/>
    <s v="Cumul frais de trust Building du mois de Juillet 2023/T73"/>
    <x v="18"/>
    <s v="Investigation"/>
    <m/>
    <n v="28000"/>
    <n v="28154894"/>
    <x v="9"/>
    <s v="Decharge"/>
    <x v="1"/>
    <x v="1"/>
    <s v="CONGO"/>
    <m/>
    <m/>
    <m/>
  </r>
  <r>
    <d v="2023-07-25T00:00:00"/>
    <s v="Reçu caisse/Oracle"/>
    <x v="8"/>
    <m/>
    <n v="104000"/>
    <m/>
    <n v="28258894"/>
    <x v="12"/>
    <m/>
    <x v="0"/>
    <x v="0"/>
    <m/>
    <m/>
    <m/>
    <m/>
  </r>
  <r>
    <d v="2023-07-25T00:00:00"/>
    <s v="Achat billet de bus Brazzaville - Pointe-Noire/Oracle"/>
    <x v="2"/>
    <s v="Legal"/>
    <m/>
    <n v="15000"/>
    <n v="28243894"/>
    <x v="12"/>
    <s v="Oui"/>
    <x v="1"/>
    <x v="1"/>
    <s v="CONGO"/>
    <m/>
    <m/>
    <m/>
  </r>
  <r>
    <d v="2023-07-25T00:00:00"/>
    <s v="Reçu de caisse/P29"/>
    <x v="8"/>
    <m/>
    <n v="31000"/>
    <m/>
    <n v="28274894"/>
    <x v="10"/>
    <m/>
    <x v="0"/>
    <x v="0"/>
    <m/>
    <m/>
    <m/>
    <m/>
  </r>
  <r>
    <d v="2023-07-25T00:00:00"/>
    <s v="Achat billet  Pointe Noire - Brazzaville/P29"/>
    <x v="2"/>
    <s v="Investigation"/>
    <m/>
    <n v="15000"/>
    <n v="28259894"/>
    <x v="10"/>
    <s v="Oui"/>
    <x v="1"/>
    <x v="2"/>
    <s v="CONGO"/>
    <s v="RALFF-CO4824"/>
    <s v="2.2"/>
    <m/>
  </r>
  <r>
    <d v="2023-07-26T00:00:00"/>
    <s v="Donald-Roméo"/>
    <x v="8"/>
    <m/>
    <m/>
    <n v="102000"/>
    <n v="28157894"/>
    <x v="1"/>
    <m/>
    <x v="0"/>
    <x v="0"/>
    <m/>
    <m/>
    <m/>
    <m/>
  </r>
  <r>
    <d v="2023-07-26T00:00:00"/>
    <s v="Frais de mission maitre Marie Hélène à Sibiti du 27 au 29/07/2023 Suivi audience cas Darniche et Consorts"/>
    <x v="1"/>
    <s v="Legal"/>
    <m/>
    <n v="81500"/>
    <n v="28076394"/>
    <x v="1"/>
    <s v="Oui"/>
    <x v="2"/>
    <x v="2"/>
    <s v="CONGO"/>
    <s v="RALFF-CO4825"/>
    <s v="5.2.2"/>
    <m/>
  </r>
  <r>
    <d v="2023-07-26T00:00:00"/>
    <s v="Frais de transfert charden farell à Donald"/>
    <x v="10"/>
    <s v="Office"/>
    <m/>
    <n v="4365"/>
    <n v="28072029"/>
    <x v="1"/>
    <s v="Oui"/>
    <x v="2"/>
    <x v="2"/>
    <s v="CONGO"/>
    <s v="RALFF-CO4826"/>
    <s v="5.6"/>
    <m/>
  </r>
  <r>
    <d v="2023-07-26T00:00:00"/>
    <s v="ORACLE - CONGO Food allowance du 26 au 28/07/2023 (02 nuitées)"/>
    <x v="4"/>
    <s v="Legal"/>
    <m/>
    <n v="20000"/>
    <n v="28052029"/>
    <x v="12"/>
    <s v="Decharge"/>
    <x v="1"/>
    <x v="1"/>
    <s v="CONGO"/>
    <m/>
    <m/>
    <m/>
  </r>
  <r>
    <d v="2023-07-26T00:00:00"/>
    <s v="P29 - CONGO Frais d'Hotel 08 nuitées du 18 au 26/07/2023 à pointe noire"/>
    <x v="4"/>
    <s v="Investigation"/>
    <m/>
    <n v="120000"/>
    <n v="27932029"/>
    <x v="10"/>
    <s v="Oui"/>
    <x v="1"/>
    <x v="2"/>
    <s v="CONGO"/>
    <s v="RALFF-CO4827"/>
    <s v="1.3.2"/>
    <m/>
  </r>
  <r>
    <d v="2023-07-27T00:00:00"/>
    <s v="Achat carte sim enquete/ Volontaire IT87"/>
    <x v="9"/>
    <s v="Office"/>
    <m/>
    <n v="10500"/>
    <n v="27921529"/>
    <x v="1"/>
    <s v="Oui"/>
    <x v="1"/>
    <x v="1"/>
    <s v="CONGO"/>
    <m/>
    <m/>
    <m/>
  </r>
  <r>
    <d v="2023-07-27T00:00:00"/>
    <s v="P29"/>
    <x v="8"/>
    <m/>
    <m/>
    <n v="20000"/>
    <n v="27901529"/>
    <x v="1"/>
    <m/>
    <x v="0"/>
    <x v="0"/>
    <m/>
    <m/>
    <m/>
    <m/>
  </r>
  <r>
    <d v="2023-07-27T00:00:00"/>
    <s v="Achat credit  teléphonique MTN/PALF/Juillet 2023/Investigation Volontaire"/>
    <x v="6"/>
    <s v="Investigation"/>
    <m/>
    <n v="5000"/>
    <n v="27896529"/>
    <x v="1"/>
    <s v="Oui"/>
    <x v="1"/>
    <x v="1"/>
    <s v="CONGO"/>
    <m/>
    <m/>
    <m/>
  </r>
  <r>
    <d v="2023-07-27T00:00:00"/>
    <s v="Paiement salaire mois de Juillet 2023/ Crépin IBOUILI IBOUILI/ CH N°3667366"/>
    <x v="11"/>
    <s v="Legal"/>
    <m/>
    <n v="359500"/>
    <n v="27537029"/>
    <x v="7"/>
    <n v="3667366"/>
    <x v="2"/>
    <x v="2"/>
    <s v="CONGO"/>
    <s v="RALFF-CO4828"/>
    <s v="1.1.1.7"/>
    <m/>
  </r>
  <r>
    <d v="2023-07-27T00:00:00"/>
    <s v="Paiement salaire mois de Juillet 2023/PINDI BINGA Donald-Roméo/ CH N°3667367"/>
    <x v="11"/>
    <s v="Legal"/>
    <m/>
    <n v="200000"/>
    <n v="27337029"/>
    <x v="7"/>
    <n v="3667367"/>
    <x v="2"/>
    <x v="2"/>
    <s v="CONGO"/>
    <s v="RALFF-CO4829"/>
    <s v="1.1.1.7"/>
    <m/>
  </r>
  <r>
    <d v="2023-07-27T00:00:00"/>
    <s v="Paiement salaire mois de Juillet 2023/ Evariste LELOUSSI/ CH N°3667370"/>
    <x v="11"/>
    <s v="Media"/>
    <m/>
    <n v="235600"/>
    <n v="27101429"/>
    <x v="7"/>
    <n v="3667370"/>
    <x v="2"/>
    <x v="2"/>
    <s v="CONGO"/>
    <s v="RALFF-CO4830"/>
    <s v="1.1.1.4"/>
    <m/>
  </r>
  <r>
    <d v="2023-07-27T00:00:00"/>
    <s v="Paiement salaire mois de Juillet 2023/ Merveille MAHANGA/ CH N°3667369"/>
    <x v="11"/>
    <s v="Office"/>
    <m/>
    <n v="300000"/>
    <n v="26801429"/>
    <x v="7"/>
    <n v="3667369"/>
    <x v="2"/>
    <x v="2"/>
    <s v="CONGO"/>
    <s v="RALFF-CO4831"/>
    <s v="1.1.2.1"/>
    <m/>
  </r>
  <r>
    <d v="2023-07-27T00:00:00"/>
    <s v="Paiement salaire mois de Juillet 2023/ Grace Molende/ CH N°3667368"/>
    <x v="11"/>
    <s v="Management"/>
    <m/>
    <n v="350000"/>
    <n v="26451429"/>
    <x v="7"/>
    <n v="3667368"/>
    <x v="2"/>
    <x v="2"/>
    <s v="CONGO"/>
    <s v="RALFF-CO4832"/>
    <s v="1.1.2.1"/>
    <m/>
  </r>
  <r>
    <d v="2023-07-27T00:00:00"/>
    <s v="Paiement salaire mois de Juillet 2023/ DOVI ZENNAWOE Homéfa/ CH N°3667371"/>
    <x v="11"/>
    <s v="Management"/>
    <m/>
    <n v="918340"/>
    <n v="25533089"/>
    <x v="7"/>
    <n v="3667371"/>
    <x v="2"/>
    <x v="2"/>
    <s v="CONGO"/>
    <s v="RALFF-CO4833"/>
    <s v="1.1.1.1"/>
    <m/>
  </r>
  <r>
    <d v="2023-07-27T00:00:00"/>
    <s v="Frais de Visite Appartement OP/Diata Tonton Old"/>
    <x v="2"/>
    <s v="Operation"/>
    <m/>
    <n v="5000"/>
    <n v="25528089"/>
    <x v="8"/>
    <s v="Oui"/>
    <x v="1"/>
    <x v="1"/>
    <s v="CONGO"/>
    <m/>
    <m/>
    <m/>
  </r>
  <r>
    <d v="2023-07-27T00:00:00"/>
    <s v="Frais de Visite Appartement OP/Stade Massamba Débat"/>
    <x v="2"/>
    <s v="Operation"/>
    <m/>
    <n v="2500"/>
    <n v="25525589"/>
    <x v="8"/>
    <s v="Oui"/>
    <x v="1"/>
    <x v="1"/>
    <s v="CONGO"/>
    <m/>
    <m/>
    <m/>
  </r>
  <r>
    <d v="2023-07-27T00:00:00"/>
    <s v="Frais de Visite Appartement OP/Clé phénix"/>
    <x v="2"/>
    <s v="Operation"/>
    <m/>
    <n v="5000"/>
    <n v="25520589"/>
    <x v="8"/>
    <s v="Oui"/>
    <x v="1"/>
    <x v="1"/>
    <s v="CONGO"/>
    <m/>
    <m/>
    <m/>
  </r>
  <r>
    <d v="2023-07-27T00:00:00"/>
    <s v="frais demarcheur Recherche App OP à Brazzaville"/>
    <x v="2"/>
    <s v="Operation"/>
    <m/>
    <n v="5000"/>
    <n v="25515589"/>
    <x v="9"/>
    <s v="Oui"/>
    <x v="1"/>
    <x v="1"/>
    <s v="CONGO"/>
    <m/>
    <m/>
    <m/>
  </r>
  <r>
    <d v="2023-07-27T00:00:00"/>
    <s v="Reçu caisse/Donald"/>
    <x v="8"/>
    <m/>
    <n v="32000"/>
    <m/>
    <n v="25547589"/>
    <x v="5"/>
    <m/>
    <x v="0"/>
    <x v="0"/>
    <m/>
    <m/>
    <m/>
    <m/>
  </r>
  <r>
    <d v="2023-07-27T00:00:00"/>
    <s v="DONALD - CONGO Frais d'hôtel 08 Nuitées du 19 au 27/07/2023 à Dolisie"/>
    <x v="4"/>
    <s v="Legal"/>
    <m/>
    <n v="120000"/>
    <n v="25427589"/>
    <x v="5"/>
    <s v="Oui"/>
    <x v="1"/>
    <x v="2"/>
    <s v="CONGO"/>
    <s v="RALFF-CO4834"/>
    <s v="1.3.2"/>
    <m/>
  </r>
  <r>
    <d v="2023-07-27T00:00:00"/>
    <s v="Reçu caisse/Donald"/>
    <x v="8"/>
    <m/>
    <n v="70000"/>
    <m/>
    <n v="25497589"/>
    <x v="5"/>
    <m/>
    <x v="0"/>
    <x v="0"/>
    <m/>
    <m/>
    <m/>
    <m/>
  </r>
  <r>
    <d v="2023-07-27T00:00:00"/>
    <s v="Achat billet Dolisie - Sibiti /Donald-Roméo"/>
    <x v="16"/>
    <s v="Legal"/>
    <m/>
    <n v="6000"/>
    <n v="25491589"/>
    <x v="5"/>
    <s v="Oui"/>
    <x v="1"/>
    <x v="2"/>
    <s v="CONGO"/>
    <s v="RALFF-CO4835"/>
    <s v="2.2"/>
    <m/>
  </r>
  <r>
    <d v="2023-07-27T00:00:00"/>
    <s v="Achat billet de bus: Pointe-Noire - Brazzaville/Oracle"/>
    <x v="2"/>
    <s v="Legal"/>
    <m/>
    <n v="15000"/>
    <n v="25476589"/>
    <x v="12"/>
    <s v="Oui"/>
    <x v="1"/>
    <x v="1"/>
    <s v="CONGO"/>
    <m/>
    <m/>
    <m/>
  </r>
  <r>
    <d v="2023-07-27T00:00:00"/>
    <s v="Reçu de caisse/P29"/>
    <x v="8"/>
    <m/>
    <n v="20000"/>
    <m/>
    <n v="25496589"/>
    <x v="10"/>
    <m/>
    <x v="0"/>
    <x v="0"/>
    <m/>
    <m/>
    <m/>
    <m/>
  </r>
  <r>
    <d v="2023-07-28T00:00:00"/>
    <s v="D58"/>
    <x v="8"/>
    <m/>
    <m/>
    <n v="185000"/>
    <n v="25311589"/>
    <x v="1"/>
    <m/>
    <x v="0"/>
    <x v="0"/>
    <m/>
    <m/>
    <m/>
    <m/>
  </r>
  <r>
    <d v="2023-07-28T00:00:00"/>
    <s v="Bonus media portant sur 2 ans de condamnation ferme de deux trafiquants d'ivoire par la cour d'appel de Dolisie"/>
    <x v="7"/>
    <s v="Media"/>
    <m/>
    <n v="58000"/>
    <n v="25253589"/>
    <x v="1"/>
    <s v="Decharge"/>
    <x v="1"/>
    <x v="1"/>
    <s v="CONGO"/>
    <m/>
    <m/>
    <m/>
  </r>
  <r>
    <d v="2023-07-28T00:00:00"/>
    <s v="Règlement prestation technicienne de surface (mois de Juillet  2023)"/>
    <x v="3"/>
    <s v="Office"/>
    <m/>
    <n v="75625"/>
    <n v="25177964"/>
    <x v="1"/>
    <s v="Oui"/>
    <x v="1"/>
    <x v="1"/>
    <s v="CONGO"/>
    <m/>
    <m/>
    <m/>
  </r>
  <r>
    <d v="2023-07-28T00:00:00"/>
    <s v="Reglemeent Facture Internet (Canal Box_Periode du 31/07 au 1/09/ 2023)"/>
    <x v="19"/>
    <s v="Office"/>
    <m/>
    <n v="45050"/>
    <n v="25132914"/>
    <x v="1"/>
    <s v="Oui"/>
    <x v="2"/>
    <x v="2"/>
    <s v="CONGO"/>
    <s v="RALFF-CO4836"/>
    <s v="4.5"/>
    <m/>
  </r>
  <r>
    <d v="2023-07-28T00:00:00"/>
    <s v="Grace/retour caisse avance sur salaire"/>
    <x v="8"/>
    <m/>
    <n v="30000"/>
    <m/>
    <n v="25162914"/>
    <x v="1"/>
    <m/>
    <x v="0"/>
    <x v="0"/>
    <m/>
    <m/>
    <m/>
    <m/>
  </r>
  <r>
    <d v="2023-07-28T00:00:00"/>
    <s v="Hurielle"/>
    <x v="8"/>
    <m/>
    <m/>
    <n v="20000"/>
    <n v="25142914"/>
    <x v="1"/>
    <m/>
    <x v="0"/>
    <x v="0"/>
    <m/>
    <m/>
    <m/>
    <m/>
  </r>
  <r>
    <d v="2023-07-28T00:00:00"/>
    <s v="Merveille"/>
    <x v="8"/>
    <m/>
    <m/>
    <n v="20000"/>
    <n v="25122914"/>
    <x v="1"/>
    <m/>
    <x v="0"/>
    <x v="0"/>
    <m/>
    <m/>
    <m/>
    <m/>
  </r>
  <r>
    <d v="2023-07-28T00:00:00"/>
    <s v="Oracle"/>
    <x v="8"/>
    <m/>
    <m/>
    <n v="50000"/>
    <n v="25072914"/>
    <x v="1"/>
    <m/>
    <x v="0"/>
    <x v="0"/>
    <m/>
    <m/>
    <m/>
    <m/>
  </r>
  <r>
    <d v="2023-07-28T00:00:00"/>
    <s v="Evariste"/>
    <x v="8"/>
    <m/>
    <m/>
    <n v="35000"/>
    <n v="25037914"/>
    <x v="1"/>
    <m/>
    <x v="0"/>
    <x v="0"/>
    <m/>
    <m/>
    <m/>
    <m/>
  </r>
  <r>
    <d v="2023-07-28T00:00:00"/>
    <s v="Crepin"/>
    <x v="8"/>
    <m/>
    <m/>
    <n v="170000"/>
    <n v="24867914"/>
    <x v="1"/>
    <m/>
    <x v="0"/>
    <x v="0"/>
    <m/>
    <m/>
    <m/>
    <m/>
  </r>
  <r>
    <d v="2023-07-28T00:00:00"/>
    <s v="P29"/>
    <x v="8"/>
    <m/>
    <m/>
    <n v="320000"/>
    <n v="24547914"/>
    <x v="1"/>
    <m/>
    <x v="0"/>
    <x v="0"/>
    <m/>
    <m/>
    <m/>
    <m/>
  </r>
  <r>
    <d v="2023-07-28T00:00:00"/>
    <s v="IT87"/>
    <x v="8"/>
    <m/>
    <m/>
    <n v="20000"/>
    <n v="24527914"/>
    <x v="1"/>
    <m/>
    <x v="0"/>
    <x v="0"/>
    <m/>
    <m/>
    <m/>
    <m/>
  </r>
  <r>
    <d v="2023-07-28T00:00:00"/>
    <s v="Recu caisse/D58"/>
    <x v="8"/>
    <m/>
    <n v="185000"/>
    <m/>
    <n v="24712914"/>
    <x v="8"/>
    <m/>
    <x v="0"/>
    <x v="0"/>
    <m/>
    <m/>
    <m/>
    <m/>
  </r>
  <r>
    <d v="2023-07-28T00:00:00"/>
    <s v="Frais Demarcheur pour location Appartement OP"/>
    <x v="2"/>
    <s v="Operation"/>
    <m/>
    <n v="35000"/>
    <n v="24677914"/>
    <x v="8"/>
    <s v="Oui"/>
    <x v="1"/>
    <x v="1"/>
    <s v="CONGO"/>
    <m/>
    <m/>
    <m/>
  </r>
  <r>
    <d v="2023-07-28T00:00:00"/>
    <s v="D58 - CONGO  Frais d'hotel du 28 au 30/07/2023 à Brazzaville  (02 nuitées)"/>
    <x v="4"/>
    <s v="Operation"/>
    <m/>
    <n v="140000"/>
    <n v="24537914"/>
    <x v="8"/>
    <s v="Oui"/>
    <x v="1"/>
    <x v="1"/>
    <s v="CONGO"/>
    <m/>
    <m/>
    <m/>
  </r>
  <r>
    <d v="2023-07-28T00:00:00"/>
    <s v="Cumul frais de transport local mois de Juillet 2023/D58"/>
    <x v="2"/>
    <s v="Investigation"/>
    <m/>
    <n v="58000"/>
    <n v="24479914"/>
    <x v="8"/>
    <s v="Decharge"/>
    <x v="1"/>
    <x v="2"/>
    <s v="CONGO"/>
    <s v="RALFF-CO4837"/>
    <s v="2.2"/>
    <m/>
  </r>
  <r>
    <d v="2023-07-28T00:00:00"/>
    <s v="Reçu de Caisse/ IT87"/>
    <x v="8"/>
    <m/>
    <n v="20000"/>
    <m/>
    <n v="24499914"/>
    <x v="13"/>
    <m/>
    <x v="0"/>
    <x v="0"/>
    <m/>
    <m/>
    <m/>
    <m/>
  </r>
  <r>
    <d v="2023-07-28T00:00:00"/>
    <s v="Reçu de Grace/Merveille"/>
    <x v="8"/>
    <m/>
    <n v="20000"/>
    <m/>
    <n v="24519914"/>
    <x v="6"/>
    <m/>
    <x v="0"/>
    <x v="0"/>
    <m/>
    <m/>
    <m/>
    <m/>
  </r>
  <r>
    <d v="2023-07-28T00:00:00"/>
    <s v="Cumul frais de transport local du mois de Juillet 2023/T73"/>
    <x v="2"/>
    <s v="Investigation"/>
    <m/>
    <n v="82000"/>
    <n v="24437914"/>
    <x v="9"/>
    <s v="Decharge"/>
    <x v="1"/>
    <x v="2"/>
    <s v="CONGO"/>
    <s v="RALFF-CO4838"/>
    <s v="2.2"/>
    <m/>
  </r>
  <r>
    <d v="2023-07-28T00:00:00"/>
    <s v="Cumul frais de Jail Visits mois Juillet 2023/Donald-Roméo"/>
    <x v="5"/>
    <s v="Legal"/>
    <m/>
    <n v="97000"/>
    <n v="24340914"/>
    <x v="5"/>
    <s v="Decharge"/>
    <x v="1"/>
    <x v="1"/>
    <s v="CONGO"/>
    <m/>
    <m/>
    <m/>
  </r>
  <r>
    <d v="2023-07-28T00:00:00"/>
    <s v="Reçu de la caisse/Evariste"/>
    <x v="8"/>
    <m/>
    <n v="35000"/>
    <m/>
    <n v="24375914"/>
    <x v="3"/>
    <m/>
    <x v="0"/>
    <x v="0"/>
    <m/>
    <m/>
    <m/>
    <m/>
  </r>
  <r>
    <d v="2023-07-28T00:00:00"/>
    <s v="Retour Caisse/Grace MOLENDE"/>
    <x v="8"/>
    <m/>
    <m/>
    <n v="30000"/>
    <n v="24345914"/>
    <x v="11"/>
    <m/>
    <x v="0"/>
    <x v="0"/>
    <m/>
    <m/>
    <m/>
    <m/>
  </r>
  <r>
    <d v="2023-07-28T00:00:00"/>
    <s v="ORACLE - CONGO Frais d’hôtel du 26 au 28 juillet 2023 (02 nuitées) à Pointe Noire"/>
    <x v="4"/>
    <s v="Legal"/>
    <m/>
    <n v="30000"/>
    <n v="24315914"/>
    <x v="12"/>
    <s v="Oui"/>
    <x v="1"/>
    <x v="1"/>
    <s v="CONGO"/>
    <m/>
    <m/>
    <m/>
  </r>
  <r>
    <d v="2023-07-28T00:00:00"/>
    <s v="Reçu caisse/Oracle"/>
    <x v="8"/>
    <m/>
    <n v="50000"/>
    <m/>
    <n v="24365914"/>
    <x v="12"/>
    <m/>
    <x v="0"/>
    <x v="0"/>
    <m/>
    <m/>
    <m/>
    <m/>
  </r>
  <r>
    <d v="2023-07-28T00:00:00"/>
    <s v="Reçu de caisse/P29"/>
    <x v="8"/>
    <m/>
    <n v="320000"/>
    <m/>
    <n v="24685914"/>
    <x v="10"/>
    <m/>
    <x v="0"/>
    <x v="0"/>
    <m/>
    <m/>
    <m/>
    <m/>
  </r>
  <r>
    <d v="2023-07-29T00:00:00"/>
    <s v="Reçu de caisse/Crépin"/>
    <x v="8"/>
    <m/>
    <n v="170000"/>
    <m/>
    <n v="24855914"/>
    <x v="2"/>
    <m/>
    <x v="0"/>
    <x v="0"/>
    <m/>
    <m/>
    <m/>
    <m/>
  </r>
  <r>
    <d v="2023-07-29T00:00:00"/>
    <s v="Reçu de caisse/Crépin"/>
    <x v="8"/>
    <m/>
    <n v="20000"/>
    <m/>
    <n v="24875914"/>
    <x v="2"/>
    <m/>
    <x v="0"/>
    <x v="0"/>
    <m/>
    <m/>
    <m/>
    <m/>
  </r>
  <r>
    <d v="2023-07-29T00:00:00"/>
    <s v="Bonus de 18 gendarmes de l'intervention pour l'opération du 29/07/2023 à Brazzaville"/>
    <x v="7"/>
    <s v="Management"/>
    <m/>
    <n v="180000"/>
    <n v="24695914"/>
    <x v="2"/>
    <s v="Oui"/>
    <x v="1"/>
    <x v="1"/>
    <s v="CONGO"/>
    <m/>
    <m/>
    <m/>
  </r>
  <r>
    <d v="2023-07-29T00:00:00"/>
    <s v="Bonus 01 agent EF pour l'opération du 29/07/2023 à Brazzaville"/>
    <x v="7"/>
    <s v="Management"/>
    <m/>
    <n v="10000"/>
    <n v="24685914"/>
    <x v="2"/>
    <s v="Oui"/>
    <x v="1"/>
    <x v="1"/>
    <s v="CONGO"/>
    <m/>
    <m/>
    <m/>
  </r>
  <r>
    <d v="2023-07-29T00:00:00"/>
    <s v="Cumul Frais de Transport Local du mois Juillet 2023/Dovi"/>
    <x v="2"/>
    <s v="Management"/>
    <m/>
    <n v="28000"/>
    <n v="24657914"/>
    <x v="14"/>
    <s v="Decharge"/>
    <x v="1"/>
    <x v="2"/>
    <s v="CONGO"/>
    <s v="RALFF-CO4839"/>
    <s v="2.2"/>
    <m/>
  </r>
  <r>
    <d v="2023-07-29T00:00:00"/>
    <s v="Recu caisse/Hurielle"/>
    <x v="8"/>
    <m/>
    <n v="20000"/>
    <m/>
    <n v="24677914"/>
    <x v="15"/>
    <m/>
    <x v="0"/>
    <x v="0"/>
    <m/>
    <m/>
    <m/>
    <m/>
  </r>
  <r>
    <d v="2023-07-29T00:00:00"/>
    <s v="Rafraichissement des Gendarmes avant l'OP"/>
    <x v="4"/>
    <s v="Operation"/>
    <m/>
    <n v="8500"/>
    <n v="24669414"/>
    <x v="15"/>
    <s v="Oui"/>
    <x v="1"/>
    <x v="1"/>
    <s v="CONGO"/>
    <m/>
    <m/>
    <m/>
  </r>
  <r>
    <d v="2023-07-29T00:00:00"/>
    <s v="Cumul Ration 02 Prévenus après OP "/>
    <x v="4"/>
    <s v="Operation"/>
    <m/>
    <n v="2000"/>
    <n v="24667414"/>
    <x v="15"/>
    <s v="Decharge"/>
    <x v="1"/>
    <x v="1"/>
    <s v="CONGO"/>
    <m/>
    <m/>
    <m/>
  </r>
  <r>
    <d v="2023-07-29T00:00:00"/>
    <s v="Cumul Frais de transport local mois de Juillet 2023/Hurielle"/>
    <x v="2"/>
    <s v="Operation"/>
    <m/>
    <n v="6000"/>
    <n v="24661414"/>
    <x v="15"/>
    <s v="Decharge"/>
    <x v="1"/>
    <x v="1"/>
    <s v="CONGO"/>
    <m/>
    <m/>
    <m/>
  </r>
  <r>
    <d v="2023-07-29T00:00:00"/>
    <s v="Cumul frais de Trust Building Mois de Juillet 2023/IT87"/>
    <x v="18"/>
    <s v="Investigation"/>
    <m/>
    <n v="2000"/>
    <n v="24659414"/>
    <x v="13"/>
    <s v="Decharge"/>
    <x v="1"/>
    <x v="1"/>
    <s v="CONGO"/>
    <m/>
    <m/>
    <m/>
  </r>
  <r>
    <d v="2023-07-29T00:00:00"/>
    <s v="Taxi : B52 - Port Autonome/ RDV/IT87"/>
    <x v="2"/>
    <s v="Investigation"/>
    <m/>
    <n v="4000"/>
    <n v="24655414"/>
    <x v="13"/>
    <s v="Oui"/>
    <x v="1"/>
    <x v="1"/>
    <s v="CONGO"/>
    <m/>
    <m/>
    <m/>
  </r>
  <r>
    <d v="2023-07-29T00:00:00"/>
    <s v="Taxi : Port Autonome - Domicile/ Retour /IT87"/>
    <x v="2"/>
    <s v="Investigation"/>
    <m/>
    <n v="3500"/>
    <n v="24651914"/>
    <x v="13"/>
    <s v="Oui"/>
    <x v="1"/>
    <x v="1"/>
    <s v="CONGO"/>
    <m/>
    <m/>
    <m/>
  </r>
  <r>
    <d v="2023-07-29T00:00:00"/>
    <s v="Achat Raffraichissement avant OP des gendarmes"/>
    <x v="4"/>
    <s v="Operation"/>
    <m/>
    <n v="15000"/>
    <n v="24636914"/>
    <x v="6"/>
    <s v="Oui"/>
    <x v="1"/>
    <x v="1"/>
    <s v="CONGO"/>
    <m/>
    <m/>
    <m/>
  </r>
  <r>
    <d v="2023-07-29T00:00:00"/>
    <s v="Cumul frais de transport local mois de Juillet 2023/Merveille MAHANGA"/>
    <x v="2"/>
    <s v="Office"/>
    <m/>
    <n v="34000"/>
    <n v="24602914"/>
    <x v="6"/>
    <s v="Decharge"/>
    <x v="1"/>
    <x v="2"/>
    <s v="CONGO"/>
    <s v="RALFF-CO4840"/>
    <s v="2.2"/>
    <m/>
  </r>
  <r>
    <d v="2023-07-29T00:00:00"/>
    <s v="DONALD - CONGO Frais d'hôtel/ 02 Nuitées du 27 au 29/07/2023 à Sibiti"/>
    <x v="4"/>
    <s v="Legal"/>
    <m/>
    <n v="30000"/>
    <n v="24572914"/>
    <x v="5"/>
    <s v="Oui"/>
    <x v="1"/>
    <x v="2"/>
    <s v="CONGO"/>
    <s v="RALFF-CO4841"/>
    <s v="1.3.2"/>
    <m/>
  </r>
  <r>
    <d v="2023-07-29T00:00:00"/>
    <s v="Achat billet Dolisie - Nkayi/ Donald-Roméo"/>
    <x v="16"/>
    <s v="Legal"/>
    <m/>
    <n v="5000"/>
    <n v="24567914"/>
    <x v="5"/>
    <s v="Oui"/>
    <x v="1"/>
    <x v="2"/>
    <s v="CONGO"/>
    <s v="RALFF-CO4842"/>
    <s v="2.2"/>
    <m/>
  </r>
  <r>
    <d v="2023-07-29T00:00:00"/>
    <s v="Achat billet Nkayi-Brazzaville/Donald-Roméo"/>
    <x v="16"/>
    <s v="Legal"/>
    <m/>
    <n v="8000"/>
    <n v="24559914"/>
    <x v="5"/>
    <s v="Oui"/>
    <x v="1"/>
    <x v="2"/>
    <s v="CONGO"/>
    <s v="RALFF-CO4843"/>
    <s v="2.2"/>
    <m/>
  </r>
  <r>
    <d v="2023-07-29T00:00:00"/>
    <s v="Achat carburant pour la BJ de la Gendarmerie"/>
    <x v="2"/>
    <s v="Operation"/>
    <m/>
    <n v="25000"/>
    <n v="24534914"/>
    <x v="3"/>
    <s v="Oui"/>
    <x v="1"/>
    <x v="1"/>
    <s v="CONGO"/>
    <m/>
    <m/>
    <m/>
  </r>
  <r>
    <d v="2023-07-29T00:00:00"/>
    <s v="Achat jus et biscuits (rafraichissement) pour 10 gendarmes lors de l'opération. "/>
    <x v="4"/>
    <s v="Operation"/>
    <m/>
    <n v="10000"/>
    <n v="24524914"/>
    <x v="3"/>
    <s v="Decharge"/>
    <x v="1"/>
    <x v="1"/>
    <s v="CONGO"/>
    <m/>
    <m/>
    <m/>
  </r>
  <r>
    <d v="2023-07-29T00:00:00"/>
    <s v="Rafraichissement avant OP"/>
    <x v="4"/>
    <s v="Operation"/>
    <m/>
    <n v="1000"/>
    <n v="24523914"/>
    <x v="12"/>
    <s v="Oui"/>
    <x v="1"/>
    <x v="1"/>
    <s v="CONGO"/>
    <m/>
    <m/>
    <m/>
  </r>
  <r>
    <d v="2023-07-29T00:00:00"/>
    <s v="Frais de Taxi (Course) CHU - Kintele/Oracle"/>
    <x v="2"/>
    <s v="Operation"/>
    <m/>
    <n v="5000"/>
    <n v="24518914"/>
    <x v="12"/>
    <s v="Oui"/>
    <x v="1"/>
    <x v="1"/>
    <s v="CONGO"/>
    <m/>
    <m/>
    <m/>
  </r>
  <r>
    <d v="2023-07-29T00:00:00"/>
    <s v="Frais de Taxi (Course) Kintele - Plateaux /Oracle"/>
    <x v="2"/>
    <s v="Operation"/>
    <m/>
    <n v="8000"/>
    <n v="24510914"/>
    <x v="12"/>
    <s v="Oui"/>
    <x v="1"/>
    <x v="1"/>
    <s v="CONGO"/>
    <m/>
    <m/>
    <m/>
  </r>
  <r>
    <d v="2023-07-29T00:00:00"/>
    <s v="Cumul frais de Trust Bulding mois de Juillet 2023/P29"/>
    <x v="18"/>
    <s v="Investigation"/>
    <m/>
    <n v="43500"/>
    <n v="24467414"/>
    <x v="10"/>
    <s v="Decharge"/>
    <x v="1"/>
    <x v="1"/>
    <s v="CONGO"/>
    <m/>
    <m/>
    <m/>
  </r>
  <r>
    <d v="2023-07-29T00:00:00"/>
    <s v="Cumul frais de transport local du mois de Juillet 2023/P29"/>
    <x v="2"/>
    <s v="Investigation"/>
    <m/>
    <n v="75500"/>
    <n v="24391914"/>
    <x v="10"/>
    <s v="Decharge"/>
    <x v="1"/>
    <x v="2"/>
    <s v="CONGO"/>
    <s v="RALFF-CO4844"/>
    <s v="2.2"/>
    <m/>
  </r>
  <r>
    <d v="2023-07-30T00:00:00"/>
    <s v="P29/retour caisse avance sur salaire"/>
    <x v="8"/>
    <m/>
    <n v="60000"/>
    <m/>
    <n v="24451914"/>
    <x v="1"/>
    <m/>
    <x v="0"/>
    <x v="0"/>
    <m/>
    <m/>
    <m/>
    <m/>
  </r>
  <r>
    <d v="2023-07-31T00:00:00"/>
    <s v="Oracle"/>
    <x v="8"/>
    <m/>
    <m/>
    <n v="88000"/>
    <n v="24363914"/>
    <x v="1"/>
    <m/>
    <x v="0"/>
    <x v="0"/>
    <m/>
    <m/>
    <m/>
    <m/>
  </r>
  <r>
    <d v="2023-07-31T00:00:00"/>
    <s v="Entretretien général Jardin, Bureau PALF Mois de Juillet 2023"/>
    <x v="3"/>
    <s v="Office"/>
    <m/>
    <n v="20000"/>
    <n v="24343914"/>
    <x v="1"/>
    <s v="Oui"/>
    <x v="1"/>
    <x v="1"/>
    <s v="CONGO"/>
    <m/>
    <m/>
    <m/>
  </r>
  <r>
    <d v="2023-07-31T00:00:00"/>
    <s v="Evariste"/>
    <x v="8"/>
    <m/>
    <m/>
    <n v="20000"/>
    <n v="24323914"/>
    <x v="1"/>
    <m/>
    <x v="0"/>
    <x v="0"/>
    <m/>
    <m/>
    <m/>
    <m/>
  </r>
  <r>
    <d v="2023-07-31T00:00:00"/>
    <s v="P29/retour flash nmoney"/>
    <x v="8"/>
    <m/>
    <n v="300000"/>
    <m/>
    <n v="24623914"/>
    <x v="1"/>
    <m/>
    <x v="0"/>
    <x v="0"/>
    <m/>
    <m/>
    <m/>
    <m/>
  </r>
  <r>
    <d v="2023-07-31T00:00:00"/>
    <s v="Crepin"/>
    <x v="8"/>
    <m/>
    <m/>
    <n v="20000"/>
    <n v="24603914"/>
    <x v="1"/>
    <m/>
    <x v="0"/>
    <x v="0"/>
    <m/>
    <m/>
    <m/>
    <m/>
  </r>
  <r>
    <d v="2023-07-31T00:00:00"/>
    <s v="Reglement Honoraire du mois de Juillet 2023/P29/ch:3667372"/>
    <x v="11"/>
    <s v="Investigation"/>
    <m/>
    <n v="385000"/>
    <n v="24218914"/>
    <x v="7"/>
    <n v="3667372"/>
    <x v="2"/>
    <x v="2"/>
    <s v="CONGO"/>
    <s v="RALFF-CO4845"/>
    <s v="1.1.1.9"/>
    <m/>
  </r>
  <r>
    <d v="2023-07-31T00:00:00"/>
    <s v="Reglement Honoraire du mois de Juillet 2023/T73/ch:3667373"/>
    <x v="11"/>
    <s v="Investigation"/>
    <m/>
    <n v="225000"/>
    <n v="23993914"/>
    <x v="7"/>
    <n v="3667373"/>
    <x v="2"/>
    <x v="2"/>
    <s v="CONGO"/>
    <s v="RALFF-CO4846"/>
    <s v="1.1.1.9"/>
    <m/>
  </r>
  <r>
    <d v="2023-07-31T00:00:00"/>
    <s v="Reglement Honoraire du mois de Juillet 2023/D58/ch:3667374"/>
    <x v="11"/>
    <s v="Investigation"/>
    <m/>
    <n v="245000"/>
    <n v="23748914"/>
    <x v="7"/>
    <n v="3667374"/>
    <x v="2"/>
    <x v="2"/>
    <s v="CONGO"/>
    <s v="RALFF-CO4847"/>
    <s v="1.1.1.9"/>
    <m/>
  </r>
  <r>
    <d v="2023-07-31T00:00:00"/>
    <s v="Cumul frais de Transport Local mois de Juillet 2023/Crépin IBOUILI"/>
    <x v="2"/>
    <s v="Management"/>
    <m/>
    <n v="29900"/>
    <n v="23719014"/>
    <x v="2"/>
    <s v="Decharge"/>
    <x v="2"/>
    <x v="2"/>
    <s v="CONGO"/>
    <s v="RALFF-CO4848"/>
    <s v="2.2"/>
    <m/>
  </r>
  <r>
    <d v="2023-07-31T00:00:00"/>
    <s v="Cumul frais de Ration Journalière Mois de Juillet 2023/IT87"/>
    <x v="4"/>
    <s v="Investigation"/>
    <m/>
    <n v="6000"/>
    <n v="23713014"/>
    <x v="13"/>
    <s v="Decharge"/>
    <x v="1"/>
    <x v="1"/>
    <s v="CONGO"/>
    <m/>
    <m/>
    <m/>
  </r>
  <r>
    <d v="2023-07-31T00:00:00"/>
    <s v="Cumul Frais de Transport Local Mois de Juillet 2023/IT87"/>
    <x v="2"/>
    <s v="Investigation"/>
    <m/>
    <n v="22500"/>
    <n v="23690514"/>
    <x v="13"/>
    <s v="Decharge"/>
    <x v="1"/>
    <x v="1"/>
    <s v="CONGO"/>
    <m/>
    <m/>
    <m/>
  </r>
  <r>
    <d v="2023-07-31T00:00:00"/>
    <s v="Cumul Frais de transport local du mois Juillet 2023/Donald"/>
    <x v="16"/>
    <s v="Legal"/>
    <m/>
    <n v="96800"/>
    <n v="23593714"/>
    <x v="5"/>
    <s v="Decharge"/>
    <x v="1"/>
    <x v="2"/>
    <s v="CONGO"/>
    <s v="RALFF-CO4849"/>
    <s v="2.2"/>
    <m/>
  </r>
  <r>
    <d v="2023-07-31T00:00:00"/>
    <s v="Reçu de la caisse/Evariste"/>
    <x v="8"/>
    <m/>
    <n v="20000"/>
    <m/>
    <n v="23613714"/>
    <x v="3"/>
    <m/>
    <x v="0"/>
    <x v="0"/>
    <m/>
    <m/>
    <m/>
    <m/>
  </r>
  <r>
    <d v="2023-07-31T00:00:00"/>
    <s v="Cumul frais de Transport local mois de Juillet 2023/EVARISTE LELOUSSI"/>
    <x v="2"/>
    <s v="Media"/>
    <m/>
    <n v="46000"/>
    <n v="23567714"/>
    <x v="3"/>
    <s v="Decharge"/>
    <x v="1"/>
    <x v="2"/>
    <s v="CONGO"/>
    <s v="RALFF-CO4850"/>
    <s v="2.2"/>
    <m/>
  </r>
  <r>
    <d v="2023-07-31T00:00:00"/>
    <s v="Cumul frais de Transport Local mois de Juillet 2023/Grace MOLENDE"/>
    <x v="2"/>
    <s v="Management"/>
    <m/>
    <n v="25500"/>
    <n v="23542214"/>
    <x v="11"/>
    <s v="Decharge"/>
    <x v="2"/>
    <x v="2"/>
    <s v="CONGO"/>
    <s v="RALFF-CO4851"/>
    <s v="2.2"/>
    <m/>
  </r>
  <r>
    <d v="2023-07-31T00:00:00"/>
    <s v="Cumul frais de Jail visits mois de Juillet 2023/Oracle"/>
    <x v="5"/>
    <s v="Legal"/>
    <m/>
    <n v="27000"/>
    <n v="23515214"/>
    <x v="12"/>
    <s v="Decharge"/>
    <x v="1"/>
    <x v="1"/>
    <s v="CONGO"/>
    <m/>
    <m/>
    <m/>
  </r>
  <r>
    <d v="2023-07-31T00:00:00"/>
    <s v="Cumul frais de ration journalière mois de Juillet 2023/Oracle"/>
    <x v="4"/>
    <s v="Legal"/>
    <m/>
    <n v="13000"/>
    <n v="23502214"/>
    <x v="12"/>
    <s v="Decharge"/>
    <x v="1"/>
    <x v="1"/>
    <s v="CONGO"/>
    <m/>
    <m/>
    <m/>
  </r>
  <r>
    <d v="2023-07-31T00:00:00"/>
    <s v="Reçu caisse/Oracle"/>
    <x v="8"/>
    <m/>
    <n v="88000"/>
    <m/>
    <n v="23590214"/>
    <x v="12"/>
    <m/>
    <x v="0"/>
    <x v="0"/>
    <m/>
    <m/>
    <m/>
    <m/>
  </r>
  <r>
    <d v="2023-07-31T00:00:00"/>
    <s v="Achat billet Brazzaville - Loudima/Oracle"/>
    <x v="2"/>
    <s v="Legal"/>
    <m/>
    <n v="9000"/>
    <n v="23581214"/>
    <x v="12"/>
    <s v="Oui"/>
    <x v="1"/>
    <x v="1"/>
    <s v="CONGO"/>
    <m/>
    <m/>
    <m/>
  </r>
  <r>
    <d v="2023-07-31T00:00:00"/>
    <s v="Cumul frais de Transport Local mois de Juillet 2023/Oracle"/>
    <x v="2"/>
    <s v="Legal"/>
    <m/>
    <n v="80000"/>
    <n v="23501214"/>
    <x v="12"/>
    <s v="Decharge"/>
    <x v="1"/>
    <x v="1"/>
    <s v="CONGO"/>
    <m/>
    <m/>
    <m/>
  </r>
  <r>
    <d v="2023-07-31T00:00:00"/>
    <s v="Retour caisse/P29"/>
    <x v="8"/>
    <m/>
    <m/>
    <n v="300000"/>
    <n v="23201214"/>
    <x v="10"/>
    <m/>
    <x v="0"/>
    <x v="0"/>
    <m/>
    <m/>
    <m/>
    <m/>
  </r>
  <r>
    <d v="2023-07-31T00:00:00"/>
    <s v="Retour caisse/P29"/>
    <x v="8"/>
    <m/>
    <m/>
    <n v="60000"/>
    <n v="23141214"/>
    <x v="10"/>
    <m/>
    <x v="0"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D17" firstHeaderRow="1" firstDataRow="2" firstDataCol="1"/>
  <pivotFields count="15">
    <pivotField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Col" showAll="0">
      <items count="4">
        <item x="2"/>
        <item x="1"/>
        <item x="0"/>
        <item t="default"/>
      </items>
    </pivotField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5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O21" firstHeaderRow="1" firstDataRow="3" firstDataCol="1"/>
  <pivotFields count="15">
    <pivotField showAll="0"/>
    <pivotField showAll="0"/>
    <pivotField axis="axisCol" showAll="0">
      <items count="21">
        <item x="13"/>
        <item x="7"/>
        <item x="15"/>
        <item x="17"/>
        <item x="19"/>
        <item x="5"/>
        <item x="1"/>
        <item x="9"/>
        <item x="11"/>
        <item x="12"/>
        <item x="3"/>
        <item x="6"/>
        <item x="10"/>
        <item x="2"/>
        <item x="16"/>
        <item x="4"/>
        <item x="18"/>
        <item x="8"/>
        <item x="14"/>
        <item x="0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17">
        <item x="4"/>
        <item x="7"/>
        <item x="1"/>
        <item x="2"/>
        <item x="8"/>
        <item x="5"/>
        <item x="14"/>
        <item x="3"/>
        <item x="11"/>
        <item x="15"/>
        <item x="13"/>
        <item x="6"/>
        <item x="12"/>
        <item x="10"/>
        <item x="9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2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omme de Received" fld="4" baseField="0" baseItem="0"/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U1414"/>
  <sheetViews>
    <sheetView zoomScale="65" zoomScaleNormal="65" workbookViewId="0">
      <selection activeCell="D23" sqref="D23"/>
    </sheetView>
  </sheetViews>
  <sheetFormatPr defaultColWidth="11.44140625" defaultRowHeight="14.4" x14ac:dyDescent="0.3"/>
  <cols>
    <col min="1" max="1" width="46.109375" style="5" customWidth="1"/>
    <col min="2" max="2" width="25.6640625" style="5" customWidth="1"/>
    <col min="3" max="3" width="28.33203125" style="5" customWidth="1"/>
    <col min="4" max="4" width="29.44140625" style="5" customWidth="1"/>
    <col min="5" max="5" width="19.5546875" style="5" customWidth="1"/>
    <col min="6" max="6" width="21" style="5" customWidth="1"/>
    <col min="7" max="7" width="36.33203125" style="5" customWidth="1"/>
    <col min="8" max="8" width="20.5546875" style="5" customWidth="1"/>
    <col min="9" max="9" width="19.6640625" style="5" customWidth="1"/>
    <col min="10" max="10" width="22" style="5" customWidth="1"/>
    <col min="11" max="11" width="18.6640625" style="5" customWidth="1"/>
    <col min="12" max="12" width="16" style="46" customWidth="1"/>
    <col min="13" max="13" width="18.6640625" style="46" customWidth="1"/>
    <col min="14" max="14" width="14.109375" style="46" customWidth="1"/>
    <col min="15" max="15" width="14.88671875" style="46" customWidth="1"/>
    <col min="16" max="16" width="11.44140625" style="5"/>
    <col min="17" max="17" width="2.88671875" style="5" customWidth="1"/>
    <col min="18" max="16384" width="11.44140625" style="5"/>
  </cols>
  <sheetData>
    <row r="3" spans="1:21" ht="15.6" x14ac:dyDescent="0.3">
      <c r="A3" s="6" t="s">
        <v>36</v>
      </c>
      <c r="B3" s="6" t="s">
        <v>1</v>
      </c>
      <c r="C3" s="6">
        <v>45108</v>
      </c>
      <c r="D3" s="7" t="s">
        <v>37</v>
      </c>
      <c r="E3" s="7" t="s">
        <v>38</v>
      </c>
      <c r="F3" s="7" t="s">
        <v>39</v>
      </c>
      <c r="G3" s="7" t="s">
        <v>40</v>
      </c>
      <c r="H3" s="6">
        <v>45138</v>
      </c>
      <c r="I3" s="7" t="s">
        <v>41</v>
      </c>
      <c r="K3" s="45"/>
      <c r="L3" s="45" t="s">
        <v>42</v>
      </c>
      <c r="M3" s="45" t="s">
        <v>43</v>
      </c>
      <c r="N3" s="45" t="s">
        <v>44</v>
      </c>
      <c r="O3" s="45" t="s">
        <v>45</v>
      </c>
    </row>
    <row r="4" spans="1:21" x14ac:dyDescent="0.3">
      <c r="A4" s="58" t="str">
        <f>K4</f>
        <v>BCI</v>
      </c>
      <c r="B4" s="59" t="s">
        <v>46</v>
      </c>
      <c r="C4" s="61">
        <v>7240675</v>
      </c>
      <c r="D4" s="61">
        <f>+L4</f>
        <v>0</v>
      </c>
      <c r="E4" s="61">
        <f>+N4</f>
        <v>633345</v>
      </c>
      <c r="F4" s="61">
        <f>+M4</f>
        <v>2000000</v>
      </c>
      <c r="G4" s="61">
        <f t="shared" ref="G4:G20" si="0">+O4</f>
        <v>0</v>
      </c>
      <c r="H4" s="61">
        <v>4607330</v>
      </c>
      <c r="I4" s="61">
        <f>+C4+D4-E4-F4+G4</f>
        <v>4607330</v>
      </c>
      <c r="J4" s="9">
        <f>I4-H4</f>
        <v>0</v>
      </c>
      <c r="K4" s="45" t="s">
        <v>24</v>
      </c>
      <c r="L4" s="181">
        <v>0</v>
      </c>
      <c r="M4" s="181">
        <v>2000000</v>
      </c>
      <c r="N4" s="181">
        <v>633345</v>
      </c>
      <c r="O4" s="181">
        <v>0</v>
      </c>
      <c r="R4"/>
      <c r="S4"/>
      <c r="T4"/>
      <c r="U4"/>
    </row>
    <row r="5" spans="1:21" x14ac:dyDescent="0.3">
      <c r="A5" s="58" t="str">
        <f t="shared" ref="A5:A20" si="1">K5</f>
        <v>BCI-Sous Compte</v>
      </c>
      <c r="B5" s="59" t="s">
        <v>46</v>
      </c>
      <c r="C5" s="61">
        <v>13642205</v>
      </c>
      <c r="D5" s="61">
        <f>+L5</f>
        <v>0</v>
      </c>
      <c r="E5" s="61">
        <f t="shared" ref="E5:E11" si="2">+N5</f>
        <v>5228280</v>
      </c>
      <c r="F5" s="61">
        <f t="shared" ref="F5:F13" si="3">+M5</f>
        <v>4000000</v>
      </c>
      <c r="G5" s="61">
        <f t="shared" si="0"/>
        <v>11771804</v>
      </c>
      <c r="H5" s="61">
        <v>16185729</v>
      </c>
      <c r="I5" s="61">
        <f t="shared" ref="I5:I11" si="4">+C5+D5-E5-F5+G5</f>
        <v>16185729</v>
      </c>
      <c r="J5" s="9">
        <f t="shared" ref="J5:J20" si="5">I5-H5</f>
        <v>0</v>
      </c>
      <c r="K5" s="45" t="s">
        <v>148</v>
      </c>
      <c r="L5" s="181">
        <v>0</v>
      </c>
      <c r="M5" s="181">
        <v>4000000</v>
      </c>
      <c r="N5" s="181">
        <v>5228280</v>
      </c>
      <c r="O5" s="181">
        <v>11771804</v>
      </c>
      <c r="R5"/>
      <c r="S5"/>
      <c r="T5"/>
      <c r="U5"/>
    </row>
    <row r="6" spans="1:21" x14ac:dyDescent="0.3">
      <c r="A6" s="58" t="str">
        <f t="shared" si="1"/>
        <v>Caisse</v>
      </c>
      <c r="B6" s="59" t="s">
        <v>25</v>
      </c>
      <c r="C6" s="61">
        <v>798884</v>
      </c>
      <c r="D6" s="61">
        <f t="shared" ref="D6:D20" si="6">+L6</f>
        <v>6705000</v>
      </c>
      <c r="E6" s="61">
        <f t="shared" si="2"/>
        <v>2962137</v>
      </c>
      <c r="F6" s="61">
        <f t="shared" si="3"/>
        <v>3412500</v>
      </c>
      <c r="G6" s="61">
        <f t="shared" si="0"/>
        <v>0</v>
      </c>
      <c r="H6" s="61">
        <v>1129247</v>
      </c>
      <c r="I6" s="61">
        <f t="shared" si="4"/>
        <v>1129247</v>
      </c>
      <c r="J6" s="9">
        <f t="shared" si="5"/>
        <v>0</v>
      </c>
      <c r="K6" s="45" t="s">
        <v>25</v>
      </c>
      <c r="L6" s="181">
        <v>6705000</v>
      </c>
      <c r="M6" s="181">
        <v>3412500</v>
      </c>
      <c r="N6" s="181">
        <v>2962137</v>
      </c>
      <c r="O6" s="181">
        <v>0</v>
      </c>
      <c r="R6"/>
      <c r="S6"/>
      <c r="T6"/>
      <c r="U6"/>
    </row>
    <row r="7" spans="1:21" x14ac:dyDescent="0.3">
      <c r="A7" s="58" t="str">
        <f t="shared" si="1"/>
        <v>Crépin</v>
      </c>
      <c r="B7" s="59" t="s">
        <v>2</v>
      </c>
      <c r="C7" s="61">
        <v>304020</v>
      </c>
      <c r="D7" s="61">
        <f t="shared" si="6"/>
        <v>317000</v>
      </c>
      <c r="E7" s="61">
        <f t="shared" si="2"/>
        <v>391900</v>
      </c>
      <c r="F7" s="61">
        <f t="shared" si="3"/>
        <v>0</v>
      </c>
      <c r="G7" s="61">
        <f t="shared" si="0"/>
        <v>0</v>
      </c>
      <c r="H7" s="61">
        <v>229120</v>
      </c>
      <c r="I7" s="61">
        <f t="shared" si="4"/>
        <v>229120</v>
      </c>
      <c r="J7" s="9">
        <f t="shared" si="5"/>
        <v>0</v>
      </c>
      <c r="K7" s="45" t="s">
        <v>47</v>
      </c>
      <c r="L7" s="181">
        <v>317000</v>
      </c>
      <c r="M7" s="181">
        <v>0</v>
      </c>
      <c r="N7" s="181">
        <v>391900</v>
      </c>
      <c r="O7" s="181">
        <v>0</v>
      </c>
      <c r="R7"/>
      <c r="S7"/>
      <c r="T7"/>
      <c r="U7"/>
    </row>
    <row r="8" spans="1:21" x14ac:dyDescent="0.3">
      <c r="A8" s="58" t="str">
        <f t="shared" si="1"/>
        <v>D58</v>
      </c>
      <c r="B8" s="59" t="s">
        <v>4</v>
      </c>
      <c r="C8" s="61">
        <v>53800</v>
      </c>
      <c r="D8" s="61">
        <f t="shared" si="6"/>
        <v>441000</v>
      </c>
      <c r="E8" s="61">
        <f t="shared" si="2"/>
        <v>450500</v>
      </c>
      <c r="F8" s="61">
        <f t="shared" si="3"/>
        <v>0</v>
      </c>
      <c r="G8" s="61">
        <f t="shared" si="0"/>
        <v>0</v>
      </c>
      <c r="H8" s="61">
        <v>44300</v>
      </c>
      <c r="I8" s="61">
        <f t="shared" si="4"/>
        <v>44300</v>
      </c>
      <c r="J8" s="9">
        <f t="shared" si="5"/>
        <v>0</v>
      </c>
      <c r="K8" s="45" t="s">
        <v>270</v>
      </c>
      <c r="L8" s="181">
        <v>441000</v>
      </c>
      <c r="M8" s="181">
        <v>0</v>
      </c>
      <c r="N8" s="181">
        <v>450500</v>
      </c>
      <c r="O8" s="181">
        <v>0</v>
      </c>
      <c r="R8"/>
      <c r="S8"/>
      <c r="T8"/>
      <c r="U8"/>
    </row>
    <row r="9" spans="1:21" x14ac:dyDescent="0.3">
      <c r="A9" s="58" t="str">
        <f t="shared" si="1"/>
        <v>Donald-Roméo</v>
      </c>
      <c r="B9" s="59" t="s">
        <v>154</v>
      </c>
      <c r="C9" s="61">
        <v>236135</v>
      </c>
      <c r="D9" s="61">
        <f t="shared" si="6"/>
        <v>649500</v>
      </c>
      <c r="E9" s="61">
        <f t="shared" si="2"/>
        <v>775980</v>
      </c>
      <c r="F9" s="61">
        <f t="shared" si="3"/>
        <v>65000</v>
      </c>
      <c r="G9" s="61">
        <f t="shared" si="0"/>
        <v>0</v>
      </c>
      <c r="H9" s="61">
        <v>44655</v>
      </c>
      <c r="I9" s="61">
        <f t="shared" si="4"/>
        <v>44655</v>
      </c>
      <c r="J9" s="9">
        <f t="shared" si="5"/>
        <v>0</v>
      </c>
      <c r="K9" s="45" t="s">
        <v>301</v>
      </c>
      <c r="L9" s="181">
        <v>649500</v>
      </c>
      <c r="M9" s="181">
        <v>65000</v>
      </c>
      <c r="N9" s="181">
        <v>775980</v>
      </c>
      <c r="O9" s="181">
        <v>0</v>
      </c>
      <c r="R9"/>
      <c r="S9"/>
      <c r="T9"/>
      <c r="U9"/>
    </row>
    <row r="10" spans="1:21" x14ac:dyDescent="0.3">
      <c r="A10" s="58" t="str">
        <f t="shared" si="1"/>
        <v>Dovi</v>
      </c>
      <c r="B10" s="59" t="s">
        <v>2</v>
      </c>
      <c r="C10" s="61">
        <v>76000</v>
      </c>
      <c r="D10" s="61">
        <f t="shared" si="6"/>
        <v>0</v>
      </c>
      <c r="E10" s="61">
        <f t="shared" si="2"/>
        <v>28000</v>
      </c>
      <c r="F10" s="61">
        <f t="shared" si="3"/>
        <v>0</v>
      </c>
      <c r="G10" s="61">
        <f t="shared" si="0"/>
        <v>0</v>
      </c>
      <c r="H10" s="61">
        <v>48000</v>
      </c>
      <c r="I10" s="61">
        <f t="shared" si="4"/>
        <v>48000</v>
      </c>
      <c r="J10" s="9">
        <f t="shared" si="5"/>
        <v>0</v>
      </c>
      <c r="K10" s="45" t="s">
        <v>317</v>
      </c>
      <c r="L10" s="181">
        <v>0</v>
      </c>
      <c r="M10" s="181">
        <v>0</v>
      </c>
      <c r="N10" s="181">
        <v>28000</v>
      </c>
      <c r="O10" s="181">
        <v>0</v>
      </c>
    </row>
    <row r="11" spans="1:21" x14ac:dyDescent="0.3">
      <c r="A11" s="58" t="str">
        <f t="shared" si="1"/>
        <v>Evariste</v>
      </c>
      <c r="B11" s="59" t="s">
        <v>155</v>
      </c>
      <c r="C11" s="61">
        <v>78975</v>
      </c>
      <c r="D11" s="61">
        <f t="shared" si="6"/>
        <v>75000</v>
      </c>
      <c r="E11" s="61">
        <f t="shared" si="2"/>
        <v>136000</v>
      </c>
      <c r="F11" s="61">
        <f t="shared" si="3"/>
        <v>0</v>
      </c>
      <c r="G11" s="61">
        <f t="shared" si="0"/>
        <v>0</v>
      </c>
      <c r="H11" s="61">
        <v>17975</v>
      </c>
      <c r="I11" s="61">
        <f t="shared" si="4"/>
        <v>17975</v>
      </c>
      <c r="J11" s="9">
        <f t="shared" si="5"/>
        <v>0</v>
      </c>
      <c r="K11" s="45" t="s">
        <v>31</v>
      </c>
      <c r="L11" s="181">
        <v>75000</v>
      </c>
      <c r="M11" s="181">
        <v>0</v>
      </c>
      <c r="N11" s="181">
        <v>136000</v>
      </c>
      <c r="O11" s="181">
        <v>0</v>
      </c>
      <c r="R11"/>
      <c r="S11"/>
      <c r="T11"/>
      <c r="U11"/>
    </row>
    <row r="12" spans="1:21" x14ac:dyDescent="0.3">
      <c r="A12" s="58" t="str">
        <f t="shared" si="1"/>
        <v>I55S</v>
      </c>
      <c r="B12" s="116" t="s">
        <v>4</v>
      </c>
      <c r="C12" s="118">
        <v>233614</v>
      </c>
      <c r="D12" s="118">
        <f t="shared" si="6"/>
        <v>0</v>
      </c>
      <c r="E12" s="118">
        <f>+N12</f>
        <v>0</v>
      </c>
      <c r="F12" s="118">
        <f t="shared" si="3"/>
        <v>0</v>
      </c>
      <c r="G12" s="118">
        <f t="shared" si="0"/>
        <v>0</v>
      </c>
      <c r="H12" s="118">
        <v>233614</v>
      </c>
      <c r="I12" s="118">
        <f>+C12+D12-E12-F12+G12</f>
        <v>233614</v>
      </c>
      <c r="J12" s="9">
        <f t="shared" si="5"/>
        <v>0</v>
      </c>
      <c r="K12" s="45" t="s">
        <v>84</v>
      </c>
      <c r="L12" s="181">
        <v>0</v>
      </c>
      <c r="M12" s="181">
        <v>0</v>
      </c>
      <c r="N12" s="181">
        <v>0</v>
      </c>
      <c r="O12" s="181">
        <v>0</v>
      </c>
      <c r="R12"/>
      <c r="S12"/>
      <c r="T12"/>
      <c r="U12"/>
    </row>
    <row r="13" spans="1:21" x14ac:dyDescent="0.3">
      <c r="A13" s="58" t="str">
        <f t="shared" si="1"/>
        <v>I73X</v>
      </c>
      <c r="B13" s="116" t="s">
        <v>4</v>
      </c>
      <c r="C13" s="118">
        <v>249769</v>
      </c>
      <c r="D13" s="118">
        <f t="shared" si="6"/>
        <v>0</v>
      </c>
      <c r="E13" s="118">
        <f>+N13</f>
        <v>0</v>
      </c>
      <c r="F13" s="118">
        <f t="shared" si="3"/>
        <v>0</v>
      </c>
      <c r="G13" s="118">
        <f t="shared" si="0"/>
        <v>0</v>
      </c>
      <c r="H13" s="118">
        <v>249769</v>
      </c>
      <c r="I13" s="118">
        <f t="shared" ref="I13:I14" si="7">+C13+D13-E13-F13+G13</f>
        <v>249769</v>
      </c>
      <c r="J13" s="9">
        <f t="shared" si="5"/>
        <v>0</v>
      </c>
      <c r="K13" s="45" t="s">
        <v>83</v>
      </c>
      <c r="L13" s="181">
        <v>0</v>
      </c>
      <c r="M13" s="181">
        <v>0</v>
      </c>
      <c r="N13" s="181">
        <v>0</v>
      </c>
      <c r="O13" s="181">
        <v>0</v>
      </c>
      <c r="R13"/>
      <c r="S13"/>
      <c r="T13"/>
      <c r="U13"/>
    </row>
    <row r="14" spans="1:21" s="188" customFormat="1" ht="15.6" x14ac:dyDescent="0.3">
      <c r="A14" s="58" t="str">
        <f t="shared" si="1"/>
        <v>Grace</v>
      </c>
      <c r="B14" s="59" t="s">
        <v>2</v>
      </c>
      <c r="C14" s="184">
        <v>300650</v>
      </c>
      <c r="D14" s="61">
        <f t="shared" si="6"/>
        <v>0</v>
      </c>
      <c r="E14" s="61">
        <f t="shared" ref="E14:E20" si="8">+N14</f>
        <v>25500</v>
      </c>
      <c r="F14" s="61">
        <f>+M14</f>
        <v>120000</v>
      </c>
      <c r="G14" s="61">
        <f t="shared" si="0"/>
        <v>0</v>
      </c>
      <c r="H14" s="184">
        <v>155150</v>
      </c>
      <c r="I14" s="184">
        <f t="shared" si="7"/>
        <v>155150</v>
      </c>
      <c r="J14" s="9">
        <f t="shared" si="5"/>
        <v>0</v>
      </c>
      <c r="K14" s="186" t="s">
        <v>143</v>
      </c>
      <c r="L14" s="181">
        <v>0</v>
      </c>
      <c r="M14" s="181">
        <v>120000</v>
      </c>
      <c r="N14" s="181">
        <v>25500</v>
      </c>
      <c r="O14" s="181">
        <v>0</v>
      </c>
      <c r="R14"/>
      <c r="S14"/>
      <c r="T14"/>
      <c r="U14"/>
    </row>
    <row r="15" spans="1:21" ht="15.6" x14ac:dyDescent="0.3">
      <c r="A15" s="58" t="str">
        <f t="shared" si="1"/>
        <v>Hurielle</v>
      </c>
      <c r="B15" s="98" t="s">
        <v>154</v>
      </c>
      <c r="C15" s="61">
        <v>0</v>
      </c>
      <c r="D15" s="61">
        <f t="shared" si="6"/>
        <v>20000</v>
      </c>
      <c r="E15" s="61">
        <f t="shared" si="8"/>
        <v>16500</v>
      </c>
      <c r="F15" s="61">
        <f t="shared" ref="F15:F20" si="9">+M15</f>
        <v>0</v>
      </c>
      <c r="G15" s="61">
        <f t="shared" si="0"/>
        <v>0</v>
      </c>
      <c r="H15" s="184">
        <v>3500</v>
      </c>
      <c r="I15" s="184">
        <f>+C15+D15-E15-F15+G15</f>
        <v>3500</v>
      </c>
      <c r="J15" s="9">
        <f t="shared" si="5"/>
        <v>0</v>
      </c>
      <c r="K15" s="45" t="s">
        <v>197</v>
      </c>
      <c r="L15" s="181">
        <v>20000</v>
      </c>
      <c r="M15" s="181">
        <v>0</v>
      </c>
      <c r="N15" s="181">
        <v>16500</v>
      </c>
      <c r="O15" s="181">
        <v>0</v>
      </c>
      <c r="R15"/>
      <c r="S15"/>
      <c r="T15"/>
      <c r="U15"/>
    </row>
    <row r="16" spans="1:21" s="188" customFormat="1" ht="15.6" x14ac:dyDescent="0.3">
      <c r="A16" s="58" t="str">
        <f t="shared" si="1"/>
        <v>IT87</v>
      </c>
      <c r="B16" s="59" t="s">
        <v>4</v>
      </c>
      <c r="C16" s="184">
        <v>0</v>
      </c>
      <c r="D16" s="61">
        <f t="shared" si="6"/>
        <v>40000</v>
      </c>
      <c r="E16" s="61">
        <f t="shared" si="8"/>
        <v>38000</v>
      </c>
      <c r="F16" s="61">
        <f t="shared" si="9"/>
        <v>0</v>
      </c>
      <c r="G16" s="61">
        <f t="shared" si="0"/>
        <v>0</v>
      </c>
      <c r="H16" s="184">
        <v>2000</v>
      </c>
      <c r="I16" s="184">
        <f t="shared" ref="I16:I20" si="10">+C16+D16-E16-F16+G16</f>
        <v>2000</v>
      </c>
      <c r="J16" s="9">
        <f t="shared" si="5"/>
        <v>0</v>
      </c>
      <c r="K16" s="186" t="s">
        <v>424</v>
      </c>
      <c r="L16" s="181">
        <v>40000</v>
      </c>
      <c r="M16" s="181">
        <v>0</v>
      </c>
      <c r="N16" s="181">
        <v>38000</v>
      </c>
      <c r="O16" s="181">
        <v>0</v>
      </c>
      <c r="R16"/>
      <c r="S16"/>
      <c r="T16"/>
      <c r="U16"/>
    </row>
    <row r="17" spans="1:21" ht="15.6" x14ac:dyDescent="0.3">
      <c r="A17" s="58" t="str">
        <f t="shared" si="1"/>
        <v>Merveille</v>
      </c>
      <c r="B17" s="98" t="s">
        <v>2</v>
      </c>
      <c r="C17" s="61">
        <v>225600</v>
      </c>
      <c r="D17" s="61">
        <f t="shared" si="6"/>
        <v>20000</v>
      </c>
      <c r="E17" s="61">
        <f t="shared" si="8"/>
        <v>49000</v>
      </c>
      <c r="F17" s="61">
        <f t="shared" si="9"/>
        <v>160000</v>
      </c>
      <c r="G17" s="61">
        <f t="shared" si="0"/>
        <v>0</v>
      </c>
      <c r="H17" s="184">
        <v>36600</v>
      </c>
      <c r="I17" s="184">
        <f t="shared" si="10"/>
        <v>36600</v>
      </c>
      <c r="J17" s="9">
        <f t="shared" si="5"/>
        <v>0</v>
      </c>
      <c r="K17" s="45" t="s">
        <v>93</v>
      </c>
      <c r="L17" s="181">
        <v>20000</v>
      </c>
      <c r="M17" s="181">
        <v>160000</v>
      </c>
      <c r="N17" s="181">
        <v>49000</v>
      </c>
      <c r="O17" s="181">
        <v>0</v>
      </c>
      <c r="R17"/>
      <c r="S17"/>
      <c r="T17"/>
      <c r="U17"/>
    </row>
    <row r="18" spans="1:21" ht="15.6" x14ac:dyDescent="0.3">
      <c r="A18" s="58" t="str">
        <f t="shared" si="1"/>
        <v>Oracle</v>
      </c>
      <c r="B18" s="98" t="s">
        <v>154</v>
      </c>
      <c r="C18" s="61">
        <v>25225</v>
      </c>
      <c r="D18" s="61">
        <f t="shared" si="6"/>
        <v>449000</v>
      </c>
      <c r="E18" s="61">
        <f t="shared" si="8"/>
        <v>378000</v>
      </c>
      <c r="F18" s="61">
        <f t="shared" si="9"/>
        <v>0</v>
      </c>
      <c r="G18" s="61">
        <f t="shared" si="0"/>
        <v>0</v>
      </c>
      <c r="H18" s="184">
        <v>96225</v>
      </c>
      <c r="I18" s="184">
        <f t="shared" si="10"/>
        <v>96225</v>
      </c>
      <c r="J18" s="9">
        <f t="shared" si="5"/>
        <v>0</v>
      </c>
      <c r="K18" s="45" t="s">
        <v>302</v>
      </c>
      <c r="L18" s="181">
        <v>449000</v>
      </c>
      <c r="M18" s="181">
        <v>0</v>
      </c>
      <c r="N18" s="181">
        <v>378000</v>
      </c>
      <c r="O18" s="181">
        <v>0</v>
      </c>
      <c r="R18"/>
      <c r="S18"/>
      <c r="T18"/>
      <c r="U18"/>
    </row>
    <row r="19" spans="1:21" ht="15.6" x14ac:dyDescent="0.3">
      <c r="A19" s="58" t="str">
        <f t="shared" si="1"/>
        <v>P29</v>
      </c>
      <c r="B19" s="59" t="s">
        <v>4</v>
      </c>
      <c r="C19" s="61">
        <v>92800</v>
      </c>
      <c r="D19" s="61">
        <f t="shared" si="6"/>
        <v>870000</v>
      </c>
      <c r="E19" s="61">
        <f t="shared" si="8"/>
        <v>555000</v>
      </c>
      <c r="F19" s="61">
        <f t="shared" si="9"/>
        <v>360000</v>
      </c>
      <c r="G19" s="61">
        <f t="shared" si="0"/>
        <v>0</v>
      </c>
      <c r="H19" s="184">
        <v>47800</v>
      </c>
      <c r="I19" s="184">
        <f t="shared" si="10"/>
        <v>47800</v>
      </c>
      <c r="J19" s="9">
        <f t="shared" si="5"/>
        <v>0</v>
      </c>
      <c r="K19" s="45" t="s">
        <v>29</v>
      </c>
      <c r="L19" s="181">
        <v>870000</v>
      </c>
      <c r="M19" s="181">
        <v>360000</v>
      </c>
      <c r="N19" s="181">
        <v>555000</v>
      </c>
      <c r="O19" s="181">
        <v>0</v>
      </c>
    </row>
    <row r="20" spans="1:21" ht="15.6" x14ac:dyDescent="0.3">
      <c r="A20" s="58" t="str">
        <f t="shared" si="1"/>
        <v>T73</v>
      </c>
      <c r="B20" s="59" t="s">
        <v>2</v>
      </c>
      <c r="C20" s="61">
        <v>35200</v>
      </c>
      <c r="D20" s="61">
        <f t="shared" si="6"/>
        <v>531000</v>
      </c>
      <c r="E20" s="61">
        <f t="shared" si="8"/>
        <v>556000</v>
      </c>
      <c r="F20" s="61">
        <f t="shared" si="9"/>
        <v>0</v>
      </c>
      <c r="G20" s="61">
        <f t="shared" si="0"/>
        <v>0</v>
      </c>
      <c r="H20" s="184">
        <v>10200</v>
      </c>
      <c r="I20" s="184">
        <f t="shared" si="10"/>
        <v>10200</v>
      </c>
      <c r="J20" s="9">
        <f t="shared" si="5"/>
        <v>0</v>
      </c>
      <c r="K20" s="45" t="s">
        <v>269</v>
      </c>
      <c r="L20" s="181">
        <v>531000</v>
      </c>
      <c r="M20" s="181">
        <v>0</v>
      </c>
      <c r="N20" s="181">
        <v>556000</v>
      </c>
      <c r="O20" s="181">
        <v>0</v>
      </c>
    </row>
    <row r="21" spans="1:21" x14ac:dyDescent="0.3">
      <c r="A21" s="10" t="s">
        <v>50</v>
      </c>
      <c r="B21" s="11"/>
      <c r="C21" s="12">
        <f t="shared" ref="C21:I21" si="11">SUM(C4:C20)</f>
        <v>23593552</v>
      </c>
      <c r="D21" s="57">
        <f t="shared" si="11"/>
        <v>10117500</v>
      </c>
      <c r="E21" s="57">
        <f t="shared" si="11"/>
        <v>12224142</v>
      </c>
      <c r="F21" s="57">
        <f t="shared" si="11"/>
        <v>10117500</v>
      </c>
      <c r="G21" s="57">
        <f t="shared" si="11"/>
        <v>11771804</v>
      </c>
      <c r="H21" s="57">
        <f t="shared" si="11"/>
        <v>23141214</v>
      </c>
      <c r="I21" s="57">
        <f t="shared" si="11"/>
        <v>23141214</v>
      </c>
      <c r="J21" s="9"/>
      <c r="K21" s="3"/>
      <c r="L21" s="47">
        <f>+SUM(L4:L20)</f>
        <v>10117500</v>
      </c>
      <c r="M21" s="47">
        <f>+SUM(M4:M20)</f>
        <v>10117500</v>
      </c>
      <c r="N21" s="47">
        <f>+SUM(N4:N20)</f>
        <v>12224142</v>
      </c>
      <c r="O21" s="47">
        <f>+SUM(O4:O20)</f>
        <v>11771804</v>
      </c>
    </row>
    <row r="22" spans="1:21" x14ac:dyDescent="0.3">
      <c r="A22" s="10"/>
      <c r="B22" s="11"/>
      <c r="C22" s="12"/>
      <c r="D22" s="13"/>
      <c r="E22" s="12"/>
      <c r="F22" s="13"/>
      <c r="G22" s="12"/>
      <c r="H22" s="12"/>
      <c r="I22" s="134" t="b">
        <f>I21=D24</f>
        <v>1</v>
      </c>
      <c r="J22" s="9"/>
      <c r="L22" s="5"/>
      <c r="M22" s="5"/>
      <c r="N22" s="5"/>
      <c r="O22" s="5"/>
    </row>
    <row r="23" spans="1:21" ht="15.6" x14ac:dyDescent="0.3">
      <c r="A23" s="10" t="s">
        <v>352</v>
      </c>
      <c r="B23" s="11" t="s">
        <v>235</v>
      </c>
      <c r="C23" s="12" t="s">
        <v>228</v>
      </c>
      <c r="D23" s="12" t="s">
        <v>676</v>
      </c>
      <c r="E23" s="12" t="s">
        <v>51</v>
      </c>
      <c r="F23" s="12"/>
      <c r="G23" s="12">
        <f>+D21-F21</f>
        <v>0</v>
      </c>
      <c r="H23" s="12"/>
      <c r="I23" s="216"/>
    </row>
    <row r="24" spans="1:21" x14ac:dyDescent="0.3">
      <c r="A24" s="14">
        <f>C21</f>
        <v>23593552</v>
      </c>
      <c r="B24" s="15">
        <f>G21</f>
        <v>11771804</v>
      </c>
      <c r="C24" s="12">
        <f>E21</f>
        <v>12224142</v>
      </c>
      <c r="D24" s="12">
        <f>A24+B24-C24</f>
        <v>23141214</v>
      </c>
      <c r="E24" s="13">
        <f>I21-D24</f>
        <v>0</v>
      </c>
      <c r="F24" s="12"/>
      <c r="G24" s="12"/>
      <c r="H24" s="12"/>
      <c r="I24" s="12"/>
    </row>
    <row r="25" spans="1:21" x14ac:dyDescent="0.3">
      <c r="A25" s="14"/>
      <c r="B25" s="15"/>
      <c r="C25" s="12"/>
      <c r="D25" s="12"/>
      <c r="E25" s="13"/>
      <c r="F25" s="12"/>
      <c r="G25" s="12"/>
      <c r="H25" s="12"/>
      <c r="I25" s="12"/>
    </row>
    <row r="26" spans="1:21" x14ac:dyDescent="0.3">
      <c r="A26" s="16" t="s">
        <v>52</v>
      </c>
      <c r="B26" s="16"/>
      <c r="C26" s="16"/>
      <c r="D26" s="17"/>
      <c r="E26" s="17"/>
      <c r="F26" s="17"/>
      <c r="G26" s="17"/>
      <c r="H26" s="17"/>
      <c r="I26" s="17"/>
    </row>
    <row r="27" spans="1:21" x14ac:dyDescent="0.3">
      <c r="A27" s="18" t="s">
        <v>353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21" x14ac:dyDescent="0.3">
      <c r="A28" s="19"/>
      <c r="B28" s="17"/>
      <c r="C28" s="20"/>
      <c r="D28" s="20"/>
      <c r="E28" s="20"/>
      <c r="F28" s="20"/>
      <c r="G28" s="20"/>
      <c r="H28" s="17"/>
      <c r="I28" s="17"/>
    </row>
    <row r="29" spans="1:21" ht="45" customHeight="1" x14ac:dyDescent="0.3">
      <c r="A29" s="320" t="s">
        <v>53</v>
      </c>
      <c r="B29" s="322" t="s">
        <v>54</v>
      </c>
      <c r="C29" s="324" t="s">
        <v>354</v>
      </c>
      <c r="D29" s="326" t="s">
        <v>55</v>
      </c>
      <c r="E29" s="327"/>
      <c r="F29" s="327"/>
      <c r="G29" s="328"/>
      <c r="H29" s="329" t="s">
        <v>56</v>
      </c>
      <c r="I29" s="331" t="s">
        <v>57</v>
      </c>
      <c r="J29" s="212"/>
    </row>
    <row r="30" spans="1:21" ht="28.5" customHeight="1" x14ac:dyDescent="0.3">
      <c r="A30" s="321"/>
      <c r="B30" s="323"/>
      <c r="C30" s="325"/>
      <c r="D30" s="21" t="s">
        <v>24</v>
      </c>
      <c r="E30" s="21" t="s">
        <v>25</v>
      </c>
      <c r="F30" s="325" t="s">
        <v>123</v>
      </c>
      <c r="G30" s="21" t="s">
        <v>58</v>
      </c>
      <c r="H30" s="330"/>
      <c r="I30" s="332"/>
      <c r="J30" s="333" t="s">
        <v>355</v>
      </c>
      <c r="K30" s="143"/>
    </row>
    <row r="31" spans="1:21" x14ac:dyDescent="0.3">
      <c r="A31" s="23"/>
      <c r="B31" s="24" t="s">
        <v>59</v>
      </c>
      <c r="C31" s="25"/>
      <c r="D31" s="25"/>
      <c r="E31" s="25"/>
      <c r="F31" s="25"/>
      <c r="G31" s="25"/>
      <c r="H31" s="25"/>
      <c r="I31" s="26"/>
      <c r="J31" s="333"/>
      <c r="K31" s="143"/>
    </row>
    <row r="32" spans="1:21" x14ac:dyDescent="0.3">
      <c r="A32" s="122" t="s">
        <v>72</v>
      </c>
      <c r="B32" s="127" t="str">
        <f>A7</f>
        <v>Crépin</v>
      </c>
      <c r="C32" s="32">
        <f>+C7</f>
        <v>304020</v>
      </c>
      <c r="D32" s="31"/>
      <c r="E32" s="32">
        <f>+D7</f>
        <v>317000</v>
      </c>
      <c r="F32" s="32"/>
      <c r="G32" s="32"/>
      <c r="H32" s="55">
        <f>+F7</f>
        <v>0</v>
      </c>
      <c r="I32" s="32">
        <f t="shared" ref="I32:I45" si="12">+E7</f>
        <v>391900</v>
      </c>
      <c r="J32" s="30">
        <f t="shared" ref="J32:J34" si="13">+SUM(C32:G32)-(H32+I32)</f>
        <v>229120</v>
      </c>
      <c r="K32" s="144" t="b">
        <f t="shared" ref="K32:K45" si="14">J32=I7</f>
        <v>1</v>
      </c>
    </row>
    <row r="33" spans="1:11" x14ac:dyDescent="0.3">
      <c r="A33" s="122" t="str">
        <f>+A32</f>
        <v>JUILLET</v>
      </c>
      <c r="B33" s="127" t="str">
        <f t="shared" ref="B33:B45" si="15">A8</f>
        <v>D58</v>
      </c>
      <c r="C33" s="32">
        <f>+C8</f>
        <v>53800</v>
      </c>
      <c r="D33" s="31"/>
      <c r="E33" s="32">
        <f>+D8</f>
        <v>441000</v>
      </c>
      <c r="F33" s="32"/>
      <c r="G33" s="32"/>
      <c r="H33" s="55">
        <f>+F8</f>
        <v>0</v>
      </c>
      <c r="I33" s="32">
        <f t="shared" si="12"/>
        <v>450500</v>
      </c>
      <c r="J33" s="30">
        <f t="shared" si="13"/>
        <v>44300</v>
      </c>
      <c r="K33" s="144" t="b">
        <f t="shared" si="14"/>
        <v>1</v>
      </c>
    </row>
    <row r="34" spans="1:11" x14ac:dyDescent="0.3">
      <c r="A34" s="122" t="str">
        <f t="shared" ref="A34:A45" si="16">+A33</f>
        <v>JUILLET</v>
      </c>
      <c r="B34" s="127" t="str">
        <f t="shared" si="15"/>
        <v>Donald-Roméo</v>
      </c>
      <c r="C34" s="32">
        <f>+C9</f>
        <v>236135</v>
      </c>
      <c r="D34" s="31"/>
      <c r="E34" s="32">
        <f>+D9</f>
        <v>649500</v>
      </c>
      <c r="F34" s="32"/>
      <c r="G34" s="32"/>
      <c r="H34" s="55">
        <f>+F9</f>
        <v>65000</v>
      </c>
      <c r="I34" s="32">
        <f t="shared" si="12"/>
        <v>775980</v>
      </c>
      <c r="J34" s="30">
        <f t="shared" si="13"/>
        <v>44655</v>
      </c>
      <c r="K34" s="144" t="b">
        <f t="shared" si="14"/>
        <v>1</v>
      </c>
    </row>
    <row r="35" spans="1:11" x14ac:dyDescent="0.3">
      <c r="A35" s="122" t="str">
        <f t="shared" si="16"/>
        <v>JUILLET</v>
      </c>
      <c r="B35" s="127" t="str">
        <f t="shared" si="15"/>
        <v>Dovi</v>
      </c>
      <c r="C35" s="32">
        <f>+C10</f>
        <v>76000</v>
      </c>
      <c r="D35" s="31"/>
      <c r="E35" s="32">
        <f>+D10</f>
        <v>0</v>
      </c>
      <c r="F35" s="32"/>
      <c r="G35" s="32"/>
      <c r="H35" s="55">
        <f>+F10</f>
        <v>0</v>
      </c>
      <c r="I35" s="32">
        <f t="shared" si="12"/>
        <v>28000</v>
      </c>
      <c r="J35" s="30">
        <f t="shared" ref="J35" si="17">+SUM(C35:G35)-(H35+I35)</f>
        <v>48000</v>
      </c>
      <c r="K35" s="144" t="b">
        <f t="shared" si="14"/>
        <v>1</v>
      </c>
    </row>
    <row r="36" spans="1:11" x14ac:dyDescent="0.3">
      <c r="A36" s="122" t="str">
        <f t="shared" si="16"/>
        <v>JUILLET</v>
      </c>
      <c r="B36" s="127" t="str">
        <f t="shared" si="15"/>
        <v>Evariste</v>
      </c>
      <c r="C36" s="32">
        <f t="shared" ref="C36:C45" si="18">+C11</f>
        <v>78975</v>
      </c>
      <c r="D36" s="31"/>
      <c r="E36" s="32">
        <f t="shared" ref="E36:E45" si="19">+D11</f>
        <v>75000</v>
      </c>
      <c r="F36" s="32"/>
      <c r="G36" s="32"/>
      <c r="H36" s="55">
        <f t="shared" ref="H36:H45" si="20">+F11</f>
        <v>0</v>
      </c>
      <c r="I36" s="32">
        <f t="shared" si="12"/>
        <v>136000</v>
      </c>
      <c r="J36" s="30">
        <f t="shared" ref="J36" si="21">+SUM(C36:G36)-(H36+I36)</f>
        <v>17975</v>
      </c>
      <c r="K36" s="144" t="b">
        <f t="shared" si="14"/>
        <v>1</v>
      </c>
    </row>
    <row r="37" spans="1:11" x14ac:dyDescent="0.3">
      <c r="A37" s="122" t="str">
        <f t="shared" si="16"/>
        <v>JUILLET</v>
      </c>
      <c r="B37" s="129" t="str">
        <f t="shared" si="15"/>
        <v>I55S</v>
      </c>
      <c r="C37" s="120">
        <f t="shared" si="18"/>
        <v>233614</v>
      </c>
      <c r="D37" s="123"/>
      <c r="E37" s="120">
        <f t="shared" si="19"/>
        <v>0</v>
      </c>
      <c r="F37" s="137"/>
      <c r="G37" s="137"/>
      <c r="H37" s="155">
        <f t="shared" si="20"/>
        <v>0</v>
      </c>
      <c r="I37" s="120">
        <f t="shared" si="12"/>
        <v>0</v>
      </c>
      <c r="J37" s="121">
        <f>+SUM(C37:G37)-(H37+I37)</f>
        <v>233614</v>
      </c>
      <c r="K37" s="144" t="b">
        <f t="shared" si="14"/>
        <v>1</v>
      </c>
    </row>
    <row r="38" spans="1:11" x14ac:dyDescent="0.3">
      <c r="A38" s="122" t="str">
        <f t="shared" si="16"/>
        <v>JUILLET</v>
      </c>
      <c r="B38" s="129" t="str">
        <f t="shared" si="15"/>
        <v>I73X</v>
      </c>
      <c r="C38" s="120">
        <f t="shared" si="18"/>
        <v>249769</v>
      </c>
      <c r="D38" s="123"/>
      <c r="E38" s="120">
        <f t="shared" si="19"/>
        <v>0</v>
      </c>
      <c r="F38" s="137"/>
      <c r="G38" s="137"/>
      <c r="H38" s="155">
        <f t="shared" si="20"/>
        <v>0</v>
      </c>
      <c r="I38" s="120">
        <f t="shared" si="12"/>
        <v>0</v>
      </c>
      <c r="J38" s="121">
        <f t="shared" ref="J38:J45" si="22">+SUM(C38:G38)-(H38+I38)</f>
        <v>249769</v>
      </c>
      <c r="K38" s="144" t="b">
        <f t="shared" si="14"/>
        <v>1</v>
      </c>
    </row>
    <row r="39" spans="1:11" x14ac:dyDescent="0.3">
      <c r="A39" s="122" t="str">
        <f t="shared" si="16"/>
        <v>JUILLET</v>
      </c>
      <c r="B39" s="127" t="str">
        <f t="shared" si="15"/>
        <v>Grace</v>
      </c>
      <c r="C39" s="32">
        <f t="shared" si="18"/>
        <v>300650</v>
      </c>
      <c r="D39" s="31"/>
      <c r="E39" s="32">
        <f t="shared" si="19"/>
        <v>0</v>
      </c>
      <c r="F39" s="32"/>
      <c r="G39" s="104"/>
      <c r="H39" s="55">
        <f t="shared" si="20"/>
        <v>120000</v>
      </c>
      <c r="I39" s="32">
        <f t="shared" si="12"/>
        <v>25500</v>
      </c>
      <c r="J39" s="30">
        <f t="shared" si="22"/>
        <v>155150</v>
      </c>
      <c r="K39" s="144" t="b">
        <f t="shared" si="14"/>
        <v>1</v>
      </c>
    </row>
    <row r="40" spans="1:11" x14ac:dyDescent="0.3">
      <c r="A40" s="122" t="str">
        <f t="shared" si="16"/>
        <v>JUILLET</v>
      </c>
      <c r="B40" s="127" t="str">
        <f t="shared" si="15"/>
        <v>Hurielle</v>
      </c>
      <c r="C40" s="32">
        <f t="shared" si="18"/>
        <v>0</v>
      </c>
      <c r="D40" s="31"/>
      <c r="E40" s="32">
        <f t="shared" si="19"/>
        <v>20000</v>
      </c>
      <c r="F40" s="32"/>
      <c r="G40" s="104"/>
      <c r="H40" s="55">
        <f t="shared" si="20"/>
        <v>0</v>
      </c>
      <c r="I40" s="32">
        <f t="shared" si="12"/>
        <v>16500</v>
      </c>
      <c r="J40" s="30">
        <f t="shared" si="22"/>
        <v>3500</v>
      </c>
      <c r="K40" s="144" t="b">
        <f t="shared" si="14"/>
        <v>1</v>
      </c>
    </row>
    <row r="41" spans="1:11" x14ac:dyDescent="0.3">
      <c r="A41" s="122" t="str">
        <f t="shared" si="16"/>
        <v>JUILLET</v>
      </c>
      <c r="B41" s="127" t="str">
        <f t="shared" si="15"/>
        <v>IT87</v>
      </c>
      <c r="C41" s="32">
        <f t="shared" si="18"/>
        <v>0</v>
      </c>
      <c r="D41" s="31"/>
      <c r="E41" s="32">
        <f t="shared" si="19"/>
        <v>40000</v>
      </c>
      <c r="F41" s="32"/>
      <c r="G41" s="104"/>
      <c r="H41" s="55">
        <f t="shared" si="20"/>
        <v>0</v>
      </c>
      <c r="I41" s="32">
        <f t="shared" si="12"/>
        <v>38000</v>
      </c>
      <c r="J41" s="30">
        <f t="shared" si="22"/>
        <v>2000</v>
      </c>
      <c r="K41" s="144" t="b">
        <f t="shared" si="14"/>
        <v>1</v>
      </c>
    </row>
    <row r="42" spans="1:11" x14ac:dyDescent="0.3">
      <c r="A42" s="122" t="str">
        <f t="shared" si="16"/>
        <v>JUILLET</v>
      </c>
      <c r="B42" s="127" t="str">
        <f t="shared" si="15"/>
        <v>Merveille</v>
      </c>
      <c r="C42" s="32">
        <f t="shared" si="18"/>
        <v>225600</v>
      </c>
      <c r="D42" s="31"/>
      <c r="E42" s="32">
        <f t="shared" si="19"/>
        <v>20000</v>
      </c>
      <c r="F42" s="32"/>
      <c r="G42" s="104"/>
      <c r="H42" s="55">
        <f t="shared" si="20"/>
        <v>160000</v>
      </c>
      <c r="I42" s="32">
        <f t="shared" si="12"/>
        <v>49000</v>
      </c>
      <c r="J42" s="30">
        <f t="shared" si="22"/>
        <v>36600</v>
      </c>
      <c r="K42" s="144" t="b">
        <f t="shared" si="14"/>
        <v>1</v>
      </c>
    </row>
    <row r="43" spans="1:11" x14ac:dyDescent="0.3">
      <c r="A43" s="122" t="str">
        <f t="shared" si="16"/>
        <v>JUILLET</v>
      </c>
      <c r="B43" s="127" t="str">
        <f t="shared" si="15"/>
        <v>Oracle</v>
      </c>
      <c r="C43" s="32">
        <f t="shared" si="18"/>
        <v>25225</v>
      </c>
      <c r="D43" s="31"/>
      <c r="E43" s="32">
        <f t="shared" si="19"/>
        <v>449000</v>
      </c>
      <c r="F43" s="32"/>
      <c r="G43" s="104"/>
      <c r="H43" s="55">
        <f t="shared" si="20"/>
        <v>0</v>
      </c>
      <c r="I43" s="32">
        <f t="shared" si="12"/>
        <v>378000</v>
      </c>
      <c r="J43" s="30">
        <f t="shared" si="22"/>
        <v>96225</v>
      </c>
      <c r="K43" s="144" t="b">
        <f t="shared" si="14"/>
        <v>1</v>
      </c>
    </row>
    <row r="44" spans="1:11" x14ac:dyDescent="0.3">
      <c r="A44" s="122" t="str">
        <f t="shared" si="16"/>
        <v>JUILLET</v>
      </c>
      <c r="B44" s="127" t="str">
        <f t="shared" si="15"/>
        <v>P29</v>
      </c>
      <c r="C44" s="32">
        <f t="shared" si="18"/>
        <v>92800</v>
      </c>
      <c r="D44" s="119"/>
      <c r="E44" s="32">
        <f t="shared" si="19"/>
        <v>870000</v>
      </c>
      <c r="F44" s="51"/>
      <c r="G44" s="138"/>
      <c r="H44" s="55">
        <f t="shared" si="20"/>
        <v>360000</v>
      </c>
      <c r="I44" s="32">
        <f t="shared" si="12"/>
        <v>555000</v>
      </c>
      <c r="J44" s="30">
        <f t="shared" si="22"/>
        <v>47800</v>
      </c>
      <c r="K44" s="144" t="b">
        <f t="shared" si="14"/>
        <v>1</v>
      </c>
    </row>
    <row r="45" spans="1:11" x14ac:dyDescent="0.3">
      <c r="A45" s="122" t="str">
        <f t="shared" si="16"/>
        <v>JUILLET</v>
      </c>
      <c r="B45" s="127" t="str">
        <f t="shared" si="15"/>
        <v>T73</v>
      </c>
      <c r="C45" s="32">
        <f t="shared" si="18"/>
        <v>35200</v>
      </c>
      <c r="D45" s="119"/>
      <c r="E45" s="32">
        <f t="shared" si="19"/>
        <v>531000</v>
      </c>
      <c r="F45" s="51"/>
      <c r="G45" s="138"/>
      <c r="H45" s="55">
        <f t="shared" si="20"/>
        <v>0</v>
      </c>
      <c r="I45" s="32">
        <f t="shared" si="12"/>
        <v>556000</v>
      </c>
      <c r="J45" s="30">
        <f t="shared" si="22"/>
        <v>10200</v>
      </c>
      <c r="K45" s="144" t="b">
        <f t="shared" si="14"/>
        <v>1</v>
      </c>
    </row>
    <row r="46" spans="1:11" x14ac:dyDescent="0.3">
      <c r="A46" s="34" t="s">
        <v>60</v>
      </c>
      <c r="B46" s="35"/>
      <c r="C46" s="35"/>
      <c r="D46" s="35"/>
      <c r="E46" s="35"/>
      <c r="F46" s="35"/>
      <c r="G46" s="35"/>
      <c r="H46" s="35"/>
      <c r="I46" s="35"/>
      <c r="J46" s="36"/>
      <c r="K46" s="143"/>
    </row>
    <row r="47" spans="1:11" x14ac:dyDescent="0.3">
      <c r="A47" s="122" t="str">
        <f>A45</f>
        <v>JUILLET</v>
      </c>
      <c r="B47" s="37" t="s">
        <v>61</v>
      </c>
      <c r="C47" s="38">
        <f>+C6</f>
        <v>798884</v>
      </c>
      <c r="D47" s="49"/>
      <c r="E47" s="49">
        <f>D6</f>
        <v>6705000</v>
      </c>
      <c r="F47" s="49"/>
      <c r="G47" s="125"/>
      <c r="H47" s="51">
        <f>+F6</f>
        <v>3412500</v>
      </c>
      <c r="I47" s="126">
        <f>+E6</f>
        <v>2962137</v>
      </c>
      <c r="J47" s="30">
        <f>+SUM(C47:G47)-(H47+I47)</f>
        <v>1129247</v>
      </c>
      <c r="K47" s="144" t="b">
        <f>J47=I6</f>
        <v>1</v>
      </c>
    </row>
    <row r="48" spans="1:11" x14ac:dyDescent="0.3">
      <c r="A48" s="43" t="s">
        <v>62</v>
      </c>
      <c r="B48" s="24"/>
      <c r="C48" s="35"/>
      <c r="D48" s="24"/>
      <c r="E48" s="24"/>
      <c r="F48" s="24"/>
      <c r="G48" s="24"/>
      <c r="H48" s="24"/>
      <c r="I48" s="24"/>
      <c r="J48" s="36"/>
      <c r="K48" s="143"/>
    </row>
    <row r="49" spans="1:21" x14ac:dyDescent="0.3">
      <c r="A49" s="122" t="str">
        <f>+A47</f>
        <v>JUILLET</v>
      </c>
      <c r="B49" s="37" t="s">
        <v>24</v>
      </c>
      <c r="C49" s="125">
        <f>+C4</f>
        <v>7240675</v>
      </c>
      <c r="D49" s="132">
        <f>+G4</f>
        <v>0</v>
      </c>
      <c r="E49" s="49"/>
      <c r="F49" s="49"/>
      <c r="G49" s="49"/>
      <c r="H49" s="51">
        <f>+F4</f>
        <v>2000000</v>
      </c>
      <c r="I49" s="53">
        <f>+E4</f>
        <v>633345</v>
      </c>
      <c r="J49" s="30">
        <f>+SUM(C49:G49)-(H49+I49)</f>
        <v>4607330</v>
      </c>
      <c r="K49" s="144" t="b">
        <f>+J49=I4</f>
        <v>1</v>
      </c>
    </row>
    <row r="50" spans="1:21" x14ac:dyDescent="0.3">
      <c r="A50" s="122" t="str">
        <f t="shared" ref="A50" si="23">+A49</f>
        <v>JUILLET</v>
      </c>
      <c r="B50" s="37" t="s">
        <v>64</v>
      </c>
      <c r="C50" s="125">
        <f>+C5</f>
        <v>13642205</v>
      </c>
      <c r="D50" s="49">
        <f>+G5</f>
        <v>11771804</v>
      </c>
      <c r="E50" s="48"/>
      <c r="F50" s="48"/>
      <c r="G50" s="48">
        <f>+D5</f>
        <v>0</v>
      </c>
      <c r="H50" s="32">
        <f>+F5</f>
        <v>4000000</v>
      </c>
      <c r="I50" s="50">
        <f>+E5</f>
        <v>5228280</v>
      </c>
      <c r="J50" s="30">
        <f>+SUM(C50:G50)-(H50+I50)</f>
        <v>16185729</v>
      </c>
      <c r="K50" s="144" t="b">
        <f>+J50=I5</f>
        <v>1</v>
      </c>
    </row>
    <row r="51" spans="1:21" ht="15.6" x14ac:dyDescent="0.3">
      <c r="C51" s="141">
        <f>SUM(C32:C50)</f>
        <v>23593552</v>
      </c>
      <c r="I51" s="140">
        <f>SUM(I32:I50)</f>
        <v>12224142</v>
      </c>
      <c r="J51" s="105">
        <f>+SUM(J32:J50)</f>
        <v>23141214</v>
      </c>
      <c r="K51" s="5" t="b">
        <f>J51=I21</f>
        <v>1</v>
      </c>
    </row>
    <row r="52" spans="1:21" ht="15.6" x14ac:dyDescent="0.3">
      <c r="C52" s="141"/>
      <c r="I52" s="140"/>
      <c r="J52" s="105"/>
    </row>
    <row r="53" spans="1:21" ht="15.6" x14ac:dyDescent="0.3">
      <c r="A53" s="160"/>
      <c r="B53" s="160"/>
      <c r="C53" s="161"/>
      <c r="D53" s="160"/>
      <c r="E53" s="160"/>
      <c r="F53" s="160"/>
      <c r="G53" s="160"/>
      <c r="H53" s="160"/>
      <c r="I53" s="162"/>
      <c r="J53" s="163"/>
      <c r="K53" s="160"/>
      <c r="L53" s="164"/>
      <c r="M53" s="164"/>
      <c r="N53" s="164"/>
      <c r="O53" s="164"/>
      <c r="P53" s="160"/>
    </row>
    <row r="55" spans="1:21" ht="15.6" x14ac:dyDescent="0.3">
      <c r="A55" s="6" t="s">
        <v>36</v>
      </c>
      <c r="B55" s="6" t="s">
        <v>1</v>
      </c>
      <c r="C55" s="6">
        <v>45078</v>
      </c>
      <c r="D55" s="7" t="s">
        <v>37</v>
      </c>
      <c r="E55" s="7" t="s">
        <v>38</v>
      </c>
      <c r="F55" s="7" t="s">
        <v>39</v>
      </c>
      <c r="G55" s="7" t="s">
        <v>40</v>
      </c>
      <c r="H55" s="6">
        <v>45107</v>
      </c>
      <c r="I55" s="7" t="s">
        <v>41</v>
      </c>
      <c r="K55" s="45"/>
      <c r="L55" s="45" t="s">
        <v>42</v>
      </c>
      <c r="M55" s="45" t="s">
        <v>43</v>
      </c>
      <c r="N55" s="45" t="s">
        <v>44</v>
      </c>
      <c r="O55" s="45" t="s">
        <v>45</v>
      </c>
    </row>
    <row r="56" spans="1:21" x14ac:dyDescent="0.3">
      <c r="A56" s="58" t="str">
        <f>K56</f>
        <v>BCI</v>
      </c>
      <c r="B56" s="59" t="s">
        <v>46</v>
      </c>
      <c r="C56" s="61">
        <v>14703145</v>
      </c>
      <c r="D56" s="61">
        <f>+L56</f>
        <v>0</v>
      </c>
      <c r="E56" s="61">
        <f>+N56</f>
        <v>35235</v>
      </c>
      <c r="F56" s="61">
        <f>+M56</f>
        <v>25049328</v>
      </c>
      <c r="G56" s="61">
        <f t="shared" ref="G56:G72" si="24">+O56</f>
        <v>17622093</v>
      </c>
      <c r="H56" s="61">
        <v>7240675</v>
      </c>
      <c r="I56" s="61">
        <f>+C56+D56-E56-F56+G56</f>
        <v>7240675</v>
      </c>
      <c r="J56" s="9">
        <f>I56-H56</f>
        <v>0</v>
      </c>
      <c r="K56" s="45" t="s">
        <v>24</v>
      </c>
      <c r="L56" s="181">
        <v>0</v>
      </c>
      <c r="M56" s="181">
        <v>25049328</v>
      </c>
      <c r="N56" s="181">
        <v>35235</v>
      </c>
      <c r="O56" s="181">
        <v>17622093</v>
      </c>
      <c r="R56"/>
      <c r="S56"/>
      <c r="T56"/>
      <c r="U56"/>
    </row>
    <row r="57" spans="1:21" x14ac:dyDescent="0.3">
      <c r="A57" s="58" t="str">
        <f t="shared" ref="A57:A72" si="25">K57</f>
        <v>BCI-Sous Compte</v>
      </c>
      <c r="B57" s="59" t="s">
        <v>46</v>
      </c>
      <c r="C57" s="61">
        <v>499301</v>
      </c>
      <c r="D57" s="61">
        <f>+L57</f>
        <v>19049328</v>
      </c>
      <c r="E57" s="61">
        <f t="shared" ref="E57:E63" si="26">+N57</f>
        <v>3906424</v>
      </c>
      <c r="F57" s="61">
        <f t="shared" ref="F57:F63" si="27">+M57</f>
        <v>2000000</v>
      </c>
      <c r="G57" s="61">
        <f t="shared" si="24"/>
        <v>0</v>
      </c>
      <c r="H57" s="61">
        <v>13642205</v>
      </c>
      <c r="I57" s="61">
        <f t="shared" ref="I57:I63" si="28">+C57+D57-E57-F57+G57</f>
        <v>13642205</v>
      </c>
      <c r="J57" s="9">
        <f t="shared" ref="J57:J72" si="29">I57-H57</f>
        <v>0</v>
      </c>
      <c r="K57" s="45" t="s">
        <v>148</v>
      </c>
      <c r="L57" s="181">
        <v>19049328</v>
      </c>
      <c r="M57" s="181">
        <v>2000000</v>
      </c>
      <c r="N57" s="181">
        <v>3906424</v>
      </c>
      <c r="O57" s="181">
        <v>0</v>
      </c>
      <c r="R57"/>
      <c r="S57"/>
      <c r="T57"/>
      <c r="U57"/>
    </row>
    <row r="58" spans="1:21" x14ac:dyDescent="0.3">
      <c r="A58" s="58" t="str">
        <f t="shared" si="25"/>
        <v>Caisse</v>
      </c>
      <c r="B58" s="59" t="s">
        <v>25</v>
      </c>
      <c r="C58" s="61">
        <v>275723</v>
      </c>
      <c r="D58" s="61">
        <f t="shared" ref="D58:D63" si="30">+L58</f>
        <v>8454305</v>
      </c>
      <c r="E58" s="61">
        <f t="shared" si="26"/>
        <v>2771320</v>
      </c>
      <c r="F58" s="61">
        <f t="shared" si="27"/>
        <v>5159824</v>
      </c>
      <c r="G58" s="61">
        <f t="shared" si="24"/>
        <v>0</v>
      </c>
      <c r="H58" s="61">
        <v>798884</v>
      </c>
      <c r="I58" s="61">
        <f t="shared" si="28"/>
        <v>798884</v>
      </c>
      <c r="J58" s="9">
        <f t="shared" si="29"/>
        <v>0</v>
      </c>
      <c r="K58" s="45" t="s">
        <v>25</v>
      </c>
      <c r="L58" s="181">
        <v>8454305</v>
      </c>
      <c r="M58" s="181">
        <v>5159824</v>
      </c>
      <c r="N58" s="181">
        <v>2771320</v>
      </c>
      <c r="O58" s="181">
        <v>0</v>
      </c>
      <c r="R58"/>
      <c r="S58"/>
      <c r="T58"/>
      <c r="U58"/>
    </row>
    <row r="59" spans="1:21" x14ac:dyDescent="0.3">
      <c r="A59" s="58" t="str">
        <f t="shared" si="25"/>
        <v>Crépin</v>
      </c>
      <c r="B59" s="59" t="s">
        <v>154</v>
      </c>
      <c r="C59" s="61">
        <v>240620</v>
      </c>
      <c r="D59" s="61">
        <f t="shared" si="30"/>
        <v>555500</v>
      </c>
      <c r="E59" s="61">
        <f t="shared" si="26"/>
        <v>492100</v>
      </c>
      <c r="F59" s="61">
        <f t="shared" si="27"/>
        <v>0</v>
      </c>
      <c r="G59" s="61">
        <f t="shared" si="24"/>
        <v>0</v>
      </c>
      <c r="H59" s="61">
        <v>304020</v>
      </c>
      <c r="I59" s="61">
        <f t="shared" si="28"/>
        <v>304020</v>
      </c>
      <c r="J59" s="9">
        <f t="shared" si="29"/>
        <v>0</v>
      </c>
      <c r="K59" s="45" t="s">
        <v>47</v>
      </c>
      <c r="L59" s="181">
        <v>555500</v>
      </c>
      <c r="M59" s="181">
        <v>0</v>
      </c>
      <c r="N59" s="181">
        <v>492100</v>
      </c>
      <c r="O59" s="181">
        <v>0</v>
      </c>
      <c r="R59"/>
      <c r="S59"/>
      <c r="T59"/>
      <c r="U59"/>
    </row>
    <row r="60" spans="1:21" x14ac:dyDescent="0.3">
      <c r="A60" s="58" t="str">
        <f t="shared" si="25"/>
        <v>D58</v>
      </c>
      <c r="B60" s="59" t="s">
        <v>4</v>
      </c>
      <c r="C60" s="61">
        <v>14700</v>
      </c>
      <c r="D60" s="61">
        <f t="shared" si="30"/>
        <v>402500</v>
      </c>
      <c r="E60" s="61">
        <f t="shared" si="26"/>
        <v>363400</v>
      </c>
      <c r="F60" s="61">
        <f t="shared" si="27"/>
        <v>0</v>
      </c>
      <c r="G60" s="61">
        <f t="shared" si="24"/>
        <v>0</v>
      </c>
      <c r="H60" s="61">
        <v>53800</v>
      </c>
      <c r="I60" s="61">
        <f t="shared" si="28"/>
        <v>53800</v>
      </c>
      <c r="J60" s="9">
        <f t="shared" si="29"/>
        <v>0</v>
      </c>
      <c r="K60" s="45" t="s">
        <v>270</v>
      </c>
      <c r="L60" s="181">
        <v>402500</v>
      </c>
      <c r="M60" s="181">
        <v>0</v>
      </c>
      <c r="N60" s="181">
        <v>363400</v>
      </c>
      <c r="O60" s="181">
        <v>0</v>
      </c>
      <c r="R60"/>
      <c r="S60"/>
      <c r="T60"/>
      <c r="U60"/>
    </row>
    <row r="61" spans="1:21" x14ac:dyDescent="0.3">
      <c r="A61" s="58" t="str">
        <f t="shared" si="25"/>
        <v>Donald</v>
      </c>
      <c r="B61" s="59" t="s">
        <v>154</v>
      </c>
      <c r="C61" s="61">
        <v>111990</v>
      </c>
      <c r="D61" s="61">
        <f t="shared" si="30"/>
        <v>705000</v>
      </c>
      <c r="E61" s="61">
        <f t="shared" si="26"/>
        <v>557355</v>
      </c>
      <c r="F61" s="61">
        <f t="shared" si="27"/>
        <v>23500</v>
      </c>
      <c r="G61" s="61">
        <f t="shared" si="24"/>
        <v>0</v>
      </c>
      <c r="H61" s="61">
        <v>236135</v>
      </c>
      <c r="I61" s="61">
        <f t="shared" si="28"/>
        <v>236135</v>
      </c>
      <c r="J61" s="9">
        <f t="shared" si="29"/>
        <v>0</v>
      </c>
      <c r="K61" s="45" t="s">
        <v>256</v>
      </c>
      <c r="L61" s="181">
        <v>705000</v>
      </c>
      <c r="M61" s="181">
        <v>23500</v>
      </c>
      <c r="N61" s="181">
        <v>557355</v>
      </c>
      <c r="O61" s="181">
        <v>0</v>
      </c>
      <c r="R61"/>
      <c r="S61"/>
      <c r="T61"/>
      <c r="U61"/>
    </row>
    <row r="62" spans="1:21" x14ac:dyDescent="0.3">
      <c r="A62" s="58" t="str">
        <f t="shared" si="25"/>
        <v>Dovi</v>
      </c>
      <c r="B62" s="59" t="s">
        <v>2</v>
      </c>
      <c r="C62" s="61">
        <v>0</v>
      </c>
      <c r="D62" s="61">
        <f t="shared" si="30"/>
        <v>234000</v>
      </c>
      <c r="E62" s="61">
        <f t="shared" si="26"/>
        <v>158000</v>
      </c>
      <c r="F62" s="61">
        <f t="shared" si="27"/>
        <v>0</v>
      </c>
      <c r="G62" s="61">
        <f t="shared" si="24"/>
        <v>0</v>
      </c>
      <c r="H62" s="61">
        <v>76000</v>
      </c>
      <c r="I62" s="61">
        <f t="shared" si="28"/>
        <v>76000</v>
      </c>
      <c r="J62" s="9">
        <f t="shared" si="29"/>
        <v>0</v>
      </c>
      <c r="K62" s="45" t="s">
        <v>317</v>
      </c>
      <c r="L62" s="181">
        <v>234000</v>
      </c>
      <c r="M62" s="181">
        <v>0</v>
      </c>
      <c r="N62" s="181">
        <v>158000</v>
      </c>
      <c r="O62" s="181">
        <v>0</v>
      </c>
    </row>
    <row r="63" spans="1:21" x14ac:dyDescent="0.3">
      <c r="A63" s="58" t="str">
        <f t="shared" si="25"/>
        <v>Evariste</v>
      </c>
      <c r="B63" s="59" t="s">
        <v>155</v>
      </c>
      <c r="C63" s="61">
        <v>28375</v>
      </c>
      <c r="D63" s="61">
        <f t="shared" si="30"/>
        <v>322000</v>
      </c>
      <c r="E63" s="61">
        <f t="shared" si="26"/>
        <v>271400</v>
      </c>
      <c r="F63" s="61">
        <f t="shared" si="27"/>
        <v>0</v>
      </c>
      <c r="G63" s="61">
        <f t="shared" si="24"/>
        <v>0</v>
      </c>
      <c r="H63" s="61">
        <v>78975</v>
      </c>
      <c r="I63" s="61">
        <f t="shared" si="28"/>
        <v>78975</v>
      </c>
      <c r="J63" s="9">
        <f t="shared" si="29"/>
        <v>0</v>
      </c>
      <c r="K63" s="45" t="s">
        <v>31</v>
      </c>
      <c r="L63" s="181">
        <v>322000</v>
      </c>
      <c r="M63" s="181">
        <v>0</v>
      </c>
      <c r="N63" s="181">
        <v>271400</v>
      </c>
      <c r="O63" s="181">
        <v>0</v>
      </c>
      <c r="R63"/>
      <c r="S63"/>
      <c r="T63"/>
      <c r="U63"/>
    </row>
    <row r="64" spans="1:21" x14ac:dyDescent="0.3">
      <c r="A64" s="58" t="str">
        <f t="shared" si="25"/>
        <v>I55S</v>
      </c>
      <c r="B64" s="116" t="s">
        <v>4</v>
      </c>
      <c r="C64" s="118">
        <v>233614</v>
      </c>
      <c r="D64" s="118">
        <f t="shared" ref="D64:D72" si="31">+L64</f>
        <v>0</v>
      </c>
      <c r="E64" s="118">
        <f>+N64</f>
        <v>0</v>
      </c>
      <c r="F64" s="118">
        <f t="shared" ref="F64:F65" si="32">+M64</f>
        <v>0</v>
      </c>
      <c r="G64" s="118">
        <f t="shared" si="24"/>
        <v>0</v>
      </c>
      <c r="H64" s="118">
        <v>233614</v>
      </c>
      <c r="I64" s="118">
        <f>+C64+D64-E64-F64+G64</f>
        <v>233614</v>
      </c>
      <c r="J64" s="9">
        <f t="shared" si="29"/>
        <v>0</v>
      </c>
      <c r="K64" s="45" t="s">
        <v>84</v>
      </c>
      <c r="L64" s="181">
        <v>0</v>
      </c>
      <c r="M64" s="181">
        <v>0</v>
      </c>
      <c r="N64" s="181">
        <v>0</v>
      </c>
      <c r="O64" s="181">
        <v>0</v>
      </c>
      <c r="R64"/>
      <c r="S64"/>
      <c r="T64"/>
      <c r="U64"/>
    </row>
    <row r="65" spans="1:21" x14ac:dyDescent="0.3">
      <c r="A65" s="58" t="str">
        <f t="shared" si="25"/>
        <v>I73X</v>
      </c>
      <c r="B65" s="116" t="s">
        <v>4</v>
      </c>
      <c r="C65" s="118">
        <v>249769</v>
      </c>
      <c r="D65" s="118">
        <f t="shared" si="31"/>
        <v>0</v>
      </c>
      <c r="E65" s="118">
        <f>+N65</f>
        <v>0</v>
      </c>
      <c r="F65" s="118">
        <f t="shared" si="32"/>
        <v>0</v>
      </c>
      <c r="G65" s="118">
        <f t="shared" si="24"/>
        <v>0</v>
      </c>
      <c r="H65" s="118">
        <v>249769</v>
      </c>
      <c r="I65" s="118">
        <f t="shared" ref="I65:I72" si="33">+C65+D65-E65-F65+G65</f>
        <v>249769</v>
      </c>
      <c r="J65" s="9">
        <f t="shared" si="29"/>
        <v>0</v>
      </c>
      <c r="K65" s="45" t="s">
        <v>83</v>
      </c>
      <c r="L65" s="181">
        <v>0</v>
      </c>
      <c r="M65" s="181">
        <v>0</v>
      </c>
      <c r="N65" s="181">
        <v>0</v>
      </c>
      <c r="O65" s="181">
        <v>0</v>
      </c>
      <c r="R65"/>
      <c r="S65"/>
      <c r="T65"/>
      <c r="U65"/>
    </row>
    <row r="66" spans="1:21" s="188" customFormat="1" ht="15.6" x14ac:dyDescent="0.3">
      <c r="A66" s="58" t="str">
        <f t="shared" si="25"/>
        <v>Grace</v>
      </c>
      <c r="B66" s="59" t="s">
        <v>2</v>
      </c>
      <c r="C66" s="184">
        <v>46550</v>
      </c>
      <c r="D66" s="61">
        <f t="shared" si="31"/>
        <v>829000</v>
      </c>
      <c r="E66" s="61">
        <f t="shared" ref="E66:E72" si="34">+N66</f>
        <v>199900</v>
      </c>
      <c r="F66" s="61">
        <f>+M66</f>
        <v>375000</v>
      </c>
      <c r="G66" s="61">
        <f t="shared" si="24"/>
        <v>0</v>
      </c>
      <c r="H66" s="184">
        <v>300650</v>
      </c>
      <c r="I66" s="184">
        <f t="shared" si="33"/>
        <v>300650</v>
      </c>
      <c r="J66" s="9">
        <f t="shared" si="29"/>
        <v>0</v>
      </c>
      <c r="K66" s="186" t="s">
        <v>143</v>
      </c>
      <c r="L66" s="181">
        <v>829000</v>
      </c>
      <c r="M66" s="181">
        <v>375000</v>
      </c>
      <c r="N66" s="181">
        <v>199900</v>
      </c>
      <c r="O66" s="181">
        <v>0</v>
      </c>
      <c r="R66"/>
      <c r="S66"/>
      <c r="T66"/>
      <c r="U66"/>
    </row>
    <row r="67" spans="1:21" ht="15.6" x14ac:dyDescent="0.3">
      <c r="A67" s="58" t="str">
        <f t="shared" si="25"/>
        <v>Hurielle</v>
      </c>
      <c r="B67" s="98" t="s">
        <v>154</v>
      </c>
      <c r="C67" s="61">
        <v>84605</v>
      </c>
      <c r="D67" s="61">
        <f t="shared" si="31"/>
        <v>38000</v>
      </c>
      <c r="E67" s="61">
        <f t="shared" si="34"/>
        <v>78800</v>
      </c>
      <c r="F67" s="61">
        <f t="shared" ref="F67:F72" si="35">+M67</f>
        <v>43805</v>
      </c>
      <c r="G67" s="61">
        <f t="shared" si="24"/>
        <v>0</v>
      </c>
      <c r="H67" s="184">
        <v>0</v>
      </c>
      <c r="I67" s="184">
        <f>+C67+D67-E67-F67+G67</f>
        <v>0</v>
      </c>
      <c r="J67" s="9">
        <f t="shared" si="29"/>
        <v>0</v>
      </c>
      <c r="K67" s="45" t="s">
        <v>197</v>
      </c>
      <c r="L67" s="181">
        <v>38000</v>
      </c>
      <c r="M67" s="181">
        <v>43805</v>
      </c>
      <c r="N67" s="181">
        <v>78800</v>
      </c>
      <c r="O67" s="181">
        <v>0</v>
      </c>
      <c r="R67"/>
      <c r="S67"/>
      <c r="T67"/>
      <c r="U67"/>
    </row>
    <row r="68" spans="1:21" s="188" customFormat="1" ht="15.6" x14ac:dyDescent="0.3">
      <c r="A68" s="58" t="str">
        <f t="shared" si="25"/>
        <v>Merveille</v>
      </c>
      <c r="B68" s="59" t="s">
        <v>2</v>
      </c>
      <c r="C68" s="184">
        <v>-7600</v>
      </c>
      <c r="D68" s="61">
        <f t="shared" si="31"/>
        <v>529000</v>
      </c>
      <c r="E68" s="61">
        <f t="shared" si="34"/>
        <v>275300</v>
      </c>
      <c r="F68" s="61">
        <f t="shared" si="35"/>
        <v>20500</v>
      </c>
      <c r="G68" s="61">
        <f t="shared" si="24"/>
        <v>0</v>
      </c>
      <c r="H68" s="184">
        <v>225600</v>
      </c>
      <c r="I68" s="184">
        <f t="shared" si="33"/>
        <v>225600</v>
      </c>
      <c r="J68" s="9">
        <f t="shared" si="29"/>
        <v>0</v>
      </c>
      <c r="K68" s="186" t="s">
        <v>93</v>
      </c>
      <c r="L68" s="181">
        <v>529000</v>
      </c>
      <c r="M68" s="181">
        <v>20500</v>
      </c>
      <c r="N68" s="181">
        <v>275300</v>
      </c>
      <c r="O68" s="181">
        <v>0</v>
      </c>
      <c r="R68"/>
      <c r="S68"/>
      <c r="T68"/>
      <c r="U68"/>
    </row>
    <row r="69" spans="1:21" ht="15.6" x14ac:dyDescent="0.3">
      <c r="A69" s="58" t="str">
        <f t="shared" si="25"/>
        <v>Oracle</v>
      </c>
      <c r="B69" s="98" t="s">
        <v>154</v>
      </c>
      <c r="C69" s="61">
        <v>12000</v>
      </c>
      <c r="D69" s="61">
        <f t="shared" si="31"/>
        <v>421000</v>
      </c>
      <c r="E69" s="61">
        <f t="shared" si="34"/>
        <v>367775</v>
      </c>
      <c r="F69" s="61">
        <f t="shared" si="35"/>
        <v>40000</v>
      </c>
      <c r="G69" s="61">
        <f t="shared" si="24"/>
        <v>0</v>
      </c>
      <c r="H69" s="184">
        <v>25225</v>
      </c>
      <c r="I69" s="184">
        <f t="shared" si="33"/>
        <v>25225</v>
      </c>
      <c r="J69" s="9">
        <f t="shared" si="29"/>
        <v>0</v>
      </c>
      <c r="K69" s="45" t="s">
        <v>302</v>
      </c>
      <c r="L69" s="181">
        <v>421000</v>
      </c>
      <c r="M69" s="181">
        <v>40000</v>
      </c>
      <c r="N69" s="181">
        <v>367775</v>
      </c>
      <c r="O69" s="181">
        <v>0</v>
      </c>
      <c r="R69"/>
      <c r="S69"/>
      <c r="T69"/>
      <c r="U69"/>
    </row>
    <row r="70" spans="1:21" ht="15.6" x14ac:dyDescent="0.3">
      <c r="A70" s="58" t="str">
        <f t="shared" si="25"/>
        <v>P29</v>
      </c>
      <c r="B70" s="98" t="s">
        <v>4</v>
      </c>
      <c r="C70" s="61">
        <v>149800</v>
      </c>
      <c r="D70" s="61">
        <f t="shared" si="31"/>
        <v>1048000</v>
      </c>
      <c r="E70" s="61">
        <f t="shared" si="34"/>
        <v>810000</v>
      </c>
      <c r="F70" s="61">
        <f t="shared" si="35"/>
        <v>295000</v>
      </c>
      <c r="G70" s="61">
        <f t="shared" si="24"/>
        <v>0</v>
      </c>
      <c r="H70" s="184">
        <v>92800</v>
      </c>
      <c r="I70" s="184">
        <f t="shared" si="33"/>
        <v>92800</v>
      </c>
      <c r="J70" s="9">
        <f t="shared" si="29"/>
        <v>0</v>
      </c>
      <c r="K70" s="45" t="s">
        <v>29</v>
      </c>
      <c r="L70" s="181">
        <v>1048000</v>
      </c>
      <c r="M70" s="181">
        <v>295000</v>
      </c>
      <c r="N70" s="181">
        <v>810000</v>
      </c>
      <c r="O70" s="181">
        <v>0</v>
      </c>
      <c r="R70"/>
      <c r="S70"/>
      <c r="T70"/>
      <c r="U70"/>
    </row>
    <row r="71" spans="1:21" ht="15.6" x14ac:dyDescent="0.3">
      <c r="A71" s="58" t="str">
        <f t="shared" si="25"/>
        <v>T73</v>
      </c>
      <c r="B71" s="59" t="s">
        <v>4</v>
      </c>
      <c r="C71" s="61">
        <v>354300</v>
      </c>
      <c r="D71" s="61">
        <f t="shared" si="31"/>
        <v>574000</v>
      </c>
      <c r="E71" s="61">
        <f t="shared" si="34"/>
        <v>743100</v>
      </c>
      <c r="F71" s="61">
        <f t="shared" si="35"/>
        <v>150000</v>
      </c>
      <c r="G71" s="61">
        <f t="shared" si="24"/>
        <v>0</v>
      </c>
      <c r="H71" s="184">
        <v>35200</v>
      </c>
      <c r="I71" s="184">
        <f t="shared" si="33"/>
        <v>35200</v>
      </c>
      <c r="J71" s="9">
        <f t="shared" si="29"/>
        <v>0</v>
      </c>
      <c r="K71" s="45" t="s">
        <v>269</v>
      </c>
      <c r="L71" s="181">
        <v>574000</v>
      </c>
      <c r="M71" s="181">
        <v>150000</v>
      </c>
      <c r="N71" s="181">
        <v>743100</v>
      </c>
      <c r="O71" s="181">
        <v>0</v>
      </c>
    </row>
    <row r="72" spans="1:21" ht="15.6" x14ac:dyDescent="0.3">
      <c r="A72" s="58" t="str">
        <f t="shared" si="25"/>
        <v>Tiffany</v>
      </c>
      <c r="B72" s="59" t="s">
        <v>2</v>
      </c>
      <c r="C72" s="61">
        <v>14676</v>
      </c>
      <c r="D72" s="61">
        <f t="shared" si="31"/>
        <v>25324</v>
      </c>
      <c r="E72" s="61">
        <f t="shared" si="34"/>
        <v>10000</v>
      </c>
      <c r="F72" s="61">
        <f t="shared" si="35"/>
        <v>30000</v>
      </c>
      <c r="G72" s="61">
        <f t="shared" si="24"/>
        <v>0</v>
      </c>
      <c r="H72" s="184">
        <v>0</v>
      </c>
      <c r="I72" s="184">
        <f t="shared" si="33"/>
        <v>0</v>
      </c>
      <c r="J72" s="9">
        <f t="shared" si="29"/>
        <v>0</v>
      </c>
      <c r="K72" s="45" t="s">
        <v>113</v>
      </c>
      <c r="L72" s="181">
        <v>25324</v>
      </c>
      <c r="M72" s="181">
        <v>30000</v>
      </c>
      <c r="N72" s="181">
        <v>10000</v>
      </c>
      <c r="O72" s="181">
        <v>0</v>
      </c>
    </row>
    <row r="73" spans="1:21" x14ac:dyDescent="0.3">
      <c r="A73" s="10" t="s">
        <v>50</v>
      </c>
      <c r="B73" s="11"/>
      <c r="C73" s="12">
        <f t="shared" ref="C73:I73" si="36">SUM(C56:C72)</f>
        <v>17011568</v>
      </c>
      <c r="D73" s="57">
        <f t="shared" si="36"/>
        <v>33186957</v>
      </c>
      <c r="E73" s="57">
        <f t="shared" si="36"/>
        <v>11040109</v>
      </c>
      <c r="F73" s="57">
        <f t="shared" si="36"/>
        <v>33186957</v>
      </c>
      <c r="G73" s="57">
        <f t="shared" si="36"/>
        <v>17622093</v>
      </c>
      <c r="H73" s="57">
        <f t="shared" si="36"/>
        <v>23593552</v>
      </c>
      <c r="I73" s="57">
        <f t="shared" si="36"/>
        <v>23593552</v>
      </c>
      <c r="J73" s="9"/>
      <c r="K73" s="3"/>
      <c r="L73" s="47">
        <f>+SUM(L56:L72)</f>
        <v>33186957</v>
      </c>
      <c r="M73" s="47">
        <f>+SUM(M56:M72)</f>
        <v>33186957</v>
      </c>
      <c r="N73" s="47">
        <f>+SUM(N56:N72)</f>
        <v>11040109</v>
      </c>
      <c r="O73" s="47">
        <f>+SUM(O56:O72)</f>
        <v>17622093</v>
      </c>
    </row>
    <row r="74" spans="1:21" x14ac:dyDescent="0.3">
      <c r="A74" s="10"/>
      <c r="B74" s="11"/>
      <c r="C74" s="12"/>
      <c r="D74" s="13"/>
      <c r="E74" s="12"/>
      <c r="F74" s="13"/>
      <c r="G74" s="12"/>
      <c r="H74" s="12"/>
      <c r="I74" s="134" t="b">
        <f>I73=D76</f>
        <v>1</v>
      </c>
      <c r="J74" s="9"/>
      <c r="L74" s="5"/>
      <c r="M74" s="5"/>
      <c r="N74" s="5"/>
      <c r="O74" s="5"/>
    </row>
    <row r="75" spans="1:21" ht="15.6" x14ac:dyDescent="0.3">
      <c r="A75" s="10" t="s">
        <v>312</v>
      </c>
      <c r="B75" s="11" t="s">
        <v>218</v>
      </c>
      <c r="C75" s="12" t="s">
        <v>219</v>
      </c>
      <c r="D75" s="12" t="s">
        <v>313</v>
      </c>
      <c r="E75" s="12" t="s">
        <v>51</v>
      </c>
      <c r="F75" s="12"/>
      <c r="G75" s="12">
        <f>+D73-F73</f>
        <v>0</v>
      </c>
      <c r="H75" s="12"/>
      <c r="I75" s="216"/>
    </row>
    <row r="76" spans="1:21" x14ac:dyDescent="0.3">
      <c r="A76" s="14">
        <f>C73</f>
        <v>17011568</v>
      </c>
      <c r="B76" s="15">
        <f>G73</f>
        <v>17622093</v>
      </c>
      <c r="C76" s="12">
        <f>E73</f>
        <v>11040109</v>
      </c>
      <c r="D76" s="12">
        <f>A76+B76-C76</f>
        <v>23593552</v>
      </c>
      <c r="E76" s="13">
        <f>I73-D76</f>
        <v>0</v>
      </c>
      <c r="F76" s="12"/>
      <c r="G76" s="12"/>
      <c r="H76" s="12"/>
      <c r="I76" s="12"/>
    </row>
    <row r="77" spans="1:21" x14ac:dyDescent="0.3">
      <c r="A77" s="14"/>
      <c r="B77" s="15"/>
      <c r="C77" s="12"/>
      <c r="D77" s="12"/>
      <c r="E77" s="13"/>
      <c r="F77" s="12"/>
      <c r="G77" s="12"/>
      <c r="H77" s="12"/>
      <c r="I77" s="12"/>
    </row>
    <row r="78" spans="1:21" x14ac:dyDescent="0.3">
      <c r="A78" s="16" t="s">
        <v>52</v>
      </c>
      <c r="B78" s="16"/>
      <c r="C78" s="16"/>
      <c r="D78" s="17"/>
      <c r="E78" s="17"/>
      <c r="F78" s="17"/>
      <c r="G78" s="17"/>
      <c r="H78" s="17"/>
      <c r="I78" s="17"/>
    </row>
    <row r="79" spans="1:21" x14ac:dyDescent="0.3">
      <c r="A79" s="18" t="s">
        <v>314</v>
      </c>
      <c r="B79" s="18"/>
      <c r="C79" s="18"/>
      <c r="D79" s="18"/>
      <c r="E79" s="18"/>
      <c r="F79" s="18"/>
      <c r="G79" s="18"/>
      <c r="H79" s="18"/>
      <c r="I79" s="18"/>
      <c r="J79" s="18"/>
    </row>
    <row r="80" spans="1:21" x14ac:dyDescent="0.3">
      <c r="A80" s="19"/>
      <c r="B80" s="17"/>
      <c r="C80" s="20"/>
      <c r="D80" s="20"/>
      <c r="E80" s="20"/>
      <c r="F80" s="20"/>
      <c r="G80" s="20"/>
      <c r="H80" s="17"/>
      <c r="I80" s="17"/>
    </row>
    <row r="81" spans="1:11" ht="45" customHeight="1" x14ac:dyDescent="0.3">
      <c r="A81" s="284" t="s">
        <v>53</v>
      </c>
      <c r="B81" s="286" t="s">
        <v>54</v>
      </c>
      <c r="C81" s="288" t="s">
        <v>315</v>
      </c>
      <c r="D81" s="290" t="s">
        <v>55</v>
      </c>
      <c r="E81" s="291"/>
      <c r="F81" s="291"/>
      <c r="G81" s="292"/>
      <c r="H81" s="293" t="s">
        <v>56</v>
      </c>
      <c r="I81" s="295" t="s">
        <v>57</v>
      </c>
      <c r="J81" s="212"/>
    </row>
    <row r="82" spans="1:11" ht="28.5" customHeight="1" x14ac:dyDescent="0.3">
      <c r="A82" s="285"/>
      <c r="B82" s="287"/>
      <c r="C82" s="289"/>
      <c r="D82" s="21" t="s">
        <v>24</v>
      </c>
      <c r="E82" s="21" t="s">
        <v>25</v>
      </c>
      <c r="F82" s="289" t="s">
        <v>123</v>
      </c>
      <c r="G82" s="21" t="s">
        <v>58</v>
      </c>
      <c r="H82" s="294"/>
      <c r="I82" s="296"/>
      <c r="J82" s="297" t="s">
        <v>316</v>
      </c>
      <c r="K82" s="143"/>
    </row>
    <row r="83" spans="1:11" x14ac:dyDescent="0.3">
      <c r="A83" s="23"/>
      <c r="B83" s="24" t="s">
        <v>59</v>
      </c>
      <c r="C83" s="25"/>
      <c r="D83" s="25"/>
      <c r="E83" s="25"/>
      <c r="F83" s="25"/>
      <c r="G83" s="25"/>
      <c r="H83" s="25"/>
      <c r="I83" s="26"/>
      <c r="J83" s="297"/>
      <c r="K83" s="143"/>
    </row>
    <row r="84" spans="1:11" x14ac:dyDescent="0.3">
      <c r="A84" s="122" t="s">
        <v>135</v>
      </c>
      <c r="B84" s="127" t="s">
        <v>47</v>
      </c>
      <c r="C84" s="32">
        <f>+C59</f>
        <v>240620</v>
      </c>
      <c r="D84" s="31"/>
      <c r="E84" s="32">
        <f>+D59</f>
        <v>555500</v>
      </c>
      <c r="F84" s="32"/>
      <c r="G84" s="32"/>
      <c r="H84" s="55">
        <f>+F59</f>
        <v>0</v>
      </c>
      <c r="I84" s="32">
        <f t="shared" ref="I84:I97" si="37">+E59</f>
        <v>492100</v>
      </c>
      <c r="J84" s="30">
        <f t="shared" ref="J84:J88" si="38">+SUM(C84:G84)-(H84+I84)</f>
        <v>304020</v>
      </c>
      <c r="K84" s="144" t="b">
        <f t="shared" ref="K84:K97" si="39">J84=I59</f>
        <v>1</v>
      </c>
    </row>
    <row r="85" spans="1:11" x14ac:dyDescent="0.3">
      <c r="A85" s="122" t="str">
        <f>+A84</f>
        <v>JUIN</v>
      </c>
      <c r="B85" s="127" t="s">
        <v>270</v>
      </c>
      <c r="C85" s="32">
        <f>+C60</f>
        <v>14700</v>
      </c>
      <c r="D85" s="31"/>
      <c r="E85" s="32">
        <f>+D60</f>
        <v>402500</v>
      </c>
      <c r="F85" s="32"/>
      <c r="G85" s="32"/>
      <c r="H85" s="55">
        <f>+F60</f>
        <v>0</v>
      </c>
      <c r="I85" s="32">
        <f t="shared" si="37"/>
        <v>363400</v>
      </c>
      <c r="J85" s="30">
        <f t="shared" si="38"/>
        <v>53800</v>
      </c>
      <c r="K85" s="144" t="b">
        <f t="shared" si="39"/>
        <v>1</v>
      </c>
    </row>
    <row r="86" spans="1:11" x14ac:dyDescent="0.3">
      <c r="A86" s="122" t="str">
        <f t="shared" ref="A86:A91" si="40">+A85</f>
        <v>JUIN</v>
      </c>
      <c r="B86" s="127" t="s">
        <v>256</v>
      </c>
      <c r="C86" s="32">
        <f>+C61</f>
        <v>111990</v>
      </c>
      <c r="D86" s="31"/>
      <c r="E86" s="32">
        <f>+D61</f>
        <v>705000</v>
      </c>
      <c r="F86" s="32"/>
      <c r="G86" s="32"/>
      <c r="H86" s="55">
        <f>+F61</f>
        <v>23500</v>
      </c>
      <c r="I86" s="32">
        <f t="shared" si="37"/>
        <v>557355</v>
      </c>
      <c r="J86" s="30">
        <f t="shared" si="38"/>
        <v>236135</v>
      </c>
      <c r="K86" s="144" t="b">
        <f t="shared" si="39"/>
        <v>1</v>
      </c>
    </row>
    <row r="87" spans="1:11" x14ac:dyDescent="0.3">
      <c r="A87" s="122" t="str">
        <f t="shared" si="40"/>
        <v>JUIN</v>
      </c>
      <c r="B87" s="127" t="s">
        <v>317</v>
      </c>
      <c r="C87" s="32">
        <f>+C62</f>
        <v>0</v>
      </c>
      <c r="D87" s="31"/>
      <c r="E87" s="32">
        <f>+D62</f>
        <v>234000</v>
      </c>
      <c r="F87" s="32"/>
      <c r="G87" s="32"/>
      <c r="H87" s="55">
        <f>+F62</f>
        <v>0</v>
      </c>
      <c r="I87" s="32">
        <f t="shared" si="37"/>
        <v>158000</v>
      </c>
      <c r="J87" s="30">
        <f t="shared" ref="J87" si="41">+SUM(C87:G87)-(H87+I87)</f>
        <v>76000</v>
      </c>
      <c r="K87" s="144" t="b">
        <f t="shared" si="39"/>
        <v>1</v>
      </c>
    </row>
    <row r="88" spans="1:11" x14ac:dyDescent="0.3">
      <c r="A88" s="122" t="str">
        <f t="shared" si="40"/>
        <v>JUIN</v>
      </c>
      <c r="B88" s="127" t="s">
        <v>31</v>
      </c>
      <c r="C88" s="32">
        <f t="shared" ref="C88" si="42">+C63</f>
        <v>28375</v>
      </c>
      <c r="D88" s="31"/>
      <c r="E88" s="32">
        <f t="shared" ref="E88" si="43">+D63</f>
        <v>322000</v>
      </c>
      <c r="F88" s="32"/>
      <c r="G88" s="32"/>
      <c r="H88" s="55">
        <f t="shared" ref="H88" si="44">+F63</f>
        <v>0</v>
      </c>
      <c r="I88" s="32">
        <f t="shared" si="37"/>
        <v>271400</v>
      </c>
      <c r="J88" s="30">
        <f t="shared" si="38"/>
        <v>78975</v>
      </c>
      <c r="K88" s="144" t="b">
        <f t="shared" si="39"/>
        <v>1</v>
      </c>
    </row>
    <row r="89" spans="1:11" x14ac:dyDescent="0.3">
      <c r="A89" s="122" t="str">
        <f t="shared" si="40"/>
        <v>JUIN</v>
      </c>
      <c r="B89" s="129" t="s">
        <v>84</v>
      </c>
      <c r="C89" s="120">
        <f t="shared" ref="C89:C97" si="45">+C64</f>
        <v>233614</v>
      </c>
      <c r="D89" s="123"/>
      <c r="E89" s="120">
        <f t="shared" ref="E89:E97" si="46">+D64</f>
        <v>0</v>
      </c>
      <c r="F89" s="137"/>
      <c r="G89" s="137"/>
      <c r="H89" s="155">
        <f t="shared" ref="H89:H97" si="47">+F64</f>
        <v>0</v>
      </c>
      <c r="I89" s="120">
        <f t="shared" si="37"/>
        <v>0</v>
      </c>
      <c r="J89" s="121">
        <f>+SUM(C89:G89)-(H89+I89)</f>
        <v>233614</v>
      </c>
      <c r="K89" s="144" t="b">
        <f t="shared" si="39"/>
        <v>1</v>
      </c>
    </row>
    <row r="90" spans="1:11" x14ac:dyDescent="0.3">
      <c r="A90" s="122" t="str">
        <f t="shared" si="40"/>
        <v>JUIN</v>
      </c>
      <c r="B90" s="129" t="s">
        <v>83</v>
      </c>
      <c r="C90" s="120">
        <f t="shared" si="45"/>
        <v>249769</v>
      </c>
      <c r="D90" s="123"/>
      <c r="E90" s="120">
        <f t="shared" si="46"/>
        <v>0</v>
      </c>
      <c r="F90" s="137"/>
      <c r="G90" s="137"/>
      <c r="H90" s="155">
        <f t="shared" si="47"/>
        <v>0</v>
      </c>
      <c r="I90" s="120">
        <f t="shared" si="37"/>
        <v>0</v>
      </c>
      <c r="J90" s="121">
        <f t="shared" ref="J90:J97" si="48">+SUM(C90:G90)-(H90+I90)</f>
        <v>249769</v>
      </c>
      <c r="K90" s="144" t="b">
        <f t="shared" si="39"/>
        <v>1</v>
      </c>
    </row>
    <row r="91" spans="1:11" x14ac:dyDescent="0.3">
      <c r="A91" s="122" t="str">
        <f t="shared" si="40"/>
        <v>JUIN</v>
      </c>
      <c r="B91" s="127" t="s">
        <v>143</v>
      </c>
      <c r="C91" s="32">
        <f t="shared" si="45"/>
        <v>46550</v>
      </c>
      <c r="D91" s="31"/>
      <c r="E91" s="32">
        <f t="shared" si="46"/>
        <v>829000</v>
      </c>
      <c r="F91" s="32"/>
      <c r="G91" s="104"/>
      <c r="H91" s="55">
        <f t="shared" si="47"/>
        <v>375000</v>
      </c>
      <c r="I91" s="32">
        <f t="shared" si="37"/>
        <v>199900</v>
      </c>
      <c r="J91" s="30">
        <f t="shared" si="48"/>
        <v>300650</v>
      </c>
      <c r="K91" s="144" t="b">
        <f t="shared" si="39"/>
        <v>1</v>
      </c>
    </row>
    <row r="92" spans="1:11" x14ac:dyDescent="0.3">
      <c r="A92" s="122" t="str">
        <f t="shared" ref="A92:A97" si="49">+A91</f>
        <v>JUIN</v>
      </c>
      <c r="B92" s="127" t="s">
        <v>197</v>
      </c>
      <c r="C92" s="32">
        <f t="shared" si="45"/>
        <v>84605</v>
      </c>
      <c r="D92" s="31"/>
      <c r="E92" s="32">
        <f t="shared" si="46"/>
        <v>38000</v>
      </c>
      <c r="F92" s="32"/>
      <c r="G92" s="104"/>
      <c r="H92" s="55">
        <f t="shared" si="47"/>
        <v>43805</v>
      </c>
      <c r="I92" s="32">
        <f t="shared" si="37"/>
        <v>78800</v>
      </c>
      <c r="J92" s="30">
        <f t="shared" si="48"/>
        <v>0</v>
      </c>
      <c r="K92" s="144" t="b">
        <f t="shared" si="39"/>
        <v>1</v>
      </c>
    </row>
    <row r="93" spans="1:11" x14ac:dyDescent="0.3">
      <c r="A93" s="122" t="str">
        <f t="shared" si="49"/>
        <v>JUIN</v>
      </c>
      <c r="B93" s="127" t="s">
        <v>93</v>
      </c>
      <c r="C93" s="32">
        <f t="shared" si="45"/>
        <v>-7600</v>
      </c>
      <c r="D93" s="31"/>
      <c r="E93" s="32">
        <f t="shared" si="46"/>
        <v>529000</v>
      </c>
      <c r="F93" s="32"/>
      <c r="G93" s="104"/>
      <c r="H93" s="55">
        <f t="shared" si="47"/>
        <v>20500</v>
      </c>
      <c r="I93" s="32">
        <f t="shared" si="37"/>
        <v>275300</v>
      </c>
      <c r="J93" s="30">
        <f t="shared" si="48"/>
        <v>225600</v>
      </c>
      <c r="K93" s="144" t="b">
        <f t="shared" si="39"/>
        <v>1</v>
      </c>
    </row>
    <row r="94" spans="1:11" x14ac:dyDescent="0.3">
      <c r="A94" s="122" t="str">
        <f t="shared" si="49"/>
        <v>JUIN</v>
      </c>
      <c r="B94" s="127" t="s">
        <v>302</v>
      </c>
      <c r="C94" s="32">
        <f t="shared" si="45"/>
        <v>12000</v>
      </c>
      <c r="D94" s="31"/>
      <c r="E94" s="32">
        <f t="shared" si="46"/>
        <v>421000</v>
      </c>
      <c r="F94" s="32"/>
      <c r="G94" s="104"/>
      <c r="H94" s="55">
        <f t="shared" si="47"/>
        <v>40000</v>
      </c>
      <c r="I94" s="32">
        <f t="shared" si="37"/>
        <v>367775</v>
      </c>
      <c r="J94" s="30">
        <f t="shared" si="48"/>
        <v>25225</v>
      </c>
      <c r="K94" s="144" t="b">
        <f t="shared" si="39"/>
        <v>1</v>
      </c>
    </row>
    <row r="95" spans="1:11" x14ac:dyDescent="0.3">
      <c r="A95" s="122" t="str">
        <f t="shared" si="49"/>
        <v>JUIN</v>
      </c>
      <c r="B95" s="127" t="s">
        <v>29</v>
      </c>
      <c r="C95" s="32">
        <f t="shared" si="45"/>
        <v>149800</v>
      </c>
      <c r="D95" s="31"/>
      <c r="E95" s="32">
        <f t="shared" si="46"/>
        <v>1048000</v>
      </c>
      <c r="F95" s="32"/>
      <c r="G95" s="104"/>
      <c r="H95" s="55">
        <f t="shared" si="47"/>
        <v>295000</v>
      </c>
      <c r="I95" s="32">
        <f t="shared" si="37"/>
        <v>810000</v>
      </c>
      <c r="J95" s="30">
        <f t="shared" si="48"/>
        <v>92800</v>
      </c>
      <c r="K95" s="144" t="b">
        <f t="shared" si="39"/>
        <v>1</v>
      </c>
    </row>
    <row r="96" spans="1:11" x14ac:dyDescent="0.3">
      <c r="A96" s="122" t="str">
        <f t="shared" si="49"/>
        <v>JUIN</v>
      </c>
      <c r="B96" s="128" t="s">
        <v>269</v>
      </c>
      <c r="C96" s="32">
        <f t="shared" si="45"/>
        <v>354300</v>
      </c>
      <c r="D96" s="119"/>
      <c r="E96" s="32">
        <f t="shared" si="46"/>
        <v>574000</v>
      </c>
      <c r="F96" s="51"/>
      <c r="G96" s="138"/>
      <c r="H96" s="55">
        <f t="shared" si="47"/>
        <v>150000</v>
      </c>
      <c r="I96" s="32">
        <f t="shared" si="37"/>
        <v>743100</v>
      </c>
      <c r="J96" s="30">
        <f t="shared" si="48"/>
        <v>35200</v>
      </c>
      <c r="K96" s="144" t="b">
        <f t="shared" si="39"/>
        <v>1</v>
      </c>
    </row>
    <row r="97" spans="1:21" x14ac:dyDescent="0.3">
      <c r="A97" s="122" t="str">
        <f t="shared" si="49"/>
        <v>JUIN</v>
      </c>
      <c r="B97" s="128" t="s">
        <v>113</v>
      </c>
      <c r="C97" s="32">
        <f t="shared" si="45"/>
        <v>14676</v>
      </c>
      <c r="D97" s="119"/>
      <c r="E97" s="32">
        <f t="shared" si="46"/>
        <v>25324</v>
      </c>
      <c r="F97" s="51"/>
      <c r="G97" s="138"/>
      <c r="H97" s="55">
        <f t="shared" si="47"/>
        <v>30000</v>
      </c>
      <c r="I97" s="32">
        <f t="shared" si="37"/>
        <v>10000</v>
      </c>
      <c r="J97" s="30">
        <f t="shared" si="48"/>
        <v>0</v>
      </c>
      <c r="K97" s="144" t="b">
        <f t="shared" si="39"/>
        <v>1</v>
      </c>
    </row>
    <row r="98" spans="1:21" x14ac:dyDescent="0.3">
      <c r="A98" s="34" t="s">
        <v>60</v>
      </c>
      <c r="B98" s="35"/>
      <c r="C98" s="35"/>
      <c r="D98" s="35"/>
      <c r="E98" s="35"/>
      <c r="F98" s="35"/>
      <c r="G98" s="35"/>
      <c r="H98" s="35"/>
      <c r="I98" s="35"/>
      <c r="J98" s="36"/>
      <c r="K98" s="143"/>
    </row>
    <row r="99" spans="1:21" x14ac:dyDescent="0.3">
      <c r="A99" s="122" t="str">
        <f>A97</f>
        <v>JUIN</v>
      </c>
      <c r="B99" s="37" t="s">
        <v>61</v>
      </c>
      <c r="C99" s="38">
        <f>+C58</f>
        <v>275723</v>
      </c>
      <c r="D99" s="49"/>
      <c r="E99" s="49">
        <f>D58</f>
        <v>8454305</v>
      </c>
      <c r="F99" s="49"/>
      <c r="G99" s="125"/>
      <c r="H99" s="51">
        <f>+F58</f>
        <v>5159824</v>
      </c>
      <c r="I99" s="126">
        <f>+E58</f>
        <v>2771320</v>
      </c>
      <c r="J99" s="30">
        <f>+SUM(C99:G99)-(H99+I99)</f>
        <v>798884</v>
      </c>
      <c r="K99" s="144" t="b">
        <f>J99=I58</f>
        <v>1</v>
      </c>
    </row>
    <row r="100" spans="1:21" x14ac:dyDescent="0.3">
      <c r="A100" s="43" t="s">
        <v>62</v>
      </c>
      <c r="B100" s="24"/>
      <c r="C100" s="35"/>
      <c r="D100" s="24"/>
      <c r="E100" s="24"/>
      <c r="F100" s="24"/>
      <c r="G100" s="24"/>
      <c r="H100" s="24"/>
      <c r="I100" s="24"/>
      <c r="J100" s="36"/>
      <c r="K100" s="143"/>
    </row>
    <row r="101" spans="1:21" x14ac:dyDescent="0.3">
      <c r="A101" s="122" t="str">
        <f>+A99</f>
        <v>JUIN</v>
      </c>
      <c r="B101" s="37" t="s">
        <v>24</v>
      </c>
      <c r="C101" s="125">
        <f>+C56</f>
        <v>14703145</v>
      </c>
      <c r="D101" s="132">
        <f>+G56</f>
        <v>17622093</v>
      </c>
      <c r="E101" s="49"/>
      <c r="F101" s="49"/>
      <c r="G101" s="49"/>
      <c r="H101" s="51">
        <f>+F56</f>
        <v>25049328</v>
      </c>
      <c r="I101" s="53">
        <f>+E56</f>
        <v>35235</v>
      </c>
      <c r="J101" s="30">
        <f>+SUM(C101:G101)-(H101+I101)</f>
        <v>7240675</v>
      </c>
      <c r="K101" s="144" t="b">
        <f>+J101=I56</f>
        <v>1</v>
      </c>
    </row>
    <row r="102" spans="1:21" x14ac:dyDescent="0.3">
      <c r="A102" s="122" t="str">
        <f t="shared" ref="A102" si="50">+A101</f>
        <v>JUIN</v>
      </c>
      <c r="B102" s="37" t="s">
        <v>64</v>
      </c>
      <c r="C102" s="125">
        <f>+C57</f>
        <v>499301</v>
      </c>
      <c r="D102" s="49">
        <f>+G57</f>
        <v>0</v>
      </c>
      <c r="E102" s="48"/>
      <c r="F102" s="48"/>
      <c r="G102" s="48">
        <f>+D57</f>
        <v>19049328</v>
      </c>
      <c r="H102" s="32">
        <f>+F57</f>
        <v>2000000</v>
      </c>
      <c r="I102" s="50">
        <f>+E57</f>
        <v>3906424</v>
      </c>
      <c r="J102" s="30">
        <f>+SUM(C102:G102)-(H102+I102)</f>
        <v>13642205</v>
      </c>
      <c r="K102" s="144" t="b">
        <f>+J102=I57</f>
        <v>1</v>
      </c>
    </row>
    <row r="103" spans="1:21" ht="15.6" x14ac:dyDescent="0.3">
      <c r="C103" s="141">
        <f>SUM(C84:C102)</f>
        <v>17011568</v>
      </c>
      <c r="I103" s="140">
        <f>SUM(I84:I102)</f>
        <v>11040109</v>
      </c>
      <c r="J103" s="105">
        <f>+SUM(J84:J102)</f>
        <v>23593552</v>
      </c>
      <c r="K103" s="5" t="b">
        <f>J103=I73</f>
        <v>1</v>
      </c>
    </row>
    <row r="104" spans="1:21" ht="15.6" x14ac:dyDescent="0.3">
      <c r="C104" s="141"/>
      <c r="I104" s="140"/>
      <c r="J104" s="105"/>
    </row>
    <row r="105" spans="1:21" ht="15.6" x14ac:dyDescent="0.3">
      <c r="A105" s="160"/>
      <c r="B105" s="160"/>
      <c r="C105" s="161"/>
      <c r="D105" s="160"/>
      <c r="E105" s="160"/>
      <c r="F105" s="160"/>
      <c r="G105" s="160"/>
      <c r="H105" s="160"/>
      <c r="I105" s="162"/>
      <c r="J105" s="163"/>
      <c r="K105" s="160"/>
      <c r="L105" s="164"/>
      <c r="M105" s="164"/>
      <c r="N105" s="164"/>
      <c r="O105" s="164"/>
      <c r="P105" s="160"/>
    </row>
    <row r="108" spans="1:21" ht="15.6" x14ac:dyDescent="0.3">
      <c r="A108" s="6" t="s">
        <v>36</v>
      </c>
      <c r="B108" s="6" t="s">
        <v>1</v>
      </c>
      <c r="C108" s="6">
        <v>45047</v>
      </c>
      <c r="D108" s="7" t="s">
        <v>37</v>
      </c>
      <c r="E108" s="7" t="s">
        <v>38</v>
      </c>
      <c r="F108" s="7" t="s">
        <v>39</v>
      </c>
      <c r="G108" s="7" t="s">
        <v>40</v>
      </c>
      <c r="H108" s="6">
        <v>45076</v>
      </c>
      <c r="I108" s="7" t="s">
        <v>41</v>
      </c>
      <c r="K108" s="45"/>
      <c r="L108" s="45" t="s">
        <v>42</v>
      </c>
      <c r="M108" s="45" t="s">
        <v>43</v>
      </c>
      <c r="N108" s="45" t="s">
        <v>44</v>
      </c>
      <c r="O108" s="45" t="s">
        <v>45</v>
      </c>
    </row>
    <row r="109" spans="1:21" x14ac:dyDescent="0.3">
      <c r="A109" s="58" t="str">
        <f>K109</f>
        <v>BCI</v>
      </c>
      <c r="B109" s="59" t="s">
        <v>46</v>
      </c>
      <c r="C109" s="61">
        <v>17286490</v>
      </c>
      <c r="D109" s="61">
        <f>+L109</f>
        <v>0</v>
      </c>
      <c r="E109" s="61">
        <f>+N109</f>
        <v>583345</v>
      </c>
      <c r="F109" s="61">
        <f>+M109</f>
        <v>2000000</v>
      </c>
      <c r="G109" s="61">
        <f t="shared" ref="G109:G124" si="51">+O109</f>
        <v>0</v>
      </c>
      <c r="H109" s="61">
        <v>14703145</v>
      </c>
      <c r="I109" s="61">
        <f>+C109+D109-E109-F109+G109</f>
        <v>14703145</v>
      </c>
      <c r="J109" s="9">
        <f>I109-H109</f>
        <v>0</v>
      </c>
      <c r="K109" s="45" t="s">
        <v>24</v>
      </c>
      <c r="L109" s="181">
        <v>0</v>
      </c>
      <c r="M109" s="181">
        <v>2000000</v>
      </c>
      <c r="N109" s="181">
        <v>583345</v>
      </c>
      <c r="O109" s="181">
        <v>0</v>
      </c>
      <c r="R109"/>
      <c r="S109"/>
      <c r="T109"/>
      <c r="U109"/>
    </row>
    <row r="110" spans="1:21" x14ac:dyDescent="0.3">
      <c r="A110" s="58" t="str">
        <f t="shared" ref="A110:A124" si="52">K110</f>
        <v>BCI-Sous Compte</v>
      </c>
      <c r="B110" s="59" t="s">
        <v>46</v>
      </c>
      <c r="C110" s="61">
        <v>5202151</v>
      </c>
      <c r="D110" s="61">
        <f t="shared" ref="D110:D124" si="53">+L110</f>
        <v>0</v>
      </c>
      <c r="E110" s="61">
        <f t="shared" ref="E110:E115" si="54">+N110</f>
        <v>4702850</v>
      </c>
      <c r="F110" s="61">
        <f t="shared" ref="F110:F124" si="55">+M110</f>
        <v>0</v>
      </c>
      <c r="G110" s="61">
        <f t="shared" si="51"/>
        <v>0</v>
      </c>
      <c r="H110" s="61">
        <v>499301</v>
      </c>
      <c r="I110" s="61">
        <f>+C110+D110-E110-F110+G110</f>
        <v>499301</v>
      </c>
      <c r="J110" s="9">
        <f t="shared" ref="J110:J117" si="56">I110-H110</f>
        <v>0</v>
      </c>
      <c r="K110" s="45" t="s">
        <v>148</v>
      </c>
      <c r="L110" s="181">
        <v>0</v>
      </c>
      <c r="M110" s="181">
        <v>0</v>
      </c>
      <c r="N110" s="181">
        <v>4702850</v>
      </c>
      <c r="O110" s="181">
        <v>0</v>
      </c>
      <c r="R110"/>
      <c r="S110"/>
      <c r="T110"/>
      <c r="U110"/>
    </row>
    <row r="111" spans="1:21" x14ac:dyDescent="0.3">
      <c r="A111" s="58" t="str">
        <f t="shared" si="52"/>
        <v>Caisse</v>
      </c>
      <c r="B111" s="59" t="s">
        <v>25</v>
      </c>
      <c r="C111" s="61">
        <v>3813317</v>
      </c>
      <c r="D111" s="61">
        <f t="shared" si="53"/>
        <v>2180000</v>
      </c>
      <c r="E111" s="61">
        <f t="shared" si="54"/>
        <v>1411594</v>
      </c>
      <c r="F111" s="61">
        <f t="shared" si="55"/>
        <v>4306000</v>
      </c>
      <c r="G111" s="61">
        <f t="shared" si="51"/>
        <v>0</v>
      </c>
      <c r="H111" s="61">
        <v>275723</v>
      </c>
      <c r="I111" s="61">
        <f>+C111+D111-E111-F111+G111</f>
        <v>275723</v>
      </c>
      <c r="J111" s="102">
        <f t="shared" si="56"/>
        <v>0</v>
      </c>
      <c r="K111" s="45" t="s">
        <v>25</v>
      </c>
      <c r="L111" s="181">
        <v>2180000</v>
      </c>
      <c r="M111" s="181">
        <v>4306000</v>
      </c>
      <c r="N111" s="181">
        <v>1411594</v>
      </c>
      <c r="O111" s="181">
        <v>0</v>
      </c>
      <c r="R111"/>
      <c r="S111"/>
      <c r="T111"/>
      <c r="U111"/>
    </row>
    <row r="112" spans="1:21" x14ac:dyDescent="0.3">
      <c r="A112" s="58" t="str">
        <f t="shared" si="52"/>
        <v>Crépin</v>
      </c>
      <c r="B112" s="59" t="s">
        <v>154</v>
      </c>
      <c r="C112" s="61">
        <v>74020</v>
      </c>
      <c r="D112" s="61">
        <f t="shared" si="53"/>
        <v>905000</v>
      </c>
      <c r="E112" s="61">
        <f t="shared" si="54"/>
        <v>665400</v>
      </c>
      <c r="F112" s="61">
        <f t="shared" si="55"/>
        <v>73000</v>
      </c>
      <c r="G112" s="61">
        <f t="shared" si="51"/>
        <v>0</v>
      </c>
      <c r="H112" s="61">
        <v>240620</v>
      </c>
      <c r="I112" s="61">
        <f>+C112+D112-E112-F112+G112</f>
        <v>240620</v>
      </c>
      <c r="J112" s="9">
        <f t="shared" si="56"/>
        <v>0</v>
      </c>
      <c r="K112" s="45" t="s">
        <v>47</v>
      </c>
      <c r="L112" s="181">
        <v>905000</v>
      </c>
      <c r="M112" s="181">
        <v>73000</v>
      </c>
      <c r="N112" s="181">
        <v>665400</v>
      </c>
      <c r="O112" s="181">
        <v>0</v>
      </c>
      <c r="R112"/>
      <c r="S112"/>
      <c r="T112"/>
      <c r="U112"/>
    </row>
    <row r="113" spans="1:21" x14ac:dyDescent="0.3">
      <c r="A113" s="58" t="str">
        <f t="shared" si="52"/>
        <v>D58</v>
      </c>
      <c r="B113" s="59" t="s">
        <v>4</v>
      </c>
      <c r="C113" s="61">
        <v>0</v>
      </c>
      <c r="D113" s="61">
        <f t="shared" si="53"/>
        <v>384500</v>
      </c>
      <c r="E113" s="61">
        <f t="shared" si="54"/>
        <v>369800</v>
      </c>
      <c r="F113" s="61">
        <f t="shared" si="55"/>
        <v>0</v>
      </c>
      <c r="G113" s="61">
        <f t="shared" si="51"/>
        <v>0</v>
      </c>
      <c r="H113" s="61">
        <v>14700</v>
      </c>
      <c r="I113" s="61">
        <f>+C113+D113-E113-F113+G113</f>
        <v>14700</v>
      </c>
      <c r="J113" s="9">
        <f t="shared" si="56"/>
        <v>0</v>
      </c>
      <c r="K113" s="45" t="s">
        <v>270</v>
      </c>
      <c r="L113" s="181">
        <v>384500</v>
      </c>
      <c r="M113" s="181">
        <v>0</v>
      </c>
      <c r="N113" s="181">
        <v>369800</v>
      </c>
      <c r="O113" s="181">
        <v>0</v>
      </c>
      <c r="R113"/>
      <c r="S113"/>
      <c r="T113"/>
      <c r="U113"/>
    </row>
    <row r="114" spans="1:21" x14ac:dyDescent="0.3">
      <c r="A114" s="58" t="str">
        <f t="shared" si="52"/>
        <v>Donald</v>
      </c>
      <c r="B114" s="59" t="s">
        <v>154</v>
      </c>
      <c r="C114" s="61">
        <v>28350</v>
      </c>
      <c r="D114" s="61">
        <f t="shared" si="53"/>
        <v>722000</v>
      </c>
      <c r="E114" s="61">
        <f t="shared" si="54"/>
        <v>540360</v>
      </c>
      <c r="F114" s="61">
        <f t="shared" si="55"/>
        <v>98000</v>
      </c>
      <c r="G114" s="61">
        <f t="shared" si="51"/>
        <v>0</v>
      </c>
      <c r="H114" s="61">
        <v>111990</v>
      </c>
      <c r="I114" s="61">
        <f t="shared" ref="I114:I115" si="57">+C114+D114-E114-F114+G114</f>
        <v>111990</v>
      </c>
      <c r="J114" s="9">
        <f t="shared" si="56"/>
        <v>0</v>
      </c>
      <c r="K114" s="45" t="s">
        <v>256</v>
      </c>
      <c r="L114" s="181">
        <v>722000</v>
      </c>
      <c r="M114" s="181">
        <v>98000</v>
      </c>
      <c r="N114" s="181">
        <v>540360</v>
      </c>
      <c r="O114" s="181">
        <v>0</v>
      </c>
      <c r="R114"/>
      <c r="S114"/>
      <c r="T114"/>
      <c r="U114"/>
    </row>
    <row r="115" spans="1:21" x14ac:dyDescent="0.3">
      <c r="A115" s="58" t="str">
        <f t="shared" si="52"/>
        <v>Evariste</v>
      </c>
      <c r="B115" s="59" t="s">
        <v>155</v>
      </c>
      <c r="C115" s="61">
        <v>39425</v>
      </c>
      <c r="D115" s="61">
        <f t="shared" si="53"/>
        <v>211000</v>
      </c>
      <c r="E115" s="61">
        <f t="shared" si="54"/>
        <v>222050</v>
      </c>
      <c r="F115" s="61">
        <f t="shared" si="55"/>
        <v>0</v>
      </c>
      <c r="G115" s="61">
        <f t="shared" si="51"/>
        <v>0</v>
      </c>
      <c r="H115" s="61">
        <v>28375</v>
      </c>
      <c r="I115" s="61">
        <f t="shared" si="57"/>
        <v>28375</v>
      </c>
      <c r="J115" s="9">
        <f t="shared" si="56"/>
        <v>0</v>
      </c>
      <c r="K115" s="45" t="s">
        <v>31</v>
      </c>
      <c r="L115" s="181">
        <v>211000</v>
      </c>
      <c r="M115" s="181">
        <v>0</v>
      </c>
      <c r="N115" s="181">
        <v>222050</v>
      </c>
      <c r="O115" s="181">
        <v>0</v>
      </c>
      <c r="R115"/>
      <c r="S115"/>
      <c r="T115"/>
      <c r="U115"/>
    </row>
    <row r="116" spans="1:21" x14ac:dyDescent="0.3">
      <c r="A116" s="58" t="str">
        <f t="shared" si="52"/>
        <v>I55S</v>
      </c>
      <c r="B116" s="116" t="s">
        <v>4</v>
      </c>
      <c r="C116" s="118">
        <v>233614</v>
      </c>
      <c r="D116" s="118">
        <f t="shared" si="53"/>
        <v>0</v>
      </c>
      <c r="E116" s="118">
        <f>+N116</f>
        <v>0</v>
      </c>
      <c r="F116" s="118">
        <f t="shared" si="55"/>
        <v>0</v>
      </c>
      <c r="G116" s="118">
        <f t="shared" si="51"/>
        <v>0</v>
      </c>
      <c r="H116" s="118">
        <v>233614</v>
      </c>
      <c r="I116" s="118">
        <f>+C116+D116-E116-F116+G116</f>
        <v>233614</v>
      </c>
      <c r="J116" s="9">
        <f t="shared" si="56"/>
        <v>0</v>
      </c>
      <c r="K116" s="45" t="s">
        <v>84</v>
      </c>
      <c r="L116" s="181">
        <v>0</v>
      </c>
      <c r="M116" s="181">
        <v>0</v>
      </c>
      <c r="N116" s="181">
        <v>0</v>
      </c>
      <c r="O116" s="181">
        <v>0</v>
      </c>
      <c r="R116"/>
      <c r="S116"/>
      <c r="T116"/>
      <c r="U116"/>
    </row>
    <row r="117" spans="1:21" x14ac:dyDescent="0.3">
      <c r="A117" s="58" t="str">
        <f t="shared" si="52"/>
        <v>I73X</v>
      </c>
      <c r="B117" s="116" t="s">
        <v>4</v>
      </c>
      <c r="C117" s="118">
        <v>249769</v>
      </c>
      <c r="D117" s="118">
        <f t="shared" si="53"/>
        <v>0</v>
      </c>
      <c r="E117" s="118">
        <f>+N117</f>
        <v>0</v>
      </c>
      <c r="F117" s="118">
        <f t="shared" si="55"/>
        <v>0</v>
      </c>
      <c r="G117" s="118">
        <f t="shared" si="51"/>
        <v>0</v>
      </c>
      <c r="H117" s="118">
        <v>249769</v>
      </c>
      <c r="I117" s="118">
        <f t="shared" ref="I117:I122" si="58">+C117+D117-E117-F117+G117</f>
        <v>249769</v>
      </c>
      <c r="J117" s="9">
        <f t="shared" si="56"/>
        <v>0</v>
      </c>
      <c r="K117" s="45" t="s">
        <v>83</v>
      </c>
      <c r="L117" s="181">
        <v>0</v>
      </c>
      <c r="M117" s="181">
        <v>0</v>
      </c>
      <c r="N117" s="181">
        <v>0</v>
      </c>
      <c r="O117" s="181">
        <v>0</v>
      </c>
      <c r="R117"/>
      <c r="S117"/>
      <c r="T117"/>
      <c r="U117"/>
    </row>
    <row r="118" spans="1:21" s="188" customFormat="1" ht="15.6" x14ac:dyDescent="0.3">
      <c r="A118" s="58" t="str">
        <f t="shared" si="52"/>
        <v>Grace</v>
      </c>
      <c r="B118" s="59" t="s">
        <v>2</v>
      </c>
      <c r="C118" s="184">
        <v>55550</v>
      </c>
      <c r="D118" s="61">
        <f t="shared" si="53"/>
        <v>382000</v>
      </c>
      <c r="E118" s="61">
        <f t="shared" ref="E118:E124" si="59">+N118</f>
        <v>91000</v>
      </c>
      <c r="F118" s="61">
        <f t="shared" si="55"/>
        <v>300000</v>
      </c>
      <c r="G118" s="61">
        <f t="shared" si="51"/>
        <v>0</v>
      </c>
      <c r="H118" s="184">
        <v>46550</v>
      </c>
      <c r="I118" s="184">
        <f t="shared" si="58"/>
        <v>46550</v>
      </c>
      <c r="J118" s="185">
        <f>I118-H118</f>
        <v>0</v>
      </c>
      <c r="K118" s="186" t="s">
        <v>143</v>
      </c>
      <c r="L118" s="181">
        <v>382000</v>
      </c>
      <c r="M118" s="181">
        <v>300000</v>
      </c>
      <c r="N118" s="181">
        <v>91000</v>
      </c>
      <c r="O118" s="181">
        <v>0</v>
      </c>
      <c r="R118"/>
      <c r="S118"/>
      <c r="T118"/>
      <c r="U118"/>
    </row>
    <row r="119" spans="1:21" x14ac:dyDescent="0.3">
      <c r="A119" s="58" t="str">
        <f t="shared" si="52"/>
        <v>Hurielle</v>
      </c>
      <c r="B119" s="98" t="s">
        <v>154</v>
      </c>
      <c r="C119" s="61">
        <v>30005</v>
      </c>
      <c r="D119" s="61">
        <f t="shared" si="53"/>
        <v>335000</v>
      </c>
      <c r="E119" s="61">
        <f t="shared" si="59"/>
        <v>280400</v>
      </c>
      <c r="F119" s="61">
        <f t="shared" si="55"/>
        <v>0</v>
      </c>
      <c r="G119" s="61">
        <f t="shared" si="51"/>
        <v>0</v>
      </c>
      <c r="H119" s="61">
        <v>84605</v>
      </c>
      <c r="I119" s="61">
        <f t="shared" si="58"/>
        <v>84605</v>
      </c>
      <c r="J119" s="9">
        <f t="shared" ref="J119" si="60">I119-H119</f>
        <v>0</v>
      </c>
      <c r="K119" s="45" t="s">
        <v>197</v>
      </c>
      <c r="L119" s="181">
        <v>335000</v>
      </c>
      <c r="M119" s="181">
        <v>0</v>
      </c>
      <c r="N119" s="181">
        <v>280400</v>
      </c>
      <c r="O119" s="181">
        <v>0</v>
      </c>
      <c r="R119"/>
      <c r="S119"/>
      <c r="T119"/>
      <c r="U119"/>
    </row>
    <row r="120" spans="1:21" s="188" customFormat="1" ht="15.6" x14ac:dyDescent="0.3">
      <c r="A120" s="58" t="str">
        <f t="shared" si="52"/>
        <v>Merveille</v>
      </c>
      <c r="B120" s="59" t="s">
        <v>2</v>
      </c>
      <c r="C120" s="184">
        <v>20800</v>
      </c>
      <c r="D120" s="61">
        <f t="shared" si="53"/>
        <v>132000</v>
      </c>
      <c r="E120" s="61">
        <f t="shared" si="59"/>
        <v>160400</v>
      </c>
      <c r="F120" s="61">
        <f t="shared" si="55"/>
        <v>0</v>
      </c>
      <c r="G120" s="61">
        <f t="shared" si="51"/>
        <v>0</v>
      </c>
      <c r="H120" s="184">
        <v>-7600</v>
      </c>
      <c r="I120" s="184">
        <f t="shared" si="58"/>
        <v>-7600</v>
      </c>
      <c r="J120" s="185">
        <f>I120-H120</f>
        <v>0</v>
      </c>
      <c r="K120" s="186" t="s">
        <v>93</v>
      </c>
      <c r="L120" s="181">
        <v>132000</v>
      </c>
      <c r="M120" s="181">
        <v>0</v>
      </c>
      <c r="N120" s="181">
        <v>160400</v>
      </c>
      <c r="O120" s="181">
        <v>0</v>
      </c>
      <c r="R120"/>
      <c r="S120"/>
      <c r="T120"/>
      <c r="U120"/>
    </row>
    <row r="121" spans="1:21" x14ac:dyDescent="0.3">
      <c r="A121" s="58" t="s">
        <v>302</v>
      </c>
      <c r="B121" s="98" t="s">
        <v>154</v>
      </c>
      <c r="C121" s="61">
        <v>0</v>
      </c>
      <c r="D121" s="61">
        <f t="shared" si="53"/>
        <v>35000</v>
      </c>
      <c r="E121" s="61">
        <f t="shared" si="59"/>
        <v>23000</v>
      </c>
      <c r="F121" s="61">
        <f t="shared" si="55"/>
        <v>0</v>
      </c>
      <c r="G121" s="61">
        <f t="shared" si="51"/>
        <v>0</v>
      </c>
      <c r="H121" s="61">
        <v>12000</v>
      </c>
      <c r="I121" s="61">
        <f t="shared" ref="I121" si="61">+C121+D121-E121-F121+G121</f>
        <v>12000</v>
      </c>
      <c r="J121" s="9">
        <f t="shared" ref="J121" si="62">I121-H121</f>
        <v>0</v>
      </c>
      <c r="K121" s="45" t="s">
        <v>302</v>
      </c>
      <c r="L121" s="181">
        <v>35000</v>
      </c>
      <c r="M121" s="181">
        <v>0</v>
      </c>
      <c r="N121" s="181">
        <v>23000</v>
      </c>
      <c r="O121" s="181">
        <v>0</v>
      </c>
      <c r="R121"/>
      <c r="S121"/>
      <c r="T121"/>
      <c r="U121"/>
    </row>
    <row r="122" spans="1:21" x14ac:dyDescent="0.3">
      <c r="A122" s="58" t="str">
        <f t="shared" si="52"/>
        <v>P29</v>
      </c>
      <c r="B122" s="98" t="s">
        <v>4</v>
      </c>
      <c r="C122" s="61">
        <v>11000</v>
      </c>
      <c r="D122" s="61">
        <f t="shared" si="53"/>
        <v>653000</v>
      </c>
      <c r="E122" s="61">
        <f t="shared" si="59"/>
        <v>514200</v>
      </c>
      <c r="F122" s="61">
        <f t="shared" si="55"/>
        <v>0</v>
      </c>
      <c r="G122" s="61">
        <f t="shared" si="51"/>
        <v>0</v>
      </c>
      <c r="H122" s="61">
        <v>149800</v>
      </c>
      <c r="I122" s="61">
        <f t="shared" si="58"/>
        <v>149800</v>
      </c>
      <c r="J122" s="9">
        <f t="shared" ref="J122:J123" si="63">I122-H122</f>
        <v>0</v>
      </c>
      <c r="K122" s="45" t="s">
        <v>29</v>
      </c>
      <c r="L122" s="181">
        <v>653000</v>
      </c>
      <c r="M122" s="181">
        <v>0</v>
      </c>
      <c r="N122" s="181">
        <v>514200</v>
      </c>
      <c r="O122" s="181">
        <v>0</v>
      </c>
      <c r="R122"/>
      <c r="S122"/>
      <c r="T122"/>
      <c r="U122"/>
    </row>
    <row r="123" spans="1:21" x14ac:dyDescent="0.3">
      <c r="A123" s="58" t="str">
        <f t="shared" si="52"/>
        <v>T73</v>
      </c>
      <c r="B123" s="59" t="s">
        <v>4</v>
      </c>
      <c r="C123" s="61">
        <v>173700</v>
      </c>
      <c r="D123" s="61">
        <f t="shared" si="53"/>
        <v>837500</v>
      </c>
      <c r="E123" s="61">
        <f t="shared" si="59"/>
        <v>656900</v>
      </c>
      <c r="F123" s="61">
        <f t="shared" si="55"/>
        <v>0</v>
      </c>
      <c r="G123" s="61">
        <f t="shared" si="51"/>
        <v>0</v>
      </c>
      <c r="H123" s="61">
        <v>354300</v>
      </c>
      <c r="I123" s="61">
        <f>+C123+D123-E123-F123+G123</f>
        <v>354300</v>
      </c>
      <c r="J123" s="9">
        <f t="shared" si="63"/>
        <v>0</v>
      </c>
      <c r="K123" s="45" t="s">
        <v>269</v>
      </c>
      <c r="L123" s="181">
        <v>837500</v>
      </c>
      <c r="M123" s="181">
        <v>0</v>
      </c>
      <c r="N123" s="181">
        <v>656900</v>
      </c>
      <c r="O123" s="181">
        <v>0</v>
      </c>
    </row>
    <row r="124" spans="1:21" x14ac:dyDescent="0.3">
      <c r="A124" s="58" t="str">
        <f t="shared" si="52"/>
        <v>Tiffany</v>
      </c>
      <c r="B124" s="59" t="s">
        <v>2</v>
      </c>
      <c r="C124" s="61">
        <v>24676</v>
      </c>
      <c r="D124" s="61">
        <f t="shared" si="53"/>
        <v>0</v>
      </c>
      <c r="E124" s="61">
        <f t="shared" si="59"/>
        <v>10000</v>
      </c>
      <c r="F124" s="61">
        <f t="shared" si="55"/>
        <v>0</v>
      </c>
      <c r="G124" s="61">
        <f t="shared" si="51"/>
        <v>0</v>
      </c>
      <c r="H124" s="61">
        <v>14676</v>
      </c>
      <c r="I124" s="61">
        <f>+C124+D124-E124-F124+G124</f>
        <v>14676</v>
      </c>
      <c r="J124" s="9">
        <f>I124-H124</f>
        <v>0</v>
      </c>
      <c r="K124" s="45" t="s">
        <v>113</v>
      </c>
      <c r="L124" s="181">
        <v>0</v>
      </c>
      <c r="M124" s="181">
        <v>0</v>
      </c>
      <c r="N124" s="181">
        <v>10000</v>
      </c>
      <c r="O124" s="181">
        <v>0</v>
      </c>
    </row>
    <row r="125" spans="1:21" x14ac:dyDescent="0.3">
      <c r="A125" s="10" t="s">
        <v>50</v>
      </c>
      <c r="B125" s="11"/>
      <c r="C125" s="12">
        <f t="shared" ref="C125:I125" si="64">SUM(C109:C124)</f>
        <v>27242867</v>
      </c>
      <c r="D125" s="57">
        <f t="shared" si="64"/>
        <v>6777000</v>
      </c>
      <c r="E125" s="57">
        <f t="shared" si="64"/>
        <v>10231299</v>
      </c>
      <c r="F125" s="57">
        <f t="shared" si="64"/>
        <v>6777000</v>
      </c>
      <c r="G125" s="57">
        <f t="shared" si="64"/>
        <v>0</v>
      </c>
      <c r="H125" s="57">
        <f t="shared" si="64"/>
        <v>17011568</v>
      </c>
      <c r="I125" s="57">
        <f t="shared" si="64"/>
        <v>17011568</v>
      </c>
      <c r="J125" s="9">
        <f>I125-H125</f>
        <v>0</v>
      </c>
      <c r="K125" s="3"/>
      <c r="L125" s="47">
        <f>+SUM(L109:L124)</f>
        <v>6777000</v>
      </c>
      <c r="M125" s="47">
        <f>+SUM(M109:M124)</f>
        <v>6777000</v>
      </c>
      <c r="N125" s="47">
        <f>+SUM(N109:N124)</f>
        <v>10231299</v>
      </c>
      <c r="O125" s="47">
        <f>+SUM(O109:O124)</f>
        <v>0</v>
      </c>
    </row>
    <row r="126" spans="1:21" x14ac:dyDescent="0.3">
      <c r="A126" s="10"/>
      <c r="B126" s="11"/>
      <c r="C126" s="12"/>
      <c r="D126" s="13"/>
      <c r="E126" s="12"/>
      <c r="F126" s="13"/>
      <c r="G126" s="12"/>
      <c r="H126" s="12"/>
      <c r="I126" s="134" t="b">
        <f>I125=D128</f>
        <v>1</v>
      </c>
      <c r="J126" s="9">
        <f>H125-I125</f>
        <v>0</v>
      </c>
      <c r="L126" s="5"/>
      <c r="M126" s="5"/>
      <c r="N126" s="5"/>
      <c r="O126" s="5"/>
    </row>
    <row r="127" spans="1:21" ht="15.6" x14ac:dyDescent="0.3">
      <c r="A127" s="10" t="s">
        <v>295</v>
      </c>
      <c r="B127" s="11" t="s">
        <v>209</v>
      </c>
      <c r="C127" s="12" t="s">
        <v>208</v>
      </c>
      <c r="D127" s="12" t="s">
        <v>296</v>
      </c>
      <c r="E127" s="12" t="s">
        <v>51</v>
      </c>
      <c r="F127" s="12"/>
      <c r="G127" s="12">
        <f>+D125-F125</f>
        <v>0</v>
      </c>
      <c r="H127" s="12"/>
      <c r="I127" s="216"/>
    </row>
    <row r="128" spans="1:21" x14ac:dyDescent="0.3">
      <c r="A128" s="14">
        <f>C125</f>
        <v>27242867</v>
      </c>
      <c r="B128" s="15">
        <f>G125</f>
        <v>0</v>
      </c>
      <c r="C128" s="12">
        <f>E125</f>
        <v>10231299</v>
      </c>
      <c r="D128" s="12">
        <f>A128+B128-C128</f>
        <v>17011568</v>
      </c>
      <c r="E128" s="13">
        <f>I125-D128</f>
        <v>0</v>
      </c>
      <c r="F128" s="12"/>
      <c r="G128" s="12"/>
      <c r="H128" s="12"/>
      <c r="I128" s="12"/>
    </row>
    <row r="129" spans="1:11" x14ac:dyDescent="0.3">
      <c r="A129" s="14"/>
      <c r="B129" s="15"/>
      <c r="C129" s="12"/>
      <c r="D129" s="12"/>
      <c r="E129" s="13"/>
      <c r="F129" s="12"/>
      <c r="G129" s="12"/>
      <c r="H129" s="12"/>
      <c r="I129" s="12"/>
    </row>
    <row r="130" spans="1:11" x14ac:dyDescent="0.3">
      <c r="A130" s="16" t="s">
        <v>52</v>
      </c>
      <c r="B130" s="16"/>
      <c r="C130" s="16"/>
      <c r="D130" s="17"/>
      <c r="E130" s="17"/>
      <c r="F130" s="17"/>
      <c r="G130" s="17"/>
      <c r="H130" s="17"/>
      <c r="I130" s="17"/>
    </row>
    <row r="131" spans="1:11" x14ac:dyDescent="0.3">
      <c r="A131" s="18" t="s">
        <v>297</v>
      </c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1" x14ac:dyDescent="0.3">
      <c r="A132" s="19"/>
      <c r="B132" s="17"/>
      <c r="C132" s="20"/>
      <c r="D132" s="20"/>
      <c r="E132" s="20"/>
      <c r="F132" s="20"/>
      <c r="G132" s="20"/>
      <c r="H132" s="17"/>
      <c r="I132" s="17"/>
    </row>
    <row r="133" spans="1:11" ht="45" customHeight="1" x14ac:dyDescent="0.3">
      <c r="A133" s="254" t="s">
        <v>53</v>
      </c>
      <c r="B133" s="256" t="s">
        <v>54</v>
      </c>
      <c r="C133" s="258" t="s">
        <v>298</v>
      </c>
      <c r="D133" s="260" t="s">
        <v>55</v>
      </c>
      <c r="E133" s="261"/>
      <c r="F133" s="261"/>
      <c r="G133" s="262"/>
      <c r="H133" s="263" t="s">
        <v>56</v>
      </c>
      <c r="I133" s="265" t="s">
        <v>57</v>
      </c>
      <c r="J133" s="212"/>
    </row>
    <row r="134" spans="1:11" ht="28.5" customHeight="1" x14ac:dyDescent="0.3">
      <c r="A134" s="255"/>
      <c r="B134" s="257"/>
      <c r="C134" s="259"/>
      <c r="D134" s="21" t="s">
        <v>24</v>
      </c>
      <c r="E134" s="21" t="s">
        <v>25</v>
      </c>
      <c r="F134" s="259" t="s">
        <v>123</v>
      </c>
      <c r="G134" s="21" t="s">
        <v>58</v>
      </c>
      <c r="H134" s="264"/>
      <c r="I134" s="266"/>
      <c r="J134" s="267" t="s">
        <v>299</v>
      </c>
      <c r="K134" s="143"/>
    </row>
    <row r="135" spans="1:11" x14ac:dyDescent="0.3">
      <c r="A135" s="23"/>
      <c r="B135" s="24" t="s">
        <v>59</v>
      </c>
      <c r="C135" s="25"/>
      <c r="D135" s="25"/>
      <c r="E135" s="25"/>
      <c r="F135" s="25"/>
      <c r="G135" s="25"/>
      <c r="H135" s="25"/>
      <c r="I135" s="26"/>
      <c r="J135" s="267"/>
      <c r="K135" s="143"/>
    </row>
    <row r="136" spans="1:11" x14ac:dyDescent="0.3">
      <c r="A136" s="122" t="s">
        <v>131</v>
      </c>
      <c r="B136" s="127" t="s">
        <v>47</v>
      </c>
      <c r="C136" s="32">
        <f>+C112</f>
        <v>74020</v>
      </c>
      <c r="D136" s="31"/>
      <c r="E136" s="32">
        <f>+D112</f>
        <v>905000</v>
      </c>
      <c r="F136" s="32"/>
      <c r="G136" s="32"/>
      <c r="H136" s="55">
        <f>+F112</f>
        <v>73000</v>
      </c>
      <c r="I136" s="32">
        <f>+E112</f>
        <v>665400</v>
      </c>
      <c r="J136" s="30">
        <f t="shared" ref="J136:J139" si="65">+SUM(C136:G136)-(H136+I136)</f>
        <v>240620</v>
      </c>
      <c r="K136" s="144" t="b">
        <f t="shared" ref="K136:K148" si="66">J136=I112</f>
        <v>1</v>
      </c>
    </row>
    <row r="137" spans="1:11" x14ac:dyDescent="0.3">
      <c r="A137" s="122" t="str">
        <f>+A136</f>
        <v>MAI</v>
      </c>
      <c r="B137" s="127" t="s">
        <v>270</v>
      </c>
      <c r="C137" s="32">
        <f t="shared" ref="C137:C139" si="67">+C113</f>
        <v>0</v>
      </c>
      <c r="D137" s="31"/>
      <c r="E137" s="32">
        <f t="shared" ref="E137:E139" si="68">+D113</f>
        <v>384500</v>
      </c>
      <c r="F137" s="32"/>
      <c r="G137" s="32"/>
      <c r="H137" s="55">
        <f t="shared" ref="H137:H139" si="69">+F113</f>
        <v>0</v>
      </c>
      <c r="I137" s="32">
        <f t="shared" ref="I137:I139" si="70">+E113</f>
        <v>369800</v>
      </c>
      <c r="J137" s="30">
        <f t="shared" si="65"/>
        <v>14700</v>
      </c>
      <c r="K137" s="144" t="b">
        <f t="shared" si="66"/>
        <v>1</v>
      </c>
    </row>
    <row r="138" spans="1:11" x14ac:dyDescent="0.3">
      <c r="A138" s="122" t="str">
        <f t="shared" ref="A138:A148" si="71">+A137</f>
        <v>MAI</v>
      </c>
      <c r="B138" s="127" t="s">
        <v>256</v>
      </c>
      <c r="C138" s="32">
        <f t="shared" si="67"/>
        <v>28350</v>
      </c>
      <c r="D138" s="31"/>
      <c r="E138" s="32">
        <f t="shared" si="68"/>
        <v>722000</v>
      </c>
      <c r="F138" s="32"/>
      <c r="G138" s="32"/>
      <c r="H138" s="55">
        <f t="shared" si="69"/>
        <v>98000</v>
      </c>
      <c r="I138" s="32">
        <f t="shared" si="70"/>
        <v>540360</v>
      </c>
      <c r="J138" s="30">
        <f t="shared" si="65"/>
        <v>111990</v>
      </c>
      <c r="K138" s="144" t="b">
        <f t="shared" si="66"/>
        <v>1</v>
      </c>
    </row>
    <row r="139" spans="1:11" x14ac:dyDescent="0.3">
      <c r="A139" s="122" t="str">
        <f t="shared" si="71"/>
        <v>MAI</v>
      </c>
      <c r="B139" s="127" t="s">
        <v>31</v>
      </c>
      <c r="C139" s="32">
        <f t="shared" si="67"/>
        <v>39425</v>
      </c>
      <c r="D139" s="31"/>
      <c r="E139" s="32">
        <f t="shared" si="68"/>
        <v>211000</v>
      </c>
      <c r="F139" s="32"/>
      <c r="G139" s="32"/>
      <c r="H139" s="55">
        <f t="shared" si="69"/>
        <v>0</v>
      </c>
      <c r="I139" s="32">
        <f t="shared" si="70"/>
        <v>222050</v>
      </c>
      <c r="J139" s="30">
        <f t="shared" si="65"/>
        <v>28375</v>
      </c>
      <c r="K139" s="144" t="b">
        <f t="shared" si="66"/>
        <v>1</v>
      </c>
    </row>
    <row r="140" spans="1:11" x14ac:dyDescent="0.3">
      <c r="A140" s="122" t="str">
        <f t="shared" si="71"/>
        <v>MAI</v>
      </c>
      <c r="B140" s="129" t="s">
        <v>84</v>
      </c>
      <c r="C140" s="120">
        <f>+C116</f>
        <v>233614</v>
      </c>
      <c r="D140" s="123"/>
      <c r="E140" s="120">
        <f>+D116</f>
        <v>0</v>
      </c>
      <c r="F140" s="137"/>
      <c r="G140" s="137"/>
      <c r="H140" s="155">
        <f>+F116</f>
        <v>0</v>
      </c>
      <c r="I140" s="120">
        <f t="shared" ref="I140:I145" si="72">+E116</f>
        <v>0</v>
      </c>
      <c r="J140" s="121">
        <f>+SUM(C140:G140)-(H140+I140)</f>
        <v>233614</v>
      </c>
      <c r="K140" s="144" t="b">
        <f t="shared" si="66"/>
        <v>1</v>
      </c>
    </row>
    <row r="141" spans="1:11" x14ac:dyDescent="0.3">
      <c r="A141" s="122" t="str">
        <f t="shared" si="71"/>
        <v>MAI</v>
      </c>
      <c r="B141" s="129" t="s">
        <v>83</v>
      </c>
      <c r="C141" s="120">
        <f>+C117</f>
        <v>249769</v>
      </c>
      <c r="D141" s="123"/>
      <c r="E141" s="120">
        <f>+D117</f>
        <v>0</v>
      </c>
      <c r="F141" s="137"/>
      <c r="G141" s="137"/>
      <c r="H141" s="155">
        <f>+F117</f>
        <v>0</v>
      </c>
      <c r="I141" s="120">
        <f t="shared" si="72"/>
        <v>0</v>
      </c>
      <c r="J141" s="121">
        <f t="shared" ref="J141:J148" si="73">+SUM(C141:G141)-(H141+I141)</f>
        <v>249769</v>
      </c>
      <c r="K141" s="144" t="b">
        <f t="shared" si="66"/>
        <v>1</v>
      </c>
    </row>
    <row r="142" spans="1:11" x14ac:dyDescent="0.3">
      <c r="A142" s="122" t="str">
        <f t="shared" si="71"/>
        <v>MAI</v>
      </c>
      <c r="B142" s="127" t="s">
        <v>143</v>
      </c>
      <c r="C142" s="32">
        <f>+C118</f>
        <v>55550</v>
      </c>
      <c r="D142" s="31"/>
      <c r="E142" s="32">
        <f>+D118</f>
        <v>382000</v>
      </c>
      <c r="F142" s="32"/>
      <c r="G142" s="104"/>
      <c r="H142" s="55">
        <f>+F118</f>
        <v>300000</v>
      </c>
      <c r="I142" s="32">
        <f t="shared" si="72"/>
        <v>91000</v>
      </c>
      <c r="J142" s="30">
        <f t="shared" si="73"/>
        <v>46550</v>
      </c>
      <c r="K142" s="144" t="b">
        <f t="shared" si="66"/>
        <v>1</v>
      </c>
    </row>
    <row r="143" spans="1:11" x14ac:dyDescent="0.3">
      <c r="A143" s="122" t="str">
        <f t="shared" si="71"/>
        <v>MAI</v>
      </c>
      <c r="B143" s="127" t="s">
        <v>197</v>
      </c>
      <c r="C143" s="32">
        <f t="shared" ref="C143:C148" si="74">+C119</f>
        <v>30005</v>
      </c>
      <c r="D143" s="31"/>
      <c r="E143" s="32">
        <f t="shared" ref="E143:E148" si="75">+D119</f>
        <v>335000</v>
      </c>
      <c r="F143" s="32"/>
      <c r="G143" s="104"/>
      <c r="H143" s="55">
        <f t="shared" ref="H143:H148" si="76">+F119</f>
        <v>0</v>
      </c>
      <c r="I143" s="32">
        <f t="shared" si="72"/>
        <v>280400</v>
      </c>
      <c r="J143" s="30">
        <f t="shared" si="73"/>
        <v>84605</v>
      </c>
      <c r="K143" s="144" t="b">
        <f t="shared" si="66"/>
        <v>1</v>
      </c>
    </row>
    <row r="144" spans="1:11" x14ac:dyDescent="0.3">
      <c r="A144" s="122" t="str">
        <f t="shared" si="71"/>
        <v>MAI</v>
      </c>
      <c r="B144" s="127" t="s">
        <v>93</v>
      </c>
      <c r="C144" s="32">
        <f t="shared" si="74"/>
        <v>20800</v>
      </c>
      <c r="D144" s="31"/>
      <c r="E144" s="32">
        <f t="shared" si="75"/>
        <v>132000</v>
      </c>
      <c r="F144" s="32"/>
      <c r="G144" s="104"/>
      <c r="H144" s="55">
        <f t="shared" si="76"/>
        <v>0</v>
      </c>
      <c r="I144" s="32">
        <f t="shared" si="72"/>
        <v>160400</v>
      </c>
      <c r="J144" s="30">
        <f t="shared" si="73"/>
        <v>-7600</v>
      </c>
      <c r="K144" s="144" t="b">
        <f t="shared" si="66"/>
        <v>1</v>
      </c>
    </row>
    <row r="145" spans="1:21" x14ac:dyDescent="0.3">
      <c r="A145" s="122" t="str">
        <f t="shared" si="71"/>
        <v>MAI</v>
      </c>
      <c r="B145" s="127" t="s">
        <v>302</v>
      </c>
      <c r="C145" s="32">
        <f t="shared" si="74"/>
        <v>0</v>
      </c>
      <c r="D145" s="31"/>
      <c r="E145" s="32">
        <f t="shared" si="75"/>
        <v>35000</v>
      </c>
      <c r="F145" s="32"/>
      <c r="G145" s="104"/>
      <c r="H145" s="55">
        <f t="shared" si="76"/>
        <v>0</v>
      </c>
      <c r="I145" s="32">
        <f t="shared" si="72"/>
        <v>23000</v>
      </c>
      <c r="J145" s="30">
        <f t="shared" ref="J145" si="77">+SUM(C145:G145)-(H145+I145)</f>
        <v>12000</v>
      </c>
      <c r="K145" s="144" t="b">
        <f t="shared" si="66"/>
        <v>1</v>
      </c>
    </row>
    <row r="146" spans="1:21" x14ac:dyDescent="0.3">
      <c r="A146" s="122" t="str">
        <f t="shared" si="71"/>
        <v>MAI</v>
      </c>
      <c r="B146" s="127" t="s">
        <v>29</v>
      </c>
      <c r="C146" s="32">
        <f t="shared" si="74"/>
        <v>11000</v>
      </c>
      <c r="D146" s="31"/>
      <c r="E146" s="32">
        <f t="shared" si="75"/>
        <v>653000</v>
      </c>
      <c r="F146" s="32"/>
      <c r="G146" s="104"/>
      <c r="H146" s="55">
        <f t="shared" si="76"/>
        <v>0</v>
      </c>
      <c r="I146" s="32">
        <f t="shared" ref="I146:I148" si="78">+E122</f>
        <v>514200</v>
      </c>
      <c r="J146" s="30">
        <f t="shared" si="73"/>
        <v>149800</v>
      </c>
      <c r="K146" s="144" t="b">
        <f t="shared" si="66"/>
        <v>1</v>
      </c>
    </row>
    <row r="147" spans="1:21" x14ac:dyDescent="0.3">
      <c r="A147" s="122" t="str">
        <f t="shared" si="71"/>
        <v>MAI</v>
      </c>
      <c r="B147" s="128" t="s">
        <v>269</v>
      </c>
      <c r="C147" s="32">
        <f t="shared" si="74"/>
        <v>173700</v>
      </c>
      <c r="D147" s="119"/>
      <c r="E147" s="32">
        <f t="shared" si="75"/>
        <v>837500</v>
      </c>
      <c r="F147" s="51"/>
      <c r="G147" s="138"/>
      <c r="H147" s="55">
        <f t="shared" si="76"/>
        <v>0</v>
      </c>
      <c r="I147" s="32">
        <f t="shared" si="78"/>
        <v>656900</v>
      </c>
      <c r="J147" s="30">
        <f t="shared" si="73"/>
        <v>354300</v>
      </c>
      <c r="K147" s="144" t="b">
        <f t="shared" si="66"/>
        <v>1</v>
      </c>
    </row>
    <row r="148" spans="1:21" x14ac:dyDescent="0.3">
      <c r="A148" s="122" t="str">
        <f t="shared" si="71"/>
        <v>MAI</v>
      </c>
      <c r="B148" s="128" t="s">
        <v>113</v>
      </c>
      <c r="C148" s="32">
        <f t="shared" si="74"/>
        <v>24676</v>
      </c>
      <c r="D148" s="119"/>
      <c r="E148" s="32">
        <f t="shared" si="75"/>
        <v>0</v>
      </c>
      <c r="F148" s="51"/>
      <c r="G148" s="138"/>
      <c r="H148" s="55">
        <f t="shared" si="76"/>
        <v>0</v>
      </c>
      <c r="I148" s="32">
        <f t="shared" si="78"/>
        <v>10000</v>
      </c>
      <c r="J148" s="30">
        <f t="shared" si="73"/>
        <v>14676</v>
      </c>
      <c r="K148" s="144" t="b">
        <f t="shared" si="66"/>
        <v>1</v>
      </c>
    </row>
    <row r="149" spans="1:21" x14ac:dyDescent="0.3">
      <c r="A149" s="34" t="s">
        <v>60</v>
      </c>
      <c r="B149" s="35"/>
      <c r="C149" s="35"/>
      <c r="D149" s="35"/>
      <c r="E149" s="35"/>
      <c r="F149" s="35"/>
      <c r="G149" s="35"/>
      <c r="H149" s="35"/>
      <c r="I149" s="35"/>
      <c r="J149" s="36"/>
      <c r="K149" s="143"/>
    </row>
    <row r="150" spans="1:21" x14ac:dyDescent="0.3">
      <c r="A150" s="122" t="str">
        <f>A148</f>
        <v>MAI</v>
      </c>
      <c r="B150" s="37" t="s">
        <v>61</v>
      </c>
      <c r="C150" s="38">
        <f>+C111</f>
        <v>3813317</v>
      </c>
      <c r="D150" s="49"/>
      <c r="E150" s="49">
        <f>D111</f>
        <v>2180000</v>
      </c>
      <c r="F150" s="49"/>
      <c r="G150" s="125"/>
      <c r="H150" s="51">
        <f>+F111</f>
        <v>4306000</v>
      </c>
      <c r="I150" s="126">
        <f>+E111</f>
        <v>1411594</v>
      </c>
      <c r="J150" s="30">
        <f>+SUM(C150:G150)-(H150+I150)</f>
        <v>275723</v>
      </c>
      <c r="K150" s="144" t="b">
        <f>J150=I111</f>
        <v>1</v>
      </c>
    </row>
    <row r="151" spans="1:21" x14ac:dyDescent="0.3">
      <c r="A151" s="43" t="s">
        <v>62</v>
      </c>
      <c r="B151" s="24"/>
      <c r="C151" s="35"/>
      <c r="D151" s="24"/>
      <c r="E151" s="24"/>
      <c r="F151" s="24"/>
      <c r="G151" s="24"/>
      <c r="H151" s="24"/>
      <c r="I151" s="24"/>
      <c r="J151" s="36"/>
      <c r="K151" s="143"/>
    </row>
    <row r="152" spans="1:21" x14ac:dyDescent="0.3">
      <c r="A152" s="122" t="str">
        <f>+A150</f>
        <v>MAI</v>
      </c>
      <c r="B152" s="37" t="s">
        <v>24</v>
      </c>
      <c r="C152" s="125">
        <f>+C109</f>
        <v>17286490</v>
      </c>
      <c r="D152" s="132">
        <f>+G109</f>
        <v>0</v>
      </c>
      <c r="E152" s="49"/>
      <c r="F152" s="49"/>
      <c r="G152" s="49"/>
      <c r="H152" s="51">
        <f>+F109</f>
        <v>2000000</v>
      </c>
      <c r="I152" s="53">
        <f>+E109</f>
        <v>583345</v>
      </c>
      <c r="J152" s="30">
        <f>+SUM(C152:G152)-(H152+I152)</f>
        <v>14703145</v>
      </c>
      <c r="K152" s="144" t="b">
        <f>+J152=I109</f>
        <v>1</v>
      </c>
    </row>
    <row r="153" spans="1:21" x14ac:dyDescent="0.3">
      <c r="A153" s="122" t="str">
        <f t="shared" ref="A153" si="79">+A152</f>
        <v>MAI</v>
      </c>
      <c r="B153" s="37" t="s">
        <v>64</v>
      </c>
      <c r="C153" s="125">
        <f>+C110</f>
        <v>5202151</v>
      </c>
      <c r="D153" s="49">
        <f>+G110</f>
        <v>0</v>
      </c>
      <c r="E153" s="48"/>
      <c r="F153" s="48"/>
      <c r="G153" s="48"/>
      <c r="H153" s="32">
        <f>+F110</f>
        <v>0</v>
      </c>
      <c r="I153" s="50">
        <f>+E110</f>
        <v>4702850</v>
      </c>
      <c r="J153" s="30">
        <f>SUM(C153:G153)-(H153+I153)</f>
        <v>499301</v>
      </c>
      <c r="K153" s="144" t="b">
        <f>+J153=I110</f>
        <v>1</v>
      </c>
    </row>
    <row r="154" spans="1:21" ht="15.6" x14ac:dyDescent="0.3">
      <c r="C154" s="141">
        <f>SUM(C136:C153)</f>
        <v>27242867</v>
      </c>
      <c r="I154" s="140">
        <f>SUM(I136:I153)</f>
        <v>10231299</v>
      </c>
      <c r="J154" s="105">
        <f>+SUM(J136:J153)</f>
        <v>17011568</v>
      </c>
      <c r="K154" s="5" t="b">
        <f>J154=I125</f>
        <v>1</v>
      </c>
    </row>
    <row r="155" spans="1:21" ht="15.6" x14ac:dyDescent="0.3">
      <c r="C155" s="141"/>
      <c r="I155" s="140"/>
      <c r="J155" s="105"/>
    </row>
    <row r="156" spans="1:21" ht="15.6" x14ac:dyDescent="0.3">
      <c r="A156" s="160"/>
      <c r="B156" s="160"/>
      <c r="C156" s="161"/>
      <c r="D156" s="160"/>
      <c r="E156" s="160"/>
      <c r="F156" s="160"/>
      <c r="G156" s="160"/>
      <c r="H156" s="160"/>
      <c r="I156" s="162"/>
      <c r="J156" s="163"/>
      <c r="K156" s="160"/>
      <c r="L156" s="164"/>
      <c r="M156" s="164"/>
      <c r="N156" s="164"/>
      <c r="O156" s="164"/>
      <c r="P156" s="160"/>
    </row>
    <row r="159" spans="1:21" ht="15.6" x14ac:dyDescent="0.3">
      <c r="A159" s="6" t="s">
        <v>36</v>
      </c>
      <c r="B159" s="6" t="s">
        <v>1</v>
      </c>
      <c r="C159" s="6">
        <v>45017</v>
      </c>
      <c r="D159" s="7" t="s">
        <v>37</v>
      </c>
      <c r="E159" s="7" t="s">
        <v>38</v>
      </c>
      <c r="F159" s="7" t="s">
        <v>39</v>
      </c>
      <c r="G159" s="7" t="s">
        <v>40</v>
      </c>
      <c r="H159" s="6">
        <v>45046</v>
      </c>
      <c r="I159" s="7" t="s">
        <v>41</v>
      </c>
      <c r="K159" s="45"/>
      <c r="L159" s="45" t="s">
        <v>42</v>
      </c>
      <c r="M159" s="45" t="s">
        <v>43</v>
      </c>
      <c r="N159" s="45" t="s">
        <v>44</v>
      </c>
      <c r="O159" s="45" t="s">
        <v>45</v>
      </c>
    </row>
    <row r="160" spans="1:21" x14ac:dyDescent="0.3">
      <c r="A160" s="58" t="str">
        <f>K160</f>
        <v>BCI</v>
      </c>
      <c r="B160" s="59" t="s">
        <v>46</v>
      </c>
      <c r="C160" s="61">
        <v>19719835</v>
      </c>
      <c r="D160" s="61">
        <f>+L160</f>
        <v>0</v>
      </c>
      <c r="E160" s="61">
        <f>+N160</f>
        <v>433345</v>
      </c>
      <c r="F160" s="61">
        <f>+M160</f>
        <v>2000000</v>
      </c>
      <c r="G160" s="61">
        <f t="shared" ref="G160:G174" si="80">+O160</f>
        <v>0</v>
      </c>
      <c r="H160" s="61">
        <v>17286490</v>
      </c>
      <c r="I160" s="61">
        <f>+C160+D160-E160-F160+G160</f>
        <v>17286490</v>
      </c>
      <c r="J160" s="9">
        <f>I160-H160</f>
        <v>0</v>
      </c>
      <c r="K160" s="45" t="s">
        <v>24</v>
      </c>
      <c r="L160" s="181"/>
      <c r="M160" s="181">
        <v>2000000</v>
      </c>
      <c r="N160" s="181">
        <v>433345</v>
      </c>
      <c r="O160" s="181"/>
      <c r="R160"/>
      <c r="S160"/>
      <c r="T160"/>
      <c r="U160"/>
    </row>
    <row r="161" spans="1:21" x14ac:dyDescent="0.3">
      <c r="A161" s="58" t="str">
        <f t="shared" ref="A161:A174" si="81">K161</f>
        <v>BCI-Sous Compte</v>
      </c>
      <c r="B161" s="59" t="s">
        <v>46</v>
      </c>
      <c r="C161" s="61">
        <v>14616884</v>
      </c>
      <c r="D161" s="61">
        <f t="shared" ref="D161:D172" si="82">+L161</f>
        <v>0</v>
      </c>
      <c r="E161" s="61">
        <f t="shared" ref="E161:E166" si="83">+N161</f>
        <v>5414733</v>
      </c>
      <c r="F161" s="61">
        <f t="shared" ref="F161:F169" si="84">+M161</f>
        <v>4000000</v>
      </c>
      <c r="G161" s="61">
        <f t="shared" si="80"/>
        <v>0</v>
      </c>
      <c r="H161" s="61">
        <v>5202151</v>
      </c>
      <c r="I161" s="61">
        <f>+C161+D161-E161-F161+G161</f>
        <v>5202151</v>
      </c>
      <c r="J161" s="9">
        <f t="shared" ref="J161:J168" si="85">I161-H161</f>
        <v>0</v>
      </c>
      <c r="K161" s="45" t="s">
        <v>148</v>
      </c>
      <c r="L161" s="181"/>
      <c r="M161" s="181">
        <v>4000000</v>
      </c>
      <c r="N161" s="181">
        <v>5414733</v>
      </c>
      <c r="O161" s="181"/>
      <c r="R161"/>
      <c r="S161"/>
      <c r="T161"/>
      <c r="U161"/>
    </row>
    <row r="162" spans="1:21" x14ac:dyDescent="0.3">
      <c r="A162" s="58" t="str">
        <f t="shared" si="81"/>
        <v>Caisse</v>
      </c>
      <c r="B162" s="59" t="s">
        <v>25</v>
      </c>
      <c r="C162" s="61">
        <v>410707</v>
      </c>
      <c r="D162" s="61">
        <f t="shared" si="82"/>
        <v>6276700</v>
      </c>
      <c r="E162" s="61">
        <f t="shared" si="83"/>
        <v>1365190</v>
      </c>
      <c r="F162" s="61">
        <f t="shared" si="84"/>
        <v>1508900</v>
      </c>
      <c r="G162" s="61">
        <f t="shared" si="80"/>
        <v>0</v>
      </c>
      <c r="H162" s="61">
        <v>3813317</v>
      </c>
      <c r="I162" s="61">
        <f>+C162+D162-E162-F162+G162</f>
        <v>3813317</v>
      </c>
      <c r="J162" s="102">
        <f t="shared" si="85"/>
        <v>0</v>
      </c>
      <c r="K162" s="45" t="s">
        <v>25</v>
      </c>
      <c r="L162" s="181">
        <v>6276700</v>
      </c>
      <c r="M162" s="181">
        <v>1508900</v>
      </c>
      <c r="N162" s="181">
        <v>1365190</v>
      </c>
      <c r="O162" s="181"/>
      <c r="R162"/>
      <c r="S162"/>
      <c r="T162"/>
      <c r="U162"/>
    </row>
    <row r="163" spans="1:21" x14ac:dyDescent="0.3">
      <c r="A163" s="58" t="str">
        <f t="shared" si="81"/>
        <v>Crépin</v>
      </c>
      <c r="B163" s="59" t="s">
        <v>154</v>
      </c>
      <c r="C163" s="61">
        <v>206020</v>
      </c>
      <c r="D163" s="61">
        <f t="shared" si="82"/>
        <v>292000</v>
      </c>
      <c r="E163" s="61">
        <f t="shared" si="83"/>
        <v>424000</v>
      </c>
      <c r="F163" s="61">
        <f t="shared" si="84"/>
        <v>0</v>
      </c>
      <c r="G163" s="61">
        <f t="shared" si="80"/>
        <v>0</v>
      </c>
      <c r="H163" s="61">
        <v>74020</v>
      </c>
      <c r="I163" s="61">
        <f>+C163+D163-E163-F163+G163</f>
        <v>74020</v>
      </c>
      <c r="J163" s="9">
        <f t="shared" si="85"/>
        <v>0</v>
      </c>
      <c r="K163" s="45" t="s">
        <v>47</v>
      </c>
      <c r="L163" s="181">
        <v>292000</v>
      </c>
      <c r="M163" s="181">
        <v>0</v>
      </c>
      <c r="N163" s="181">
        <v>424000</v>
      </c>
      <c r="O163" s="181"/>
      <c r="R163"/>
      <c r="S163"/>
      <c r="T163"/>
      <c r="U163"/>
    </row>
    <row r="164" spans="1:21" x14ac:dyDescent="0.3">
      <c r="A164" s="58" t="str">
        <f t="shared" si="81"/>
        <v>D58</v>
      </c>
      <c r="B164" s="59" t="s">
        <v>4</v>
      </c>
      <c r="C164" s="61">
        <v>105100</v>
      </c>
      <c r="D164" s="61">
        <f t="shared" si="82"/>
        <v>34900</v>
      </c>
      <c r="E164" s="61">
        <f t="shared" si="83"/>
        <v>140000</v>
      </c>
      <c r="F164" s="61">
        <f t="shared" si="84"/>
        <v>0</v>
      </c>
      <c r="G164" s="61">
        <f t="shared" si="80"/>
        <v>0</v>
      </c>
      <c r="H164" s="61">
        <v>0</v>
      </c>
      <c r="I164" s="61">
        <f>+C164+D164-E164-F164+G164</f>
        <v>0</v>
      </c>
      <c r="J164" s="9">
        <f t="shared" si="85"/>
        <v>0</v>
      </c>
      <c r="K164" s="45" t="s">
        <v>270</v>
      </c>
      <c r="L164" s="181">
        <v>34900</v>
      </c>
      <c r="M164" s="181">
        <v>0</v>
      </c>
      <c r="N164" s="181">
        <v>140000</v>
      </c>
      <c r="O164" s="181"/>
      <c r="R164"/>
      <c r="S164"/>
      <c r="T164"/>
      <c r="U164"/>
    </row>
    <row r="165" spans="1:21" x14ac:dyDescent="0.3">
      <c r="A165" s="58" t="str">
        <f t="shared" si="81"/>
        <v>Donald</v>
      </c>
      <c r="B165" s="59" t="s">
        <v>154</v>
      </c>
      <c r="C165" s="61">
        <v>19350</v>
      </c>
      <c r="D165" s="61">
        <f t="shared" si="82"/>
        <v>150000</v>
      </c>
      <c r="E165" s="61">
        <f t="shared" si="83"/>
        <v>141000</v>
      </c>
      <c r="F165" s="61">
        <f t="shared" si="84"/>
        <v>0</v>
      </c>
      <c r="G165" s="61">
        <f t="shared" si="80"/>
        <v>0</v>
      </c>
      <c r="H165" s="61">
        <v>28350</v>
      </c>
      <c r="I165" s="61">
        <f t="shared" ref="I165:I166" si="86">+C165+D165-E165-F165+G165</f>
        <v>28350</v>
      </c>
      <c r="J165" s="9">
        <f t="shared" si="85"/>
        <v>0</v>
      </c>
      <c r="K165" s="45" t="s">
        <v>256</v>
      </c>
      <c r="L165" s="181">
        <v>150000</v>
      </c>
      <c r="M165" s="181">
        <v>0</v>
      </c>
      <c r="N165" s="181">
        <v>141000</v>
      </c>
      <c r="O165" s="181"/>
      <c r="R165"/>
      <c r="S165"/>
      <c r="T165"/>
      <c r="U165"/>
    </row>
    <row r="166" spans="1:21" x14ac:dyDescent="0.3">
      <c r="A166" s="58" t="str">
        <f t="shared" si="81"/>
        <v>Evariste</v>
      </c>
      <c r="B166" s="59" t="s">
        <v>155</v>
      </c>
      <c r="C166" s="61">
        <v>25425</v>
      </c>
      <c r="D166" s="61">
        <f t="shared" si="82"/>
        <v>150000</v>
      </c>
      <c r="E166" s="61">
        <f t="shared" si="83"/>
        <v>136000</v>
      </c>
      <c r="F166" s="61">
        <f t="shared" si="84"/>
        <v>0</v>
      </c>
      <c r="G166" s="61">
        <f t="shared" si="80"/>
        <v>0</v>
      </c>
      <c r="H166" s="61">
        <v>39425</v>
      </c>
      <c r="I166" s="61">
        <f t="shared" si="86"/>
        <v>39425</v>
      </c>
      <c r="J166" s="9">
        <f t="shared" si="85"/>
        <v>0</v>
      </c>
      <c r="K166" s="45" t="s">
        <v>31</v>
      </c>
      <c r="L166" s="181">
        <v>150000</v>
      </c>
      <c r="M166" s="181">
        <v>0</v>
      </c>
      <c r="N166" s="181">
        <v>136000</v>
      </c>
      <c r="O166" s="181"/>
      <c r="R166"/>
      <c r="S166"/>
      <c r="T166"/>
      <c r="U166"/>
    </row>
    <row r="167" spans="1:21" x14ac:dyDescent="0.3">
      <c r="A167" s="58" t="str">
        <f t="shared" si="81"/>
        <v>I55S</v>
      </c>
      <c r="B167" s="116" t="s">
        <v>4</v>
      </c>
      <c r="C167" s="118">
        <v>233614</v>
      </c>
      <c r="D167" s="118">
        <f t="shared" si="82"/>
        <v>0</v>
      </c>
      <c r="E167" s="118">
        <f>+N167</f>
        <v>0</v>
      </c>
      <c r="F167" s="118">
        <f t="shared" si="84"/>
        <v>0</v>
      </c>
      <c r="G167" s="118">
        <f t="shared" si="80"/>
        <v>0</v>
      </c>
      <c r="H167" s="118">
        <v>233614</v>
      </c>
      <c r="I167" s="118">
        <f>+C167+D167-E167-F167+G167</f>
        <v>233614</v>
      </c>
      <c r="J167" s="9">
        <f t="shared" si="85"/>
        <v>0</v>
      </c>
      <c r="K167" s="45" t="s">
        <v>84</v>
      </c>
      <c r="L167" s="181"/>
      <c r="M167" s="181"/>
      <c r="N167" s="181"/>
      <c r="O167" s="181"/>
      <c r="R167"/>
      <c r="S167"/>
      <c r="T167"/>
      <c r="U167"/>
    </row>
    <row r="168" spans="1:21" x14ac:dyDescent="0.3">
      <c r="A168" s="58" t="str">
        <f t="shared" si="81"/>
        <v>I73X</v>
      </c>
      <c r="B168" s="116" t="s">
        <v>4</v>
      </c>
      <c r="C168" s="118">
        <v>249769</v>
      </c>
      <c r="D168" s="118">
        <f t="shared" si="82"/>
        <v>0</v>
      </c>
      <c r="E168" s="118">
        <f>+N168</f>
        <v>0</v>
      </c>
      <c r="F168" s="118">
        <f t="shared" si="84"/>
        <v>0</v>
      </c>
      <c r="G168" s="118">
        <f t="shared" si="80"/>
        <v>0</v>
      </c>
      <c r="H168" s="118">
        <v>249769</v>
      </c>
      <c r="I168" s="118">
        <f t="shared" ref="I168:I172" si="87">+C168+D168-E168-F168+G168</f>
        <v>249769</v>
      </c>
      <c r="J168" s="9">
        <f t="shared" si="85"/>
        <v>0</v>
      </c>
      <c r="K168" s="45" t="s">
        <v>83</v>
      </c>
      <c r="L168" s="181"/>
      <c r="M168" s="181"/>
      <c r="N168" s="181"/>
      <c r="O168" s="181"/>
      <c r="R168"/>
      <c r="S168"/>
      <c r="T168"/>
      <c r="U168"/>
    </row>
    <row r="169" spans="1:21" s="188" customFormat="1" ht="15.6" x14ac:dyDescent="0.3">
      <c r="A169" s="58" t="str">
        <f t="shared" si="81"/>
        <v>Grace</v>
      </c>
      <c r="B169" s="59" t="s">
        <v>2</v>
      </c>
      <c r="C169" s="184">
        <v>166600</v>
      </c>
      <c r="D169" s="61">
        <f t="shared" si="82"/>
        <v>150000</v>
      </c>
      <c r="E169" s="61">
        <f t="shared" ref="E169" si="88">+N169</f>
        <v>141050</v>
      </c>
      <c r="F169" s="61">
        <f t="shared" si="84"/>
        <v>120000</v>
      </c>
      <c r="G169" s="61">
        <f t="shared" si="80"/>
        <v>0</v>
      </c>
      <c r="H169" s="184">
        <v>55550</v>
      </c>
      <c r="I169" s="184">
        <f t="shared" si="87"/>
        <v>55550</v>
      </c>
      <c r="J169" s="185">
        <f>I169-H169</f>
        <v>0</v>
      </c>
      <c r="K169" s="186" t="s">
        <v>143</v>
      </c>
      <c r="L169" s="181">
        <v>150000</v>
      </c>
      <c r="M169" s="181">
        <v>120000</v>
      </c>
      <c r="N169" s="181">
        <v>141050</v>
      </c>
      <c r="O169" s="181"/>
      <c r="R169"/>
      <c r="S169"/>
      <c r="T169"/>
      <c r="U169"/>
    </row>
    <row r="170" spans="1:21" x14ac:dyDescent="0.3">
      <c r="A170" s="58" t="str">
        <f t="shared" si="81"/>
        <v>Hurielle</v>
      </c>
      <c r="B170" s="98" t="s">
        <v>154</v>
      </c>
      <c r="C170" s="61">
        <v>28005</v>
      </c>
      <c r="D170" s="61">
        <f t="shared" si="82"/>
        <v>150000</v>
      </c>
      <c r="E170" s="61">
        <f>+N170</f>
        <v>133000</v>
      </c>
      <c r="F170" s="61">
        <f>+M170</f>
        <v>15000</v>
      </c>
      <c r="G170" s="61">
        <f t="shared" si="80"/>
        <v>0</v>
      </c>
      <c r="H170" s="61">
        <v>30005</v>
      </c>
      <c r="I170" s="61">
        <f t="shared" si="87"/>
        <v>30005</v>
      </c>
      <c r="J170" s="9">
        <f t="shared" ref="J170" si="89">I170-H170</f>
        <v>0</v>
      </c>
      <c r="K170" s="45" t="s">
        <v>197</v>
      </c>
      <c r="L170" s="181">
        <v>150000</v>
      </c>
      <c r="M170" s="181">
        <v>15000</v>
      </c>
      <c r="N170" s="181">
        <v>133000</v>
      </c>
      <c r="O170" s="181"/>
      <c r="R170"/>
      <c r="S170"/>
      <c r="T170"/>
      <c r="U170"/>
    </row>
    <row r="171" spans="1:21" s="188" customFormat="1" ht="15.6" x14ac:dyDescent="0.3">
      <c r="A171" s="58" t="str">
        <f t="shared" si="81"/>
        <v>Merveille</v>
      </c>
      <c r="B171" s="59" t="s">
        <v>2</v>
      </c>
      <c r="C171" s="184">
        <v>18800</v>
      </c>
      <c r="D171" s="61">
        <f t="shared" si="82"/>
        <v>150000</v>
      </c>
      <c r="E171" s="61">
        <f t="shared" ref="E171:E174" si="90">+N171</f>
        <v>148000</v>
      </c>
      <c r="F171" s="61">
        <f t="shared" ref="F171:F174" si="91">+M171</f>
        <v>0</v>
      </c>
      <c r="G171" s="61">
        <f t="shared" si="80"/>
        <v>0</v>
      </c>
      <c r="H171" s="184">
        <v>20800</v>
      </c>
      <c r="I171" s="184">
        <f t="shared" si="87"/>
        <v>20800</v>
      </c>
      <c r="J171" s="185">
        <f>I171-H171</f>
        <v>0</v>
      </c>
      <c r="K171" s="186" t="s">
        <v>93</v>
      </c>
      <c r="L171" s="181">
        <v>150000</v>
      </c>
      <c r="M171" s="181">
        <v>0</v>
      </c>
      <c r="N171" s="181">
        <v>148000</v>
      </c>
      <c r="O171" s="181"/>
      <c r="R171"/>
      <c r="S171"/>
      <c r="T171"/>
      <c r="U171"/>
    </row>
    <row r="172" spans="1:21" x14ac:dyDescent="0.3">
      <c r="A172" s="58" t="str">
        <f t="shared" si="81"/>
        <v>P29</v>
      </c>
      <c r="B172" s="98" t="s">
        <v>4</v>
      </c>
      <c r="C172" s="61">
        <v>236000</v>
      </c>
      <c r="D172" s="61">
        <f t="shared" si="82"/>
        <v>270000</v>
      </c>
      <c r="E172" s="61">
        <f t="shared" si="90"/>
        <v>388300</v>
      </c>
      <c r="F172" s="61">
        <f t="shared" si="91"/>
        <v>106700</v>
      </c>
      <c r="G172" s="61">
        <f t="shared" si="80"/>
        <v>0</v>
      </c>
      <c r="H172" s="61">
        <v>11000</v>
      </c>
      <c r="I172" s="61">
        <f t="shared" si="87"/>
        <v>11000</v>
      </c>
      <c r="J172" s="9">
        <f t="shared" ref="J172:J173" si="92">I172-H172</f>
        <v>0</v>
      </c>
      <c r="K172" s="45" t="s">
        <v>29</v>
      </c>
      <c r="L172" s="181">
        <v>270000</v>
      </c>
      <c r="M172" s="181">
        <v>106700</v>
      </c>
      <c r="N172" s="181">
        <v>388300</v>
      </c>
      <c r="O172" s="181"/>
      <c r="R172"/>
      <c r="S172"/>
      <c r="T172"/>
      <c r="U172"/>
    </row>
    <row r="173" spans="1:21" x14ac:dyDescent="0.3">
      <c r="A173" s="58" t="str">
        <f t="shared" si="81"/>
        <v>T73</v>
      </c>
      <c r="B173" s="59" t="s">
        <v>4</v>
      </c>
      <c r="C173" s="61">
        <v>311700</v>
      </c>
      <c r="D173" s="61">
        <f>+L173</f>
        <v>30000</v>
      </c>
      <c r="E173" s="61">
        <f t="shared" si="90"/>
        <v>133000</v>
      </c>
      <c r="F173" s="61">
        <f t="shared" si="91"/>
        <v>35000</v>
      </c>
      <c r="G173" s="61">
        <f t="shared" si="80"/>
        <v>0</v>
      </c>
      <c r="H173" s="61">
        <v>173700</v>
      </c>
      <c r="I173" s="61">
        <f>+C173+D173-E173-F173+G173</f>
        <v>173700</v>
      </c>
      <c r="J173" s="9">
        <f t="shared" si="92"/>
        <v>0</v>
      </c>
      <c r="K173" s="45" t="s">
        <v>269</v>
      </c>
      <c r="L173" s="181">
        <v>30000</v>
      </c>
      <c r="M173" s="181">
        <v>35000</v>
      </c>
      <c r="N173" s="181">
        <v>133000</v>
      </c>
      <c r="O173" s="181"/>
    </row>
    <row r="174" spans="1:21" x14ac:dyDescent="0.3">
      <c r="A174" s="58" t="str">
        <f t="shared" si="81"/>
        <v>Tiffany</v>
      </c>
      <c r="B174" s="59" t="s">
        <v>2</v>
      </c>
      <c r="C174" s="61">
        <v>16676</v>
      </c>
      <c r="D174" s="61">
        <f t="shared" ref="D174" si="93">+L174</f>
        <v>132000</v>
      </c>
      <c r="E174" s="61">
        <f t="shared" si="90"/>
        <v>124000</v>
      </c>
      <c r="F174" s="61">
        <f t="shared" si="91"/>
        <v>0</v>
      </c>
      <c r="G174" s="61">
        <f t="shared" si="80"/>
        <v>0</v>
      </c>
      <c r="H174" s="61">
        <v>24676</v>
      </c>
      <c r="I174" s="61">
        <f>+C174+D174-E174-F174+G174</f>
        <v>24676</v>
      </c>
      <c r="J174" s="9">
        <f>I174-H174</f>
        <v>0</v>
      </c>
      <c r="K174" s="45" t="s">
        <v>113</v>
      </c>
      <c r="L174" s="181">
        <v>132000</v>
      </c>
      <c r="M174" s="181">
        <v>0</v>
      </c>
      <c r="N174" s="181">
        <v>124000</v>
      </c>
      <c r="O174" s="181"/>
    </row>
    <row r="175" spans="1:21" x14ac:dyDescent="0.3">
      <c r="A175" s="10" t="s">
        <v>50</v>
      </c>
      <c r="B175" s="11"/>
      <c r="C175" s="12">
        <f t="shared" ref="C175:I175" si="94">SUM(C160:C174)</f>
        <v>36364485</v>
      </c>
      <c r="D175" s="57">
        <f t="shared" si="94"/>
        <v>7785600</v>
      </c>
      <c r="E175" s="57">
        <f t="shared" si="94"/>
        <v>9121618</v>
      </c>
      <c r="F175" s="57">
        <f t="shared" si="94"/>
        <v>7785600</v>
      </c>
      <c r="G175" s="57">
        <f t="shared" si="94"/>
        <v>0</v>
      </c>
      <c r="H175" s="57">
        <f t="shared" si="94"/>
        <v>27242867</v>
      </c>
      <c r="I175" s="57">
        <f t="shared" si="94"/>
        <v>27242867</v>
      </c>
      <c r="J175" s="9">
        <f>I175-H175</f>
        <v>0</v>
      </c>
      <c r="K175" s="3"/>
      <c r="L175" s="47">
        <f>+SUM(L160:L174)</f>
        <v>7785600</v>
      </c>
      <c r="M175" s="47">
        <f>+SUM(M160:M174)</f>
        <v>7785600</v>
      </c>
      <c r="N175" s="47">
        <f>+SUM(N160:N174)</f>
        <v>9121618</v>
      </c>
      <c r="O175" s="47">
        <f>+SUM(O160:O174)</f>
        <v>0</v>
      </c>
    </row>
    <row r="176" spans="1:21" x14ac:dyDescent="0.3">
      <c r="A176" s="10"/>
      <c r="B176" s="11"/>
      <c r="C176" s="12"/>
      <c r="D176" s="13"/>
      <c r="E176" s="12"/>
      <c r="F176" s="13"/>
      <c r="G176" s="12"/>
      <c r="H176" s="12"/>
      <c r="I176" s="134" t="b">
        <f>I175=D178</f>
        <v>1</v>
      </c>
      <c r="J176" s="9">
        <f>H175-I175</f>
        <v>0</v>
      </c>
      <c r="L176" s="5"/>
      <c r="M176" s="5"/>
      <c r="N176" s="5"/>
      <c r="O176" s="5"/>
    </row>
    <row r="177" spans="1:11" ht="15.6" x14ac:dyDescent="0.3">
      <c r="A177" s="10" t="s">
        <v>289</v>
      </c>
      <c r="B177" s="11" t="s">
        <v>202</v>
      </c>
      <c r="C177" s="12" t="s">
        <v>203</v>
      </c>
      <c r="D177" s="12" t="s">
        <v>290</v>
      </c>
      <c r="E177" s="12" t="s">
        <v>51</v>
      </c>
      <c r="F177" s="12"/>
      <c r="G177" s="12">
        <f>+D175-F175</f>
        <v>0</v>
      </c>
      <c r="H177" s="12"/>
      <c r="I177" s="216"/>
    </row>
    <row r="178" spans="1:11" x14ac:dyDescent="0.3">
      <c r="A178" s="14">
        <f>C175</f>
        <v>36364485</v>
      </c>
      <c r="B178" s="15">
        <f>G175</f>
        <v>0</v>
      </c>
      <c r="C178" s="12">
        <f>E175</f>
        <v>9121618</v>
      </c>
      <c r="D178" s="12">
        <f>A178+B178-C178</f>
        <v>27242867</v>
      </c>
      <c r="E178" s="13">
        <f>I175-D178</f>
        <v>0</v>
      </c>
      <c r="F178" s="12"/>
      <c r="G178" s="12"/>
      <c r="H178" s="12"/>
      <c r="I178" s="12"/>
    </row>
    <row r="179" spans="1:11" x14ac:dyDescent="0.3">
      <c r="A179" s="14"/>
      <c r="B179" s="15"/>
      <c r="C179" s="12"/>
      <c r="D179" s="12"/>
      <c r="E179" s="13"/>
      <c r="F179" s="12"/>
      <c r="G179" s="12"/>
      <c r="H179" s="12"/>
      <c r="I179" s="12"/>
    </row>
    <row r="180" spans="1:11" x14ac:dyDescent="0.3">
      <c r="A180" s="16" t="s">
        <v>52</v>
      </c>
      <c r="B180" s="16"/>
      <c r="C180" s="16"/>
      <c r="D180" s="17"/>
      <c r="E180" s="17"/>
      <c r="F180" s="17"/>
      <c r="G180" s="17"/>
      <c r="H180" s="17"/>
      <c r="I180" s="17"/>
    </row>
    <row r="181" spans="1:11" x14ac:dyDescent="0.3">
      <c r="A181" s="18" t="s">
        <v>291</v>
      </c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1" x14ac:dyDescent="0.3">
      <c r="A182" s="19"/>
      <c r="B182" s="17"/>
      <c r="C182" s="20"/>
      <c r="D182" s="20"/>
      <c r="E182" s="20"/>
      <c r="F182" s="20"/>
      <c r="G182" s="20"/>
      <c r="H182" s="17"/>
      <c r="I182" s="17"/>
    </row>
    <row r="183" spans="1:11" ht="45" customHeight="1" x14ac:dyDescent="0.3">
      <c r="A183" s="169" t="s">
        <v>53</v>
      </c>
      <c r="B183" s="171" t="s">
        <v>54</v>
      </c>
      <c r="C183" s="173" t="s">
        <v>292</v>
      </c>
      <c r="D183" s="174" t="s">
        <v>55</v>
      </c>
      <c r="E183" s="175"/>
      <c r="F183" s="175"/>
      <c r="G183" s="176"/>
      <c r="H183" s="177" t="s">
        <v>56</v>
      </c>
      <c r="I183" s="165" t="s">
        <v>57</v>
      </c>
      <c r="J183" s="212"/>
    </row>
    <row r="184" spans="1:11" ht="28.5" customHeight="1" x14ac:dyDescent="0.3">
      <c r="A184" s="170"/>
      <c r="B184" s="172"/>
      <c r="C184" s="22"/>
      <c r="D184" s="21" t="s">
        <v>24</v>
      </c>
      <c r="E184" s="21" t="s">
        <v>25</v>
      </c>
      <c r="F184" s="22" t="s">
        <v>123</v>
      </c>
      <c r="G184" s="21" t="s">
        <v>58</v>
      </c>
      <c r="H184" s="178"/>
      <c r="I184" s="166"/>
      <c r="J184" s="168" t="s">
        <v>293</v>
      </c>
      <c r="K184" s="143"/>
    </row>
    <row r="185" spans="1:11" x14ac:dyDescent="0.3">
      <c r="A185" s="23"/>
      <c r="B185" s="24" t="s">
        <v>59</v>
      </c>
      <c r="C185" s="25"/>
      <c r="D185" s="25"/>
      <c r="E185" s="25"/>
      <c r="F185" s="25"/>
      <c r="G185" s="25"/>
      <c r="H185" s="25"/>
      <c r="I185" s="26"/>
      <c r="J185" s="168"/>
      <c r="K185" s="143"/>
    </row>
    <row r="186" spans="1:11" x14ac:dyDescent="0.3">
      <c r="A186" s="122" t="s">
        <v>127</v>
      </c>
      <c r="B186" s="127" t="s">
        <v>47</v>
      </c>
      <c r="C186" s="32">
        <f>+C163</f>
        <v>206020</v>
      </c>
      <c r="D186" s="31"/>
      <c r="E186" s="32">
        <f>+D163</f>
        <v>292000</v>
      </c>
      <c r="F186" s="32"/>
      <c r="G186" s="32"/>
      <c r="H186" s="55">
        <f>+F163</f>
        <v>0</v>
      </c>
      <c r="I186" s="32">
        <f>+E163</f>
        <v>424000</v>
      </c>
      <c r="J186" s="30">
        <f t="shared" ref="J186:J189" si="95">+SUM(C186:G186)-(H186+I186)</f>
        <v>74020</v>
      </c>
      <c r="K186" s="144" t="b">
        <f t="shared" ref="K186:K197" si="96">J186=I163</f>
        <v>1</v>
      </c>
    </row>
    <row r="187" spans="1:11" x14ac:dyDescent="0.3">
      <c r="A187" s="122" t="str">
        <f>+A186</f>
        <v>AVRIL</v>
      </c>
      <c r="B187" s="127" t="s">
        <v>270</v>
      </c>
      <c r="C187" s="32">
        <f t="shared" ref="C187:C189" si="97">+C164</f>
        <v>105100</v>
      </c>
      <c r="D187" s="31"/>
      <c r="E187" s="32">
        <f t="shared" ref="E187:E189" si="98">+D164</f>
        <v>34900</v>
      </c>
      <c r="F187" s="32"/>
      <c r="G187" s="32"/>
      <c r="H187" s="55">
        <f t="shared" ref="H187:H189" si="99">+F164</f>
        <v>0</v>
      </c>
      <c r="I187" s="32">
        <f t="shared" ref="I187:I189" si="100">+E164</f>
        <v>140000</v>
      </c>
      <c r="J187" s="30">
        <f t="shared" si="95"/>
        <v>0</v>
      </c>
      <c r="K187" s="144" t="b">
        <f t="shared" si="96"/>
        <v>1</v>
      </c>
    </row>
    <row r="188" spans="1:11" x14ac:dyDescent="0.3">
      <c r="A188" s="122" t="str">
        <f t="shared" ref="A188:A197" si="101">+A187</f>
        <v>AVRIL</v>
      </c>
      <c r="B188" s="127" t="s">
        <v>256</v>
      </c>
      <c r="C188" s="32">
        <f t="shared" si="97"/>
        <v>19350</v>
      </c>
      <c r="D188" s="31"/>
      <c r="E188" s="32">
        <f t="shared" si="98"/>
        <v>150000</v>
      </c>
      <c r="F188" s="32"/>
      <c r="G188" s="32"/>
      <c r="H188" s="55">
        <f t="shared" si="99"/>
        <v>0</v>
      </c>
      <c r="I188" s="32">
        <f t="shared" si="100"/>
        <v>141000</v>
      </c>
      <c r="J188" s="30">
        <f t="shared" si="95"/>
        <v>28350</v>
      </c>
      <c r="K188" s="144" t="b">
        <f t="shared" si="96"/>
        <v>1</v>
      </c>
    </row>
    <row r="189" spans="1:11" x14ac:dyDescent="0.3">
      <c r="A189" s="122" t="str">
        <f t="shared" si="101"/>
        <v>AVRIL</v>
      </c>
      <c r="B189" s="127" t="s">
        <v>31</v>
      </c>
      <c r="C189" s="32">
        <f t="shared" si="97"/>
        <v>25425</v>
      </c>
      <c r="D189" s="31"/>
      <c r="E189" s="32">
        <f t="shared" si="98"/>
        <v>150000</v>
      </c>
      <c r="F189" s="32"/>
      <c r="G189" s="32"/>
      <c r="H189" s="55">
        <f t="shared" si="99"/>
        <v>0</v>
      </c>
      <c r="I189" s="32">
        <f t="shared" si="100"/>
        <v>136000</v>
      </c>
      <c r="J189" s="30">
        <f t="shared" si="95"/>
        <v>39425</v>
      </c>
      <c r="K189" s="144" t="b">
        <f t="shared" si="96"/>
        <v>1</v>
      </c>
    </row>
    <row r="190" spans="1:11" x14ac:dyDescent="0.3">
      <c r="A190" s="122" t="str">
        <f t="shared" si="101"/>
        <v>AVRIL</v>
      </c>
      <c r="B190" s="129" t="s">
        <v>84</v>
      </c>
      <c r="C190" s="120">
        <f>+C167</f>
        <v>233614</v>
      </c>
      <c r="D190" s="123"/>
      <c r="E190" s="120">
        <f>+D167</f>
        <v>0</v>
      </c>
      <c r="F190" s="137"/>
      <c r="G190" s="137"/>
      <c r="H190" s="155">
        <f>+F167</f>
        <v>0</v>
      </c>
      <c r="I190" s="120">
        <f>+E167</f>
        <v>0</v>
      </c>
      <c r="J190" s="121">
        <f>+SUM(C190:G190)-(H190+I190)</f>
        <v>233614</v>
      </c>
      <c r="K190" s="144" t="b">
        <f t="shared" si="96"/>
        <v>1</v>
      </c>
    </row>
    <row r="191" spans="1:11" x14ac:dyDescent="0.3">
      <c r="A191" s="122" t="str">
        <f t="shared" si="101"/>
        <v>AVRIL</v>
      </c>
      <c r="B191" s="129" t="s">
        <v>83</v>
      </c>
      <c r="C191" s="120">
        <f>+C168</f>
        <v>249769</v>
      </c>
      <c r="D191" s="123"/>
      <c r="E191" s="120">
        <f>+D168</f>
        <v>0</v>
      </c>
      <c r="F191" s="137"/>
      <c r="G191" s="137"/>
      <c r="H191" s="155">
        <f>+F168</f>
        <v>0</v>
      </c>
      <c r="I191" s="120">
        <f>+E168</f>
        <v>0</v>
      </c>
      <c r="J191" s="121">
        <f t="shared" ref="J191:J197" si="102">+SUM(C191:G191)-(H191+I191)</f>
        <v>249769</v>
      </c>
      <c r="K191" s="144" t="b">
        <f t="shared" si="96"/>
        <v>1</v>
      </c>
    </row>
    <row r="192" spans="1:11" x14ac:dyDescent="0.3">
      <c r="A192" s="122" t="str">
        <f t="shared" si="101"/>
        <v>AVRIL</v>
      </c>
      <c r="B192" s="127" t="s">
        <v>143</v>
      </c>
      <c r="C192" s="32">
        <f>+C169</f>
        <v>166600</v>
      </c>
      <c r="D192" s="31"/>
      <c r="E192" s="32">
        <f>+D169</f>
        <v>150000</v>
      </c>
      <c r="F192" s="32"/>
      <c r="G192" s="104"/>
      <c r="H192" s="55">
        <f>+F169</f>
        <v>120000</v>
      </c>
      <c r="I192" s="32">
        <f>+E169</f>
        <v>141050</v>
      </c>
      <c r="J192" s="30">
        <f t="shared" si="102"/>
        <v>55550</v>
      </c>
      <c r="K192" s="144" t="b">
        <f t="shared" si="96"/>
        <v>1</v>
      </c>
    </row>
    <row r="193" spans="1:21" x14ac:dyDescent="0.3">
      <c r="A193" s="122" t="str">
        <f t="shared" si="101"/>
        <v>AVRIL</v>
      </c>
      <c r="B193" s="127" t="s">
        <v>197</v>
      </c>
      <c r="C193" s="32">
        <f>+C170</f>
        <v>28005</v>
      </c>
      <c r="D193" s="31"/>
      <c r="E193" s="32">
        <f>+D170</f>
        <v>150000</v>
      </c>
      <c r="F193" s="32"/>
      <c r="G193" s="104"/>
      <c r="H193" s="55">
        <f>+F170</f>
        <v>15000</v>
      </c>
      <c r="I193" s="32">
        <f>+E170</f>
        <v>133000</v>
      </c>
      <c r="J193" s="30">
        <f t="shared" si="102"/>
        <v>30005</v>
      </c>
      <c r="K193" s="144" t="b">
        <f t="shared" si="96"/>
        <v>1</v>
      </c>
    </row>
    <row r="194" spans="1:21" x14ac:dyDescent="0.3">
      <c r="A194" s="122" t="str">
        <f>A193</f>
        <v>AVRIL</v>
      </c>
      <c r="B194" s="127" t="s">
        <v>93</v>
      </c>
      <c r="C194" s="32">
        <f t="shared" ref="C194:C197" si="103">+C171</f>
        <v>18800</v>
      </c>
      <c r="D194" s="31"/>
      <c r="E194" s="32">
        <f t="shared" ref="E194:E197" si="104">+D171</f>
        <v>150000</v>
      </c>
      <c r="F194" s="32"/>
      <c r="G194" s="104"/>
      <c r="H194" s="55">
        <f t="shared" ref="H194:H197" si="105">+F171</f>
        <v>0</v>
      </c>
      <c r="I194" s="32">
        <f t="shared" ref="I194:I197" si="106">+E171</f>
        <v>148000</v>
      </c>
      <c r="J194" s="30">
        <f t="shared" si="102"/>
        <v>20800</v>
      </c>
      <c r="K194" s="144" t="b">
        <f t="shared" si="96"/>
        <v>1</v>
      </c>
    </row>
    <row r="195" spans="1:21" x14ac:dyDescent="0.3">
      <c r="A195" s="122" t="str">
        <f t="shared" si="101"/>
        <v>AVRIL</v>
      </c>
      <c r="B195" s="127" t="s">
        <v>29</v>
      </c>
      <c r="C195" s="32">
        <f t="shared" si="103"/>
        <v>236000</v>
      </c>
      <c r="D195" s="31"/>
      <c r="E195" s="32">
        <f t="shared" si="104"/>
        <v>270000</v>
      </c>
      <c r="F195" s="32"/>
      <c r="G195" s="104"/>
      <c r="H195" s="55">
        <f t="shared" si="105"/>
        <v>106700</v>
      </c>
      <c r="I195" s="32">
        <f t="shared" si="106"/>
        <v>388300</v>
      </c>
      <c r="J195" s="30">
        <f t="shared" si="102"/>
        <v>11000</v>
      </c>
      <c r="K195" s="144" t="b">
        <f t="shared" si="96"/>
        <v>1</v>
      </c>
    </row>
    <row r="196" spans="1:21" x14ac:dyDescent="0.3">
      <c r="A196" s="122" t="str">
        <f t="shared" si="101"/>
        <v>AVRIL</v>
      </c>
      <c r="B196" s="128" t="s">
        <v>269</v>
      </c>
      <c r="C196" s="32">
        <f t="shared" si="103"/>
        <v>311700</v>
      </c>
      <c r="D196" s="119"/>
      <c r="E196" s="32">
        <f t="shared" si="104"/>
        <v>30000</v>
      </c>
      <c r="F196" s="51"/>
      <c r="G196" s="138"/>
      <c r="H196" s="55">
        <f t="shared" si="105"/>
        <v>35000</v>
      </c>
      <c r="I196" s="32">
        <f t="shared" si="106"/>
        <v>133000</v>
      </c>
      <c r="J196" s="30">
        <f t="shared" si="102"/>
        <v>173700</v>
      </c>
      <c r="K196" s="144" t="b">
        <f t="shared" si="96"/>
        <v>1</v>
      </c>
    </row>
    <row r="197" spans="1:21" x14ac:dyDescent="0.3">
      <c r="A197" s="122" t="str">
        <f t="shared" si="101"/>
        <v>AVRIL</v>
      </c>
      <c r="B197" s="128" t="s">
        <v>113</v>
      </c>
      <c r="C197" s="32">
        <f t="shared" si="103"/>
        <v>16676</v>
      </c>
      <c r="D197" s="119"/>
      <c r="E197" s="32">
        <f t="shared" si="104"/>
        <v>132000</v>
      </c>
      <c r="F197" s="51"/>
      <c r="G197" s="138"/>
      <c r="H197" s="55">
        <f t="shared" si="105"/>
        <v>0</v>
      </c>
      <c r="I197" s="32">
        <f t="shared" si="106"/>
        <v>124000</v>
      </c>
      <c r="J197" s="30">
        <f t="shared" si="102"/>
        <v>24676</v>
      </c>
      <c r="K197" s="144" t="b">
        <f t="shared" si="96"/>
        <v>1</v>
      </c>
    </row>
    <row r="198" spans="1:21" x14ac:dyDescent="0.3">
      <c r="A198" s="34" t="s">
        <v>60</v>
      </c>
      <c r="B198" s="35"/>
      <c r="C198" s="35"/>
      <c r="D198" s="35"/>
      <c r="E198" s="35"/>
      <c r="F198" s="35"/>
      <c r="G198" s="35"/>
      <c r="H198" s="35"/>
      <c r="I198" s="35"/>
      <c r="J198" s="36"/>
      <c r="K198" s="143"/>
    </row>
    <row r="199" spans="1:21" x14ac:dyDescent="0.3">
      <c r="A199" s="122" t="str">
        <f>A197</f>
        <v>AVRIL</v>
      </c>
      <c r="B199" s="37" t="s">
        <v>61</v>
      </c>
      <c r="C199" s="38">
        <f>+C162</f>
        <v>410707</v>
      </c>
      <c r="D199" s="49"/>
      <c r="E199" s="49">
        <f>D162</f>
        <v>6276700</v>
      </c>
      <c r="F199" s="49"/>
      <c r="G199" s="125"/>
      <c r="H199" s="51">
        <f>+F162</f>
        <v>1508900</v>
      </c>
      <c r="I199" s="126">
        <f>+E162</f>
        <v>1365190</v>
      </c>
      <c r="J199" s="30">
        <f>+SUM(C199:G199)-(H199+I199)</f>
        <v>3813317</v>
      </c>
      <c r="K199" s="144" t="b">
        <f>J199=I162</f>
        <v>1</v>
      </c>
    </row>
    <row r="200" spans="1:21" x14ac:dyDescent="0.3">
      <c r="A200" s="43" t="s">
        <v>62</v>
      </c>
      <c r="B200" s="24"/>
      <c r="C200" s="35"/>
      <c r="D200" s="24"/>
      <c r="E200" s="24"/>
      <c r="F200" s="24"/>
      <c r="G200" s="24"/>
      <c r="H200" s="24"/>
      <c r="I200" s="24"/>
      <c r="J200" s="36"/>
      <c r="K200" s="143"/>
    </row>
    <row r="201" spans="1:21" x14ac:dyDescent="0.3">
      <c r="A201" s="122" t="str">
        <f>+A199</f>
        <v>AVRIL</v>
      </c>
      <c r="B201" s="37" t="s">
        <v>24</v>
      </c>
      <c r="C201" s="125">
        <f>+C160</f>
        <v>19719835</v>
      </c>
      <c r="D201" s="132">
        <f>+G160</f>
        <v>0</v>
      </c>
      <c r="E201" s="49"/>
      <c r="F201" s="49"/>
      <c r="G201" s="49"/>
      <c r="H201" s="51">
        <f>+F160</f>
        <v>2000000</v>
      </c>
      <c r="I201" s="53">
        <f>+E160</f>
        <v>433345</v>
      </c>
      <c r="J201" s="30">
        <f>+SUM(C201:G201)-(H201+I201)</f>
        <v>17286490</v>
      </c>
      <c r="K201" s="144" t="b">
        <f>+J201=I160</f>
        <v>1</v>
      </c>
    </row>
    <row r="202" spans="1:21" x14ac:dyDescent="0.3">
      <c r="A202" s="122" t="str">
        <f t="shared" ref="A202" si="107">+A201</f>
        <v>AVRIL</v>
      </c>
      <c r="B202" s="37" t="s">
        <v>64</v>
      </c>
      <c r="C202" s="125">
        <f>+C161</f>
        <v>14616884</v>
      </c>
      <c r="D202" s="49">
        <f>+G161</f>
        <v>0</v>
      </c>
      <c r="E202" s="48"/>
      <c r="F202" s="48"/>
      <c r="G202" s="48"/>
      <c r="H202" s="32">
        <f>+F161</f>
        <v>4000000</v>
      </c>
      <c r="I202" s="50">
        <f>+E161</f>
        <v>5414733</v>
      </c>
      <c r="J202" s="30">
        <f>SUM(C202:G202)-(H202+I202)</f>
        <v>5202151</v>
      </c>
      <c r="K202" s="144" t="b">
        <f>+J202=I161</f>
        <v>1</v>
      </c>
    </row>
    <row r="203" spans="1:21" ht="15.6" x14ac:dyDescent="0.3">
      <c r="C203" s="141">
        <f>SUM(C186:C202)</f>
        <v>36364485</v>
      </c>
      <c r="I203" s="140">
        <f>SUM(I186:I202)</f>
        <v>9121618</v>
      </c>
      <c r="J203" s="105">
        <f>+SUM(J186:J202)</f>
        <v>27242867</v>
      </c>
      <c r="K203" s="5" t="b">
        <f>J203=I175</f>
        <v>1</v>
      </c>
    </row>
    <row r="204" spans="1:21" ht="15.6" x14ac:dyDescent="0.3">
      <c r="C204" s="141"/>
      <c r="I204" s="140"/>
      <c r="J204" s="105"/>
    </row>
    <row r="205" spans="1:21" ht="15.6" x14ac:dyDescent="0.3">
      <c r="A205" s="160"/>
      <c r="B205" s="160"/>
      <c r="C205" s="161"/>
      <c r="D205" s="160"/>
      <c r="E205" s="160"/>
      <c r="F205" s="160"/>
      <c r="G205" s="160"/>
      <c r="H205" s="160"/>
      <c r="I205" s="162"/>
      <c r="J205" s="163"/>
      <c r="K205" s="160"/>
      <c r="L205" s="164"/>
      <c r="M205" s="164"/>
      <c r="N205" s="164"/>
      <c r="O205" s="164"/>
      <c r="P205" s="160"/>
    </row>
    <row r="207" spans="1:21" ht="15.6" x14ac:dyDescent="0.3">
      <c r="A207" s="6" t="s">
        <v>36</v>
      </c>
      <c r="B207" s="6" t="s">
        <v>1</v>
      </c>
      <c r="C207" s="6">
        <v>44986</v>
      </c>
      <c r="D207" s="7" t="s">
        <v>37</v>
      </c>
      <c r="E207" s="7" t="s">
        <v>38</v>
      </c>
      <c r="F207" s="7" t="s">
        <v>39</v>
      </c>
      <c r="G207" s="7" t="s">
        <v>40</v>
      </c>
      <c r="H207" s="6">
        <v>45016</v>
      </c>
      <c r="I207" s="7" t="s">
        <v>41</v>
      </c>
      <c r="K207" s="45"/>
      <c r="L207" s="45" t="s">
        <v>42</v>
      </c>
      <c r="M207" s="45" t="s">
        <v>43</v>
      </c>
      <c r="N207" s="45" t="s">
        <v>44</v>
      </c>
      <c r="O207" s="45" t="s">
        <v>45</v>
      </c>
    </row>
    <row r="208" spans="1:21" x14ac:dyDescent="0.3">
      <c r="A208" s="58" t="str">
        <f>K208</f>
        <v>BCI</v>
      </c>
      <c r="B208" s="59" t="s">
        <v>46</v>
      </c>
      <c r="C208" s="61">
        <v>4918207</v>
      </c>
      <c r="D208" s="61">
        <f>+L208</f>
        <v>0</v>
      </c>
      <c r="E208" s="61">
        <f>+N208</f>
        <v>693345</v>
      </c>
      <c r="F208" s="61">
        <f>+M208</f>
        <v>2000000</v>
      </c>
      <c r="G208" s="61">
        <f t="shared" ref="G208:G222" si="108">+O208</f>
        <v>17494973</v>
      </c>
      <c r="H208" s="61">
        <v>19719835</v>
      </c>
      <c r="I208" s="61">
        <f>+C208+D208-E208-F208+G208</f>
        <v>19719835</v>
      </c>
      <c r="J208" s="9">
        <f>I208-H208</f>
        <v>0</v>
      </c>
      <c r="K208" s="45" t="s">
        <v>24</v>
      </c>
      <c r="L208" s="181"/>
      <c r="M208" s="181">
        <v>2000000</v>
      </c>
      <c r="N208" s="181">
        <v>693345</v>
      </c>
      <c r="O208" s="181">
        <v>17494973</v>
      </c>
      <c r="R208"/>
      <c r="S208"/>
      <c r="T208"/>
      <c r="U208"/>
    </row>
    <row r="209" spans="1:21" x14ac:dyDescent="0.3">
      <c r="A209" s="58" t="str">
        <f t="shared" ref="A209:A222" si="109">K209</f>
        <v>BCI-Sous Compte</v>
      </c>
      <c r="B209" s="59" t="s">
        <v>46</v>
      </c>
      <c r="C209" s="61">
        <v>2231034</v>
      </c>
      <c r="D209" s="61">
        <f t="shared" ref="D209:D220" si="110">+L209</f>
        <v>0</v>
      </c>
      <c r="E209" s="61">
        <f t="shared" ref="E209:E214" si="111">+N209</f>
        <v>2724801</v>
      </c>
      <c r="F209" s="61">
        <f t="shared" ref="F209:F217" si="112">+M209</f>
        <v>4000000</v>
      </c>
      <c r="G209" s="61">
        <f t="shared" si="108"/>
        <v>19110651</v>
      </c>
      <c r="H209" s="61">
        <v>14616884</v>
      </c>
      <c r="I209" s="61">
        <f>+C209+D209-E209-F209+G209</f>
        <v>14616884</v>
      </c>
      <c r="J209" s="9">
        <f t="shared" ref="J209:J216" si="113">I209-H209</f>
        <v>0</v>
      </c>
      <c r="K209" s="45" t="s">
        <v>148</v>
      </c>
      <c r="L209" s="181"/>
      <c r="M209" s="181">
        <v>4000000</v>
      </c>
      <c r="N209" s="181">
        <v>2724801</v>
      </c>
      <c r="O209" s="181">
        <v>19110651</v>
      </c>
      <c r="R209"/>
      <c r="S209"/>
      <c r="T209"/>
      <c r="U209"/>
    </row>
    <row r="210" spans="1:21" x14ac:dyDescent="0.3">
      <c r="A210" s="58" t="str">
        <f t="shared" si="109"/>
        <v>Caisse</v>
      </c>
      <c r="B210" s="59" t="s">
        <v>25</v>
      </c>
      <c r="C210" s="61">
        <v>925495</v>
      </c>
      <c r="D210" s="61">
        <f t="shared" si="110"/>
        <v>6008000</v>
      </c>
      <c r="E210" s="61">
        <f t="shared" si="111"/>
        <v>2280788</v>
      </c>
      <c r="F210" s="61">
        <f t="shared" si="112"/>
        <v>4242000</v>
      </c>
      <c r="G210" s="61">
        <f t="shared" si="108"/>
        <v>0</v>
      </c>
      <c r="H210" s="61">
        <v>410707</v>
      </c>
      <c r="I210" s="61">
        <f>+C210+D210-E210-F210+G210</f>
        <v>410707</v>
      </c>
      <c r="J210" s="102">
        <f t="shared" si="113"/>
        <v>0</v>
      </c>
      <c r="K210" s="45" t="s">
        <v>25</v>
      </c>
      <c r="L210" s="181">
        <v>6008000</v>
      </c>
      <c r="M210" s="181">
        <v>4242000</v>
      </c>
      <c r="N210" s="181">
        <v>2280788</v>
      </c>
      <c r="O210" s="181"/>
      <c r="R210"/>
      <c r="S210"/>
      <c r="T210"/>
      <c r="U210"/>
    </row>
    <row r="211" spans="1:21" x14ac:dyDescent="0.3">
      <c r="A211" s="58" t="str">
        <f t="shared" si="109"/>
        <v>Crépin</v>
      </c>
      <c r="B211" s="59" t="s">
        <v>154</v>
      </c>
      <c r="C211" s="61">
        <v>46045</v>
      </c>
      <c r="D211" s="61">
        <f t="shared" si="110"/>
        <v>1304000</v>
      </c>
      <c r="E211" s="61">
        <f t="shared" si="111"/>
        <v>1144025</v>
      </c>
      <c r="F211" s="61">
        <f t="shared" si="112"/>
        <v>0</v>
      </c>
      <c r="G211" s="61">
        <f t="shared" si="108"/>
        <v>0</v>
      </c>
      <c r="H211" s="61">
        <v>206020</v>
      </c>
      <c r="I211" s="61">
        <f>+C211+D211-E211-F211+G211</f>
        <v>206020</v>
      </c>
      <c r="J211" s="9">
        <f t="shared" si="113"/>
        <v>0</v>
      </c>
      <c r="K211" s="45" t="s">
        <v>47</v>
      </c>
      <c r="L211" s="181">
        <v>1304000</v>
      </c>
      <c r="M211" s="181">
        <v>0</v>
      </c>
      <c r="N211" s="181">
        <v>1144025</v>
      </c>
      <c r="O211" s="181"/>
      <c r="R211"/>
      <c r="S211"/>
      <c r="T211"/>
      <c r="U211"/>
    </row>
    <row r="212" spans="1:21" x14ac:dyDescent="0.3">
      <c r="A212" s="58" t="str">
        <f t="shared" si="109"/>
        <v>D58</v>
      </c>
      <c r="B212" s="59" t="s">
        <v>4</v>
      </c>
      <c r="C212" s="61">
        <v>107500</v>
      </c>
      <c r="D212" s="61">
        <f t="shared" si="110"/>
        <v>692000</v>
      </c>
      <c r="E212" s="61">
        <f t="shared" si="111"/>
        <v>694400</v>
      </c>
      <c r="F212" s="61">
        <f t="shared" si="112"/>
        <v>0</v>
      </c>
      <c r="G212" s="61">
        <f t="shared" si="108"/>
        <v>0</v>
      </c>
      <c r="H212" s="61">
        <v>105100</v>
      </c>
      <c r="I212" s="61">
        <f>+C212+D212-E212-F212+G212</f>
        <v>105100</v>
      </c>
      <c r="J212" s="9">
        <f t="shared" si="113"/>
        <v>0</v>
      </c>
      <c r="K212" s="45" t="s">
        <v>270</v>
      </c>
      <c r="L212" s="181">
        <v>692000</v>
      </c>
      <c r="M212" s="181">
        <v>0</v>
      </c>
      <c r="N212" s="181">
        <v>694400</v>
      </c>
      <c r="O212" s="181"/>
      <c r="R212"/>
      <c r="S212"/>
      <c r="T212"/>
      <c r="U212"/>
    </row>
    <row r="213" spans="1:21" x14ac:dyDescent="0.3">
      <c r="A213" s="58" t="str">
        <f t="shared" si="109"/>
        <v>Donald</v>
      </c>
      <c r="B213" s="59" t="s">
        <v>154</v>
      </c>
      <c r="C213" s="61">
        <v>8650</v>
      </c>
      <c r="D213" s="61">
        <f t="shared" si="110"/>
        <v>130000</v>
      </c>
      <c r="E213" s="61">
        <f t="shared" si="111"/>
        <v>119300</v>
      </c>
      <c r="F213" s="61">
        <f t="shared" si="112"/>
        <v>0</v>
      </c>
      <c r="G213" s="61">
        <f t="shared" si="108"/>
        <v>0</v>
      </c>
      <c r="H213" s="61">
        <v>19350</v>
      </c>
      <c r="I213" s="61">
        <f t="shared" ref="I213:I214" si="114">+C213+D213-E213-F213+G213</f>
        <v>19350</v>
      </c>
      <c r="J213" s="9">
        <f t="shared" si="113"/>
        <v>0</v>
      </c>
      <c r="K213" s="45" t="s">
        <v>256</v>
      </c>
      <c r="L213" s="181">
        <v>130000</v>
      </c>
      <c r="M213" s="181">
        <v>0</v>
      </c>
      <c r="N213" s="181">
        <v>119300</v>
      </c>
      <c r="O213" s="181"/>
      <c r="R213"/>
      <c r="S213"/>
      <c r="T213"/>
      <c r="U213"/>
    </row>
    <row r="214" spans="1:21" x14ac:dyDescent="0.3">
      <c r="A214" s="58" t="str">
        <f t="shared" si="109"/>
        <v>Evariste</v>
      </c>
      <c r="B214" s="59" t="s">
        <v>155</v>
      </c>
      <c r="C214" s="61">
        <v>18325</v>
      </c>
      <c r="D214" s="61">
        <f t="shared" si="110"/>
        <v>164000</v>
      </c>
      <c r="E214" s="61">
        <f t="shared" si="111"/>
        <v>156900</v>
      </c>
      <c r="F214" s="61">
        <f t="shared" si="112"/>
        <v>0</v>
      </c>
      <c r="G214" s="61">
        <f t="shared" si="108"/>
        <v>0</v>
      </c>
      <c r="H214" s="61">
        <v>25425</v>
      </c>
      <c r="I214" s="61">
        <f t="shared" si="114"/>
        <v>25425</v>
      </c>
      <c r="J214" s="9">
        <f t="shared" si="113"/>
        <v>0</v>
      </c>
      <c r="K214" s="45" t="s">
        <v>31</v>
      </c>
      <c r="L214" s="181">
        <v>164000</v>
      </c>
      <c r="M214" s="181">
        <v>0</v>
      </c>
      <c r="N214" s="181">
        <v>156900</v>
      </c>
      <c r="O214" s="181"/>
      <c r="R214"/>
      <c r="S214"/>
      <c r="T214"/>
      <c r="U214"/>
    </row>
    <row r="215" spans="1:21" x14ac:dyDescent="0.3">
      <c r="A215" s="58" t="str">
        <f t="shared" si="109"/>
        <v>I55S</v>
      </c>
      <c r="B215" s="116" t="s">
        <v>4</v>
      </c>
      <c r="C215" s="118">
        <v>233614</v>
      </c>
      <c r="D215" s="118">
        <f t="shared" si="110"/>
        <v>0</v>
      </c>
      <c r="E215" s="118">
        <f>+N215</f>
        <v>0</v>
      </c>
      <c r="F215" s="118">
        <f t="shared" si="112"/>
        <v>0</v>
      </c>
      <c r="G215" s="118">
        <f t="shared" si="108"/>
        <v>0</v>
      </c>
      <c r="H215" s="118">
        <v>233614</v>
      </c>
      <c r="I215" s="118">
        <f>+C215+D215-E215-F215+G215</f>
        <v>233614</v>
      </c>
      <c r="J215" s="9">
        <f t="shared" si="113"/>
        <v>0</v>
      </c>
      <c r="K215" s="45" t="s">
        <v>84</v>
      </c>
      <c r="L215" s="181"/>
      <c r="M215" s="181"/>
      <c r="N215" s="181"/>
      <c r="O215" s="181"/>
      <c r="R215"/>
      <c r="S215"/>
      <c r="T215"/>
      <c r="U215"/>
    </row>
    <row r="216" spans="1:21" x14ac:dyDescent="0.3">
      <c r="A216" s="58" t="str">
        <f t="shared" si="109"/>
        <v>I73X</v>
      </c>
      <c r="B216" s="116" t="s">
        <v>4</v>
      </c>
      <c r="C216" s="118">
        <v>249769</v>
      </c>
      <c r="D216" s="118">
        <f t="shared" si="110"/>
        <v>0</v>
      </c>
      <c r="E216" s="118">
        <f>+N216</f>
        <v>0</v>
      </c>
      <c r="F216" s="118">
        <f t="shared" si="112"/>
        <v>0</v>
      </c>
      <c r="G216" s="118">
        <f t="shared" si="108"/>
        <v>0</v>
      </c>
      <c r="H216" s="118">
        <v>249769</v>
      </c>
      <c r="I216" s="118">
        <f t="shared" ref="I216:I220" si="115">+C216+D216-E216-F216+G216</f>
        <v>249769</v>
      </c>
      <c r="J216" s="9">
        <f t="shared" si="113"/>
        <v>0</v>
      </c>
      <c r="K216" s="45" t="s">
        <v>83</v>
      </c>
      <c r="L216" s="181"/>
      <c r="M216" s="181"/>
      <c r="N216" s="181"/>
      <c r="O216" s="181"/>
      <c r="R216"/>
      <c r="S216"/>
      <c r="T216"/>
      <c r="U216"/>
    </row>
    <row r="217" spans="1:21" s="188" customFormat="1" ht="15.6" x14ac:dyDescent="0.3">
      <c r="A217" s="58" t="str">
        <f t="shared" si="109"/>
        <v>Grace</v>
      </c>
      <c r="B217" s="59" t="s">
        <v>2</v>
      </c>
      <c r="C217" s="184">
        <v>11250</v>
      </c>
      <c r="D217" s="61">
        <f t="shared" si="110"/>
        <v>363000</v>
      </c>
      <c r="E217" s="61">
        <f t="shared" ref="E217" si="116">+N217</f>
        <v>182650</v>
      </c>
      <c r="F217" s="61">
        <f t="shared" si="112"/>
        <v>25000</v>
      </c>
      <c r="G217" s="61">
        <f t="shared" si="108"/>
        <v>0</v>
      </c>
      <c r="H217" s="184">
        <v>166600</v>
      </c>
      <c r="I217" s="184">
        <f t="shared" si="115"/>
        <v>166600</v>
      </c>
      <c r="J217" s="185">
        <f>I217-H217</f>
        <v>0</v>
      </c>
      <c r="K217" s="186" t="s">
        <v>143</v>
      </c>
      <c r="L217" s="181">
        <v>363000</v>
      </c>
      <c r="M217" s="181">
        <v>25000</v>
      </c>
      <c r="N217" s="181">
        <v>182650</v>
      </c>
      <c r="O217" s="181"/>
      <c r="R217"/>
      <c r="S217"/>
      <c r="T217"/>
      <c r="U217"/>
    </row>
    <row r="218" spans="1:21" x14ac:dyDescent="0.3">
      <c r="A218" s="58" t="str">
        <f t="shared" si="109"/>
        <v>Hurielle</v>
      </c>
      <c r="B218" s="98" t="s">
        <v>154</v>
      </c>
      <c r="C218" s="61">
        <v>39355</v>
      </c>
      <c r="D218" s="61">
        <f t="shared" si="110"/>
        <v>185000</v>
      </c>
      <c r="E218" s="61">
        <f>+N218</f>
        <v>188350</v>
      </c>
      <c r="F218" s="61">
        <f>+M218</f>
        <v>8000</v>
      </c>
      <c r="G218" s="61">
        <f t="shared" si="108"/>
        <v>0</v>
      </c>
      <c r="H218" s="61">
        <v>28005</v>
      </c>
      <c r="I218" s="61">
        <f t="shared" si="115"/>
        <v>28005</v>
      </c>
      <c r="J218" s="9">
        <f t="shared" ref="J218" si="117">I218-H218</f>
        <v>0</v>
      </c>
      <c r="K218" s="45" t="s">
        <v>197</v>
      </c>
      <c r="L218" s="181">
        <v>185000</v>
      </c>
      <c r="M218" s="181">
        <v>8000</v>
      </c>
      <c r="N218" s="181">
        <v>188350</v>
      </c>
      <c r="O218" s="181"/>
      <c r="R218"/>
      <c r="S218"/>
      <c r="T218"/>
      <c r="U218"/>
    </row>
    <row r="219" spans="1:21" s="188" customFormat="1" ht="15.6" x14ac:dyDescent="0.3">
      <c r="A219" s="58" t="str">
        <f t="shared" si="109"/>
        <v>Merveille</v>
      </c>
      <c r="B219" s="59" t="s">
        <v>2</v>
      </c>
      <c r="C219" s="184">
        <v>14300</v>
      </c>
      <c r="D219" s="61">
        <f t="shared" si="110"/>
        <v>35000</v>
      </c>
      <c r="E219" s="61">
        <f t="shared" ref="E219:E222" si="118">+N219</f>
        <v>30500</v>
      </c>
      <c r="F219" s="61">
        <f t="shared" ref="F219:F222" si="119">+M219</f>
        <v>0</v>
      </c>
      <c r="G219" s="61">
        <f t="shared" si="108"/>
        <v>0</v>
      </c>
      <c r="H219" s="184">
        <v>18800</v>
      </c>
      <c r="I219" s="184">
        <f t="shared" si="115"/>
        <v>18800</v>
      </c>
      <c r="J219" s="185">
        <f>I219-H219</f>
        <v>0</v>
      </c>
      <c r="K219" s="186" t="s">
        <v>93</v>
      </c>
      <c r="L219" s="181">
        <v>35000</v>
      </c>
      <c r="M219" s="181">
        <v>0</v>
      </c>
      <c r="N219" s="181">
        <v>30500</v>
      </c>
      <c r="O219" s="181"/>
      <c r="R219"/>
      <c r="S219"/>
      <c r="T219"/>
      <c r="U219"/>
    </row>
    <row r="220" spans="1:21" x14ac:dyDescent="0.3">
      <c r="A220" s="58" t="str">
        <f t="shared" si="109"/>
        <v>P29</v>
      </c>
      <c r="B220" s="98" t="s">
        <v>4</v>
      </c>
      <c r="C220" s="61">
        <v>100600</v>
      </c>
      <c r="D220" s="61">
        <f t="shared" si="110"/>
        <v>589000</v>
      </c>
      <c r="E220" s="61">
        <f t="shared" si="118"/>
        <v>453600</v>
      </c>
      <c r="F220" s="61">
        <f t="shared" si="119"/>
        <v>0</v>
      </c>
      <c r="G220" s="61">
        <f t="shared" si="108"/>
        <v>0</v>
      </c>
      <c r="H220" s="61">
        <v>236000</v>
      </c>
      <c r="I220" s="61">
        <f t="shared" si="115"/>
        <v>236000</v>
      </c>
      <c r="J220" s="9">
        <f t="shared" ref="J220:J221" si="120">I220-H220</f>
        <v>0</v>
      </c>
      <c r="K220" s="45" t="s">
        <v>29</v>
      </c>
      <c r="L220" s="181">
        <v>589000</v>
      </c>
      <c r="M220" s="181">
        <v>0</v>
      </c>
      <c r="N220" s="181">
        <v>453600</v>
      </c>
      <c r="O220" s="181"/>
      <c r="R220"/>
      <c r="S220"/>
      <c r="T220"/>
      <c r="U220"/>
    </row>
    <row r="221" spans="1:21" x14ac:dyDescent="0.3">
      <c r="A221" s="58" t="str">
        <f t="shared" si="109"/>
        <v>T73</v>
      </c>
      <c r="B221" s="59" t="s">
        <v>4</v>
      </c>
      <c r="C221" s="61">
        <v>208300</v>
      </c>
      <c r="D221" s="61">
        <f>+L221</f>
        <v>805000</v>
      </c>
      <c r="E221" s="61">
        <f t="shared" si="118"/>
        <v>701600</v>
      </c>
      <c r="F221" s="61">
        <f t="shared" si="119"/>
        <v>0</v>
      </c>
      <c r="G221" s="61">
        <f t="shared" si="108"/>
        <v>0</v>
      </c>
      <c r="H221" s="61">
        <v>311700</v>
      </c>
      <c r="I221" s="61">
        <f>+C221+D221-E221-F221+G221</f>
        <v>311700</v>
      </c>
      <c r="J221" s="9">
        <f t="shared" si="120"/>
        <v>0</v>
      </c>
      <c r="K221" s="45" t="s">
        <v>269</v>
      </c>
      <c r="L221" s="181">
        <v>805000</v>
      </c>
      <c r="M221" s="181">
        <v>0</v>
      </c>
      <c r="N221" s="181">
        <v>701600</v>
      </c>
      <c r="O221" s="181"/>
    </row>
    <row r="222" spans="1:21" x14ac:dyDescent="0.3">
      <c r="A222" s="58" t="str">
        <f t="shared" si="109"/>
        <v>Tiffany</v>
      </c>
      <c r="B222" s="59" t="s">
        <v>2</v>
      </c>
      <c r="C222" s="61">
        <v>26676</v>
      </c>
      <c r="D222" s="61">
        <f t="shared" ref="D222" si="121">+L222</f>
        <v>0</v>
      </c>
      <c r="E222" s="61">
        <f t="shared" si="118"/>
        <v>10000</v>
      </c>
      <c r="F222" s="61">
        <f t="shared" si="119"/>
        <v>0</v>
      </c>
      <c r="G222" s="61">
        <f t="shared" si="108"/>
        <v>0</v>
      </c>
      <c r="H222" s="61">
        <v>16676</v>
      </c>
      <c r="I222" s="61">
        <f>+C222+D222-E222-F222+G222</f>
        <v>16676</v>
      </c>
      <c r="J222" s="9">
        <f>I222-H222</f>
        <v>0</v>
      </c>
      <c r="K222" s="45" t="s">
        <v>113</v>
      </c>
      <c r="L222" s="181">
        <v>0</v>
      </c>
      <c r="M222" s="181">
        <v>0</v>
      </c>
      <c r="N222" s="181">
        <v>10000</v>
      </c>
      <c r="O222" s="181"/>
    </row>
    <row r="223" spans="1:21" x14ac:dyDescent="0.3">
      <c r="A223" s="10" t="s">
        <v>50</v>
      </c>
      <c r="B223" s="11"/>
      <c r="C223" s="12">
        <f t="shared" ref="C223:I223" si="122">SUM(C208:C222)</f>
        <v>9139120</v>
      </c>
      <c r="D223" s="57">
        <f t="shared" si="122"/>
        <v>10275000</v>
      </c>
      <c r="E223" s="57">
        <f t="shared" si="122"/>
        <v>9380259</v>
      </c>
      <c r="F223" s="57">
        <f t="shared" si="122"/>
        <v>10275000</v>
      </c>
      <c r="G223" s="57">
        <f t="shared" si="122"/>
        <v>36605624</v>
      </c>
      <c r="H223" s="57">
        <f t="shared" si="122"/>
        <v>36364485</v>
      </c>
      <c r="I223" s="57">
        <f t="shared" si="122"/>
        <v>36364485</v>
      </c>
      <c r="J223" s="9">
        <f>I223-H223</f>
        <v>0</v>
      </c>
      <c r="K223" s="3"/>
      <c r="L223" s="47">
        <f>+SUM(L208:L222)</f>
        <v>10275000</v>
      </c>
      <c r="M223" s="47">
        <f>+SUM(M208:M222)</f>
        <v>10275000</v>
      </c>
      <c r="N223" s="47">
        <f>+SUM(N208:N222)</f>
        <v>9380259</v>
      </c>
      <c r="O223" s="47">
        <f>+SUM(O208:O222)</f>
        <v>36605624</v>
      </c>
    </row>
    <row r="224" spans="1:21" x14ac:dyDescent="0.3">
      <c r="A224" s="10"/>
      <c r="B224" s="11"/>
      <c r="C224" s="12"/>
      <c r="D224" s="13"/>
      <c r="E224" s="12"/>
      <c r="F224" s="13"/>
      <c r="G224" s="12"/>
      <c r="H224" s="12"/>
      <c r="I224" s="134" t="b">
        <f>I223=D226</f>
        <v>1</v>
      </c>
      <c r="J224" s="9">
        <f>H223-I223</f>
        <v>0</v>
      </c>
      <c r="L224" s="5"/>
      <c r="M224" s="5"/>
      <c r="N224" s="5"/>
      <c r="O224" s="5"/>
    </row>
    <row r="225" spans="1:11" ht="15.6" x14ac:dyDescent="0.3">
      <c r="A225" s="10" t="s">
        <v>281</v>
      </c>
      <c r="B225" s="11" t="s">
        <v>190</v>
      </c>
      <c r="C225" s="12" t="s">
        <v>282</v>
      </c>
      <c r="D225" s="12" t="s">
        <v>283</v>
      </c>
      <c r="E225" s="12" t="s">
        <v>51</v>
      </c>
      <c r="F225" s="12"/>
      <c r="G225" s="12">
        <f>+D223-F223</f>
        <v>0</v>
      </c>
      <c r="H225" s="12"/>
      <c r="I225" s="216"/>
    </row>
    <row r="226" spans="1:11" x14ac:dyDescent="0.3">
      <c r="A226" s="14">
        <f>C223</f>
        <v>9139120</v>
      </c>
      <c r="B226" s="15">
        <f>G223</f>
        <v>36605624</v>
      </c>
      <c r="C226" s="12">
        <f>E223</f>
        <v>9380259</v>
      </c>
      <c r="D226" s="12">
        <f>A226+B226-C226</f>
        <v>36364485</v>
      </c>
      <c r="E226" s="13">
        <f>I223-D226</f>
        <v>0</v>
      </c>
      <c r="F226" s="12"/>
      <c r="G226" s="12"/>
      <c r="H226" s="12"/>
      <c r="I226" s="12"/>
    </row>
    <row r="227" spans="1:11" x14ac:dyDescent="0.3">
      <c r="A227" s="14"/>
      <c r="B227" s="15"/>
      <c r="C227" s="12"/>
      <c r="D227" s="12"/>
      <c r="E227" s="13"/>
      <c r="F227" s="12"/>
      <c r="G227" s="12"/>
      <c r="H227" s="12"/>
      <c r="I227" s="12"/>
    </row>
    <row r="228" spans="1:11" x14ac:dyDescent="0.3">
      <c r="A228" s="16" t="s">
        <v>52</v>
      </c>
      <c r="B228" s="16"/>
      <c r="C228" s="16"/>
      <c r="D228" s="17"/>
      <c r="E228" s="17"/>
      <c r="F228" s="17"/>
      <c r="G228" s="17"/>
      <c r="H228" s="17"/>
      <c r="I228" s="17"/>
    </row>
    <row r="229" spans="1:11" x14ac:dyDescent="0.3">
      <c r="A229" s="18" t="s">
        <v>284</v>
      </c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1" x14ac:dyDescent="0.3">
      <c r="A230" s="19"/>
      <c r="B230" s="17"/>
      <c r="C230" s="20"/>
      <c r="D230" s="20"/>
      <c r="E230" s="20"/>
      <c r="F230" s="20"/>
      <c r="G230" s="20"/>
      <c r="H230" s="17"/>
      <c r="I230" s="17"/>
    </row>
    <row r="231" spans="1:11" ht="45" customHeight="1" x14ac:dyDescent="0.3">
      <c r="A231" s="169" t="s">
        <v>53</v>
      </c>
      <c r="B231" s="171" t="s">
        <v>54</v>
      </c>
      <c r="C231" s="173" t="s">
        <v>285</v>
      </c>
      <c r="D231" s="174" t="s">
        <v>55</v>
      </c>
      <c r="E231" s="175"/>
      <c r="F231" s="175"/>
      <c r="G231" s="176"/>
      <c r="H231" s="177" t="s">
        <v>56</v>
      </c>
      <c r="I231" s="165" t="s">
        <v>57</v>
      </c>
      <c r="J231" s="212"/>
    </row>
    <row r="232" spans="1:11" ht="28.5" customHeight="1" x14ac:dyDescent="0.3">
      <c r="A232" s="170"/>
      <c r="B232" s="172"/>
      <c r="C232" s="22"/>
      <c r="D232" s="21" t="s">
        <v>24</v>
      </c>
      <c r="E232" s="21" t="s">
        <v>25</v>
      </c>
      <c r="F232" s="22" t="s">
        <v>123</v>
      </c>
      <c r="G232" s="21" t="s">
        <v>58</v>
      </c>
      <c r="H232" s="178"/>
      <c r="I232" s="166"/>
      <c r="J232" s="168" t="s">
        <v>286</v>
      </c>
      <c r="K232" s="143"/>
    </row>
    <row r="233" spans="1:11" x14ac:dyDescent="0.3">
      <c r="A233" s="23"/>
      <c r="B233" s="24" t="s">
        <v>59</v>
      </c>
      <c r="C233" s="25"/>
      <c r="D233" s="25"/>
      <c r="E233" s="25"/>
      <c r="F233" s="25"/>
      <c r="G233" s="25"/>
      <c r="H233" s="25"/>
      <c r="I233" s="26"/>
      <c r="J233" s="168"/>
      <c r="K233" s="143"/>
    </row>
    <row r="234" spans="1:11" x14ac:dyDescent="0.3">
      <c r="A234" s="122" t="s">
        <v>120</v>
      </c>
      <c r="B234" s="127" t="s">
        <v>47</v>
      </c>
      <c r="C234" s="32">
        <f>+C211</f>
        <v>46045</v>
      </c>
      <c r="D234" s="31"/>
      <c r="E234" s="32">
        <f>+D211</f>
        <v>1304000</v>
      </c>
      <c r="F234" s="32"/>
      <c r="G234" s="32"/>
      <c r="H234" s="55">
        <f>+F211</f>
        <v>0</v>
      </c>
      <c r="I234" s="32">
        <f>+E211</f>
        <v>1144025</v>
      </c>
      <c r="J234" s="30">
        <f t="shared" ref="J234:J237" si="123">+SUM(C234:G234)-(H234+I234)</f>
        <v>206020</v>
      </c>
      <c r="K234" s="144" t="b">
        <f t="shared" ref="K234:K245" si="124">J234=I211</f>
        <v>1</v>
      </c>
    </row>
    <row r="235" spans="1:11" x14ac:dyDescent="0.3">
      <c r="A235" s="122" t="str">
        <f>+A234</f>
        <v>MARS</v>
      </c>
      <c r="B235" s="127" t="s">
        <v>270</v>
      </c>
      <c r="C235" s="32">
        <f t="shared" ref="C235:C237" si="125">+C212</f>
        <v>107500</v>
      </c>
      <c r="D235" s="31"/>
      <c r="E235" s="32">
        <f t="shared" ref="E235:E237" si="126">+D212</f>
        <v>692000</v>
      </c>
      <c r="F235" s="32"/>
      <c r="G235" s="32"/>
      <c r="H235" s="55">
        <f t="shared" ref="H235:H237" si="127">+F212</f>
        <v>0</v>
      </c>
      <c r="I235" s="32">
        <f t="shared" ref="I235:I237" si="128">+E212</f>
        <v>694400</v>
      </c>
      <c r="J235" s="30">
        <f t="shared" si="123"/>
        <v>105100</v>
      </c>
      <c r="K235" s="144" t="b">
        <f t="shared" si="124"/>
        <v>1</v>
      </c>
    </row>
    <row r="236" spans="1:11" x14ac:dyDescent="0.3">
      <c r="A236" s="122" t="str">
        <f t="shared" ref="A236:A245" si="129">+A235</f>
        <v>MARS</v>
      </c>
      <c r="B236" s="127" t="s">
        <v>256</v>
      </c>
      <c r="C236" s="32">
        <f t="shared" si="125"/>
        <v>8650</v>
      </c>
      <c r="D236" s="31"/>
      <c r="E236" s="32">
        <f t="shared" si="126"/>
        <v>130000</v>
      </c>
      <c r="F236" s="32"/>
      <c r="G236" s="32"/>
      <c r="H236" s="55">
        <f t="shared" si="127"/>
        <v>0</v>
      </c>
      <c r="I236" s="32">
        <f t="shared" si="128"/>
        <v>119300</v>
      </c>
      <c r="J236" s="30">
        <f t="shared" si="123"/>
        <v>19350</v>
      </c>
      <c r="K236" s="144" t="b">
        <f t="shared" si="124"/>
        <v>1</v>
      </c>
    </row>
    <row r="237" spans="1:11" x14ac:dyDescent="0.3">
      <c r="A237" s="122" t="str">
        <f t="shared" si="129"/>
        <v>MARS</v>
      </c>
      <c r="B237" s="127" t="s">
        <v>31</v>
      </c>
      <c r="C237" s="32">
        <f t="shared" si="125"/>
        <v>18325</v>
      </c>
      <c r="D237" s="31"/>
      <c r="E237" s="32">
        <f t="shared" si="126"/>
        <v>164000</v>
      </c>
      <c r="F237" s="32"/>
      <c r="G237" s="32"/>
      <c r="H237" s="55">
        <f t="shared" si="127"/>
        <v>0</v>
      </c>
      <c r="I237" s="32">
        <f t="shared" si="128"/>
        <v>156900</v>
      </c>
      <c r="J237" s="30">
        <f t="shared" si="123"/>
        <v>25425</v>
      </c>
      <c r="K237" s="144" t="b">
        <f t="shared" si="124"/>
        <v>1</v>
      </c>
    </row>
    <row r="238" spans="1:11" x14ac:dyDescent="0.3">
      <c r="A238" s="122" t="str">
        <f t="shared" si="129"/>
        <v>MARS</v>
      </c>
      <c r="B238" s="129" t="s">
        <v>84</v>
      </c>
      <c r="C238" s="120">
        <f>+C215</f>
        <v>233614</v>
      </c>
      <c r="D238" s="123"/>
      <c r="E238" s="120">
        <f>+D215</f>
        <v>0</v>
      </c>
      <c r="F238" s="137"/>
      <c r="G238" s="137"/>
      <c r="H238" s="155">
        <f>+F215</f>
        <v>0</v>
      </c>
      <c r="I238" s="120">
        <f>+E215</f>
        <v>0</v>
      </c>
      <c r="J238" s="121">
        <f>+SUM(C238:G238)-(H238+I238)</f>
        <v>233614</v>
      </c>
      <c r="K238" s="144" t="b">
        <f t="shared" si="124"/>
        <v>1</v>
      </c>
    </row>
    <row r="239" spans="1:11" x14ac:dyDescent="0.3">
      <c r="A239" s="122" t="str">
        <f t="shared" si="129"/>
        <v>MARS</v>
      </c>
      <c r="B239" s="129" t="s">
        <v>83</v>
      </c>
      <c r="C239" s="120">
        <f>+C216</f>
        <v>249769</v>
      </c>
      <c r="D239" s="123"/>
      <c r="E239" s="120">
        <f>+D216</f>
        <v>0</v>
      </c>
      <c r="F239" s="137"/>
      <c r="G239" s="137"/>
      <c r="H239" s="155">
        <f>+F216</f>
        <v>0</v>
      </c>
      <c r="I239" s="120">
        <f>+E216</f>
        <v>0</v>
      </c>
      <c r="J239" s="121">
        <f t="shared" ref="J239:J245" si="130">+SUM(C239:G239)-(H239+I239)</f>
        <v>249769</v>
      </c>
      <c r="K239" s="144" t="b">
        <f t="shared" si="124"/>
        <v>1</v>
      </c>
    </row>
    <row r="240" spans="1:11" x14ac:dyDescent="0.3">
      <c r="A240" s="122" t="str">
        <f t="shared" si="129"/>
        <v>MARS</v>
      </c>
      <c r="B240" s="127" t="s">
        <v>143</v>
      </c>
      <c r="C240" s="32">
        <f>+C217</f>
        <v>11250</v>
      </c>
      <c r="D240" s="31"/>
      <c r="E240" s="32">
        <f>+D217</f>
        <v>363000</v>
      </c>
      <c r="F240" s="32"/>
      <c r="G240" s="104"/>
      <c r="H240" s="55">
        <f>+F217</f>
        <v>25000</v>
      </c>
      <c r="I240" s="32">
        <f>+E217</f>
        <v>182650</v>
      </c>
      <c r="J240" s="30">
        <f t="shared" si="130"/>
        <v>166600</v>
      </c>
      <c r="K240" s="144" t="b">
        <f t="shared" si="124"/>
        <v>1</v>
      </c>
    </row>
    <row r="241" spans="1:16" x14ac:dyDescent="0.3">
      <c r="A241" s="122" t="str">
        <f t="shared" si="129"/>
        <v>MARS</v>
      </c>
      <c r="B241" s="127" t="s">
        <v>197</v>
      </c>
      <c r="C241" s="32">
        <f>+C218</f>
        <v>39355</v>
      </c>
      <c r="D241" s="31"/>
      <c r="E241" s="32">
        <f>+D218</f>
        <v>185000</v>
      </c>
      <c r="F241" s="32"/>
      <c r="G241" s="104"/>
      <c r="H241" s="55">
        <f>+F218</f>
        <v>8000</v>
      </c>
      <c r="I241" s="32">
        <f>+E218</f>
        <v>188350</v>
      </c>
      <c r="J241" s="30">
        <f t="shared" si="130"/>
        <v>28005</v>
      </c>
      <c r="K241" s="144" t="b">
        <f t="shared" si="124"/>
        <v>1</v>
      </c>
    </row>
    <row r="242" spans="1:16" x14ac:dyDescent="0.3">
      <c r="A242" s="122" t="str">
        <f>A241</f>
        <v>MARS</v>
      </c>
      <c r="B242" s="127" t="s">
        <v>93</v>
      </c>
      <c r="C242" s="32">
        <f t="shared" ref="C242:C245" si="131">+C219</f>
        <v>14300</v>
      </c>
      <c r="D242" s="31"/>
      <c r="E242" s="32">
        <f t="shared" ref="E242:E245" si="132">+D219</f>
        <v>35000</v>
      </c>
      <c r="F242" s="32"/>
      <c r="G242" s="104"/>
      <c r="H242" s="55">
        <f t="shared" ref="H242:H245" si="133">+F219</f>
        <v>0</v>
      </c>
      <c r="I242" s="32">
        <f t="shared" ref="I242:I245" si="134">+E219</f>
        <v>30500</v>
      </c>
      <c r="J242" s="30">
        <f t="shared" si="130"/>
        <v>18800</v>
      </c>
      <c r="K242" s="144" t="b">
        <f t="shared" si="124"/>
        <v>1</v>
      </c>
    </row>
    <row r="243" spans="1:16" x14ac:dyDescent="0.3">
      <c r="A243" s="122" t="str">
        <f t="shared" si="129"/>
        <v>MARS</v>
      </c>
      <c r="B243" s="127" t="s">
        <v>29</v>
      </c>
      <c r="C243" s="32">
        <f t="shared" si="131"/>
        <v>100600</v>
      </c>
      <c r="D243" s="31"/>
      <c r="E243" s="32">
        <f t="shared" si="132"/>
        <v>589000</v>
      </c>
      <c r="F243" s="32"/>
      <c r="G243" s="104"/>
      <c r="H243" s="55">
        <f t="shared" si="133"/>
        <v>0</v>
      </c>
      <c r="I243" s="32">
        <f t="shared" si="134"/>
        <v>453600</v>
      </c>
      <c r="J243" s="30">
        <f t="shared" si="130"/>
        <v>236000</v>
      </c>
      <c r="K243" s="144" t="b">
        <f t="shared" si="124"/>
        <v>1</v>
      </c>
    </row>
    <row r="244" spans="1:16" x14ac:dyDescent="0.3">
      <c r="A244" s="122" t="str">
        <f t="shared" si="129"/>
        <v>MARS</v>
      </c>
      <c r="B244" s="128" t="s">
        <v>269</v>
      </c>
      <c r="C244" s="32">
        <f t="shared" si="131"/>
        <v>208300</v>
      </c>
      <c r="D244" s="119"/>
      <c r="E244" s="32">
        <f t="shared" si="132"/>
        <v>805000</v>
      </c>
      <c r="F244" s="51"/>
      <c r="G244" s="138"/>
      <c r="H244" s="55">
        <f t="shared" si="133"/>
        <v>0</v>
      </c>
      <c r="I244" s="32">
        <f t="shared" si="134"/>
        <v>701600</v>
      </c>
      <c r="J244" s="30">
        <f t="shared" si="130"/>
        <v>311700</v>
      </c>
      <c r="K244" s="144" t="b">
        <f t="shared" si="124"/>
        <v>1</v>
      </c>
    </row>
    <row r="245" spans="1:16" x14ac:dyDescent="0.3">
      <c r="A245" s="122" t="str">
        <f t="shared" si="129"/>
        <v>MARS</v>
      </c>
      <c r="B245" s="128" t="s">
        <v>113</v>
      </c>
      <c r="C245" s="32">
        <f t="shared" si="131"/>
        <v>26676</v>
      </c>
      <c r="D245" s="119"/>
      <c r="E245" s="32">
        <f t="shared" si="132"/>
        <v>0</v>
      </c>
      <c r="F245" s="51"/>
      <c r="G245" s="138"/>
      <c r="H245" s="55">
        <f t="shared" si="133"/>
        <v>0</v>
      </c>
      <c r="I245" s="32">
        <f t="shared" si="134"/>
        <v>10000</v>
      </c>
      <c r="J245" s="30">
        <f t="shared" si="130"/>
        <v>16676</v>
      </c>
      <c r="K245" s="144" t="b">
        <f t="shared" si="124"/>
        <v>1</v>
      </c>
    </row>
    <row r="246" spans="1:16" x14ac:dyDescent="0.3">
      <c r="A246" s="34" t="s">
        <v>60</v>
      </c>
      <c r="B246" s="35"/>
      <c r="C246" s="35"/>
      <c r="D246" s="35"/>
      <c r="E246" s="35"/>
      <c r="F246" s="35"/>
      <c r="G246" s="35"/>
      <c r="H246" s="35"/>
      <c r="I246" s="35"/>
      <c r="J246" s="36"/>
      <c r="K246" s="143"/>
    </row>
    <row r="247" spans="1:16" x14ac:dyDescent="0.3">
      <c r="A247" s="122" t="str">
        <f>A245</f>
        <v>MARS</v>
      </c>
      <c r="B247" s="37" t="s">
        <v>61</v>
      </c>
      <c r="C247" s="38">
        <f>+C210</f>
        <v>925495</v>
      </c>
      <c r="D247" s="49"/>
      <c r="E247" s="49">
        <f>D210</f>
        <v>6008000</v>
      </c>
      <c r="F247" s="49"/>
      <c r="G247" s="125"/>
      <c r="H247" s="51">
        <f>+F210</f>
        <v>4242000</v>
      </c>
      <c r="I247" s="126">
        <f>+E210</f>
        <v>2280788</v>
      </c>
      <c r="J247" s="30">
        <f>+SUM(C247:G247)-(H247+I247)</f>
        <v>410707</v>
      </c>
      <c r="K247" s="144" t="b">
        <f>J247=I210</f>
        <v>1</v>
      </c>
    </row>
    <row r="248" spans="1:16" x14ac:dyDescent="0.3">
      <c r="A248" s="43" t="s">
        <v>62</v>
      </c>
      <c r="B248" s="24"/>
      <c r="C248" s="35"/>
      <c r="D248" s="24"/>
      <c r="E248" s="24"/>
      <c r="F248" s="24"/>
      <c r="G248" s="24"/>
      <c r="H248" s="24"/>
      <c r="I248" s="24"/>
      <c r="J248" s="36"/>
      <c r="K248" s="143"/>
    </row>
    <row r="249" spans="1:16" x14ac:dyDescent="0.3">
      <c r="A249" s="122" t="str">
        <f>+A247</f>
        <v>MARS</v>
      </c>
      <c r="B249" s="37" t="s">
        <v>24</v>
      </c>
      <c r="C249" s="125">
        <f>+C208</f>
        <v>4918207</v>
      </c>
      <c r="D249" s="132">
        <f>+G208</f>
        <v>17494973</v>
      </c>
      <c r="E249" s="49"/>
      <c r="F249" s="49"/>
      <c r="G249" s="49"/>
      <c r="H249" s="51">
        <f>+F208</f>
        <v>2000000</v>
      </c>
      <c r="I249" s="53">
        <f>+E208</f>
        <v>693345</v>
      </c>
      <c r="J249" s="30">
        <f>+SUM(C249:G249)-(H249+I249)</f>
        <v>19719835</v>
      </c>
      <c r="K249" s="144" t="b">
        <f>+J249=I208</f>
        <v>1</v>
      </c>
    </row>
    <row r="250" spans="1:16" x14ac:dyDescent="0.3">
      <c r="A250" s="122" t="str">
        <f t="shared" ref="A250" si="135">+A249</f>
        <v>MARS</v>
      </c>
      <c r="B250" s="37" t="s">
        <v>64</v>
      </c>
      <c r="C250" s="125">
        <f>+C209</f>
        <v>2231034</v>
      </c>
      <c r="D250" s="49">
        <f>+G209</f>
        <v>19110651</v>
      </c>
      <c r="E250" s="48"/>
      <c r="F250" s="48"/>
      <c r="G250" s="48"/>
      <c r="H250" s="32">
        <f>+F209</f>
        <v>4000000</v>
      </c>
      <c r="I250" s="50">
        <f>+E209</f>
        <v>2724801</v>
      </c>
      <c r="J250" s="30">
        <f>SUM(C250:G250)-(H250+I250)</f>
        <v>14616884</v>
      </c>
      <c r="K250" s="144" t="b">
        <f>+J250=I209</f>
        <v>1</v>
      </c>
    </row>
    <row r="251" spans="1:16" ht="15.6" x14ac:dyDescent="0.3">
      <c r="C251" s="141">
        <f>SUM(C234:C250)</f>
        <v>9139120</v>
      </c>
      <c r="I251" s="140">
        <f>SUM(I234:I250)</f>
        <v>9380259</v>
      </c>
      <c r="J251" s="105">
        <f>+SUM(J234:J250)</f>
        <v>36364485</v>
      </c>
      <c r="K251" s="5" t="b">
        <f>J251=I223</f>
        <v>1</v>
      </c>
    </row>
    <row r="252" spans="1:16" ht="15.6" x14ac:dyDescent="0.3">
      <c r="C252" s="141"/>
      <c r="I252" s="140"/>
      <c r="J252" s="105"/>
    </row>
    <row r="253" spans="1:16" ht="15.6" x14ac:dyDescent="0.3">
      <c r="A253" s="160"/>
      <c r="B253" s="160"/>
      <c r="C253" s="161"/>
      <c r="D253" s="160"/>
      <c r="E253" s="160"/>
      <c r="F253" s="160"/>
      <c r="G253" s="160"/>
      <c r="H253" s="160"/>
      <c r="I253" s="162"/>
      <c r="J253" s="163"/>
      <c r="K253" s="160"/>
      <c r="L253" s="164"/>
      <c r="M253" s="164"/>
      <c r="N253" s="164"/>
      <c r="O253" s="164"/>
      <c r="P253" s="160"/>
    </row>
    <row r="254" spans="1:16" ht="15.75" customHeight="1" x14ac:dyDescent="0.3"/>
    <row r="255" spans="1:16" ht="15.6" x14ac:dyDescent="0.3">
      <c r="A255" s="6" t="s">
        <v>36</v>
      </c>
      <c r="B255" s="6" t="s">
        <v>1</v>
      </c>
      <c r="C255" s="6">
        <v>44958</v>
      </c>
      <c r="D255" s="7" t="s">
        <v>37</v>
      </c>
      <c r="E255" s="7" t="s">
        <v>38</v>
      </c>
      <c r="F255" s="7" t="s">
        <v>39</v>
      </c>
      <c r="G255" s="7" t="s">
        <v>40</v>
      </c>
      <c r="H255" s="6">
        <v>44985</v>
      </c>
      <c r="I255" s="7" t="s">
        <v>41</v>
      </c>
      <c r="K255" s="45"/>
      <c r="L255" s="45" t="s">
        <v>42</v>
      </c>
      <c r="M255" s="45" t="s">
        <v>43</v>
      </c>
      <c r="N255" s="45" t="s">
        <v>44</v>
      </c>
      <c r="O255" s="45" t="s">
        <v>45</v>
      </c>
    </row>
    <row r="256" spans="1:16" x14ac:dyDescent="0.3">
      <c r="A256" s="58" t="str">
        <f>K256</f>
        <v>BCI</v>
      </c>
      <c r="B256" s="59" t="s">
        <v>46</v>
      </c>
      <c r="C256" s="61">
        <v>9351552</v>
      </c>
      <c r="D256" s="61">
        <f>+L256</f>
        <v>0</v>
      </c>
      <c r="E256" s="61">
        <f>+N256</f>
        <v>433345</v>
      </c>
      <c r="F256" s="61">
        <f>+M256</f>
        <v>4000000</v>
      </c>
      <c r="G256" s="61">
        <f t="shared" ref="G256:G266" si="136">+O256</f>
        <v>0</v>
      </c>
      <c r="H256" s="61">
        <v>4918207</v>
      </c>
      <c r="I256" s="61">
        <f>+C256+D256-E256-F256+G256</f>
        <v>4918207</v>
      </c>
      <c r="J256" s="9">
        <f>I256-H256</f>
        <v>0</v>
      </c>
      <c r="K256" s="45" t="s">
        <v>24</v>
      </c>
      <c r="L256" s="47">
        <v>0</v>
      </c>
      <c r="M256" s="47">
        <v>4000000</v>
      </c>
      <c r="N256" s="47">
        <v>433345</v>
      </c>
      <c r="O256" s="47">
        <v>0</v>
      </c>
    </row>
    <row r="257" spans="1:15" x14ac:dyDescent="0.3">
      <c r="A257" s="58" t="str">
        <f t="shared" ref="A257:A270" si="137">K257</f>
        <v>BCI-Sous Compte</v>
      </c>
      <c r="B257" s="59" t="s">
        <v>46</v>
      </c>
      <c r="C257" s="61">
        <v>6338553</v>
      </c>
      <c r="D257" s="61">
        <f t="shared" ref="D257:D268" si="138">+L257</f>
        <v>0</v>
      </c>
      <c r="E257" s="61">
        <f t="shared" ref="E257:E262" si="139">+N257</f>
        <v>4107519</v>
      </c>
      <c r="F257" s="61">
        <f t="shared" ref="F257:F265" si="140">+M257</f>
        <v>0</v>
      </c>
      <c r="G257" s="61">
        <f t="shared" si="136"/>
        <v>0</v>
      </c>
      <c r="H257" s="61">
        <v>2231034</v>
      </c>
      <c r="I257" s="61">
        <f>+C257+D257-E257-F257+G257</f>
        <v>2231034</v>
      </c>
      <c r="J257" s="9">
        <f t="shared" ref="J257:J264" si="141">I257-H257</f>
        <v>0</v>
      </c>
      <c r="K257" s="45" t="s">
        <v>148</v>
      </c>
      <c r="L257" s="46">
        <v>0</v>
      </c>
      <c r="M257" s="47">
        <v>0</v>
      </c>
      <c r="N257" s="47">
        <v>4107519</v>
      </c>
      <c r="O257" s="47">
        <v>0</v>
      </c>
    </row>
    <row r="258" spans="1:15" x14ac:dyDescent="0.3">
      <c r="A258" s="58" t="str">
        <f t="shared" si="137"/>
        <v>Caisse</v>
      </c>
      <c r="B258" s="59" t="s">
        <v>25</v>
      </c>
      <c r="C258" s="61">
        <v>899588</v>
      </c>
      <c r="D258" s="61">
        <f t="shared" si="138"/>
        <v>4313500</v>
      </c>
      <c r="E258" s="61">
        <f t="shared" si="139"/>
        <v>1771593</v>
      </c>
      <c r="F258" s="61">
        <f t="shared" si="140"/>
        <v>2516000</v>
      </c>
      <c r="G258" s="61">
        <f t="shared" si="136"/>
        <v>0</v>
      </c>
      <c r="H258" s="61">
        <v>925495</v>
      </c>
      <c r="I258" s="61">
        <f>+C258+D258-E258-F258+G258</f>
        <v>925495</v>
      </c>
      <c r="J258" s="102">
        <f t="shared" si="141"/>
        <v>0</v>
      </c>
      <c r="K258" s="45" t="s">
        <v>25</v>
      </c>
      <c r="L258" s="47">
        <v>4313500</v>
      </c>
      <c r="M258" s="47">
        <v>2516000</v>
      </c>
      <c r="N258" s="47">
        <v>1771593</v>
      </c>
      <c r="O258" s="47">
        <v>0</v>
      </c>
    </row>
    <row r="259" spans="1:15" x14ac:dyDescent="0.3">
      <c r="A259" s="58" t="str">
        <f t="shared" si="137"/>
        <v>Crépin</v>
      </c>
      <c r="B259" s="59" t="s">
        <v>154</v>
      </c>
      <c r="C259" s="61">
        <v>89205</v>
      </c>
      <c r="D259" s="61">
        <f t="shared" si="138"/>
        <v>337000</v>
      </c>
      <c r="E259" s="61">
        <f t="shared" si="139"/>
        <v>350160</v>
      </c>
      <c r="F259" s="61">
        <f t="shared" si="140"/>
        <v>30000</v>
      </c>
      <c r="G259" s="61">
        <f t="shared" si="136"/>
        <v>0</v>
      </c>
      <c r="H259" s="61">
        <v>46045</v>
      </c>
      <c r="I259" s="61">
        <f>+C259+D259-E259-F259+G259</f>
        <v>46045</v>
      </c>
      <c r="J259" s="9">
        <f t="shared" si="141"/>
        <v>0</v>
      </c>
      <c r="K259" s="45" t="s">
        <v>47</v>
      </c>
      <c r="L259" s="47">
        <v>337000</v>
      </c>
      <c r="M259" s="47">
        <v>30000</v>
      </c>
      <c r="N259" s="47">
        <v>350160</v>
      </c>
      <c r="O259" s="47">
        <v>0</v>
      </c>
    </row>
    <row r="260" spans="1:15" x14ac:dyDescent="0.3">
      <c r="A260" s="58" t="str">
        <f t="shared" si="137"/>
        <v>D58</v>
      </c>
      <c r="B260" s="59" t="s">
        <v>4</v>
      </c>
      <c r="C260" s="61">
        <v>18500</v>
      </c>
      <c r="D260" s="61">
        <f t="shared" si="138"/>
        <v>287000</v>
      </c>
      <c r="E260" s="61">
        <f t="shared" si="139"/>
        <v>198000</v>
      </c>
      <c r="F260" s="61">
        <f t="shared" si="140"/>
        <v>0</v>
      </c>
      <c r="G260" s="61">
        <f t="shared" si="136"/>
        <v>0</v>
      </c>
      <c r="H260" s="61">
        <v>107500</v>
      </c>
      <c r="I260" s="61">
        <f>+C260+D260-E260-F260+G260</f>
        <v>107500</v>
      </c>
      <c r="J260" s="9">
        <f t="shared" si="141"/>
        <v>0</v>
      </c>
      <c r="K260" s="45" t="s">
        <v>270</v>
      </c>
      <c r="L260" s="47">
        <v>287000</v>
      </c>
      <c r="M260" s="47">
        <v>0</v>
      </c>
      <c r="N260" s="47">
        <v>198000</v>
      </c>
      <c r="O260" s="47">
        <v>0</v>
      </c>
    </row>
    <row r="261" spans="1:15" x14ac:dyDescent="0.3">
      <c r="A261" s="58" t="str">
        <f t="shared" si="137"/>
        <v>Donald</v>
      </c>
      <c r="B261" s="59" t="s">
        <v>154</v>
      </c>
      <c r="C261" s="61">
        <v>10650</v>
      </c>
      <c r="D261" s="61">
        <f t="shared" si="138"/>
        <v>30000</v>
      </c>
      <c r="E261" s="61">
        <f t="shared" si="139"/>
        <v>32000</v>
      </c>
      <c r="F261" s="61">
        <f t="shared" si="140"/>
        <v>0</v>
      </c>
      <c r="G261" s="61">
        <f t="shared" si="136"/>
        <v>0</v>
      </c>
      <c r="H261" s="61">
        <v>8650</v>
      </c>
      <c r="I261" s="61">
        <f t="shared" ref="I261:I262" si="142">+C261+D261-E261-F261+G261</f>
        <v>8650</v>
      </c>
      <c r="J261" s="9">
        <f t="shared" si="141"/>
        <v>0</v>
      </c>
      <c r="K261" s="45" t="s">
        <v>256</v>
      </c>
      <c r="L261" s="47">
        <v>30000</v>
      </c>
      <c r="M261" s="47">
        <v>0</v>
      </c>
      <c r="N261" s="47">
        <v>32000</v>
      </c>
      <c r="O261" s="47">
        <v>0</v>
      </c>
    </row>
    <row r="262" spans="1:15" x14ac:dyDescent="0.3">
      <c r="A262" s="58" t="str">
        <f t="shared" si="137"/>
        <v>Evariste</v>
      </c>
      <c r="B262" s="59" t="s">
        <v>155</v>
      </c>
      <c r="C262" s="61">
        <v>8325</v>
      </c>
      <c r="D262" s="61">
        <f t="shared" si="138"/>
        <v>295000</v>
      </c>
      <c r="E262" s="61">
        <f t="shared" si="139"/>
        <v>135000</v>
      </c>
      <c r="F262" s="61">
        <f t="shared" si="140"/>
        <v>150000</v>
      </c>
      <c r="G262" s="61">
        <f t="shared" si="136"/>
        <v>0</v>
      </c>
      <c r="H262" s="61">
        <v>18325</v>
      </c>
      <c r="I262" s="61">
        <f t="shared" si="142"/>
        <v>18325</v>
      </c>
      <c r="J262" s="9">
        <f t="shared" si="141"/>
        <v>0</v>
      </c>
      <c r="K262" s="45" t="s">
        <v>31</v>
      </c>
      <c r="L262" s="47">
        <v>295000</v>
      </c>
      <c r="M262" s="47">
        <v>150000</v>
      </c>
      <c r="N262" s="47">
        <v>135000</v>
      </c>
      <c r="O262" s="47">
        <v>0</v>
      </c>
    </row>
    <row r="263" spans="1:15" x14ac:dyDescent="0.3">
      <c r="A263" s="58" t="str">
        <f t="shared" si="137"/>
        <v>I55S</v>
      </c>
      <c r="B263" s="116" t="s">
        <v>4</v>
      </c>
      <c r="C263" s="118">
        <v>233614</v>
      </c>
      <c r="D263" s="118">
        <f t="shared" si="138"/>
        <v>0</v>
      </c>
      <c r="E263" s="118">
        <f>+N263</f>
        <v>0</v>
      </c>
      <c r="F263" s="118">
        <f t="shared" si="140"/>
        <v>0</v>
      </c>
      <c r="G263" s="118">
        <f t="shared" si="136"/>
        <v>0</v>
      </c>
      <c r="H263" s="118">
        <v>233614</v>
      </c>
      <c r="I263" s="118">
        <f>+C263+D263-E263-F263+G263</f>
        <v>233614</v>
      </c>
      <c r="J263" s="9">
        <f t="shared" si="141"/>
        <v>0</v>
      </c>
      <c r="K263" s="45" t="s">
        <v>84</v>
      </c>
      <c r="L263" s="47">
        <v>0</v>
      </c>
      <c r="M263" s="47">
        <v>0</v>
      </c>
      <c r="N263" s="47">
        <v>0</v>
      </c>
      <c r="O263" s="47">
        <v>0</v>
      </c>
    </row>
    <row r="264" spans="1:15" x14ac:dyDescent="0.3">
      <c r="A264" s="58" t="str">
        <f t="shared" si="137"/>
        <v>I73X</v>
      </c>
      <c r="B264" s="116" t="s">
        <v>4</v>
      </c>
      <c r="C264" s="118">
        <v>249769</v>
      </c>
      <c r="D264" s="118">
        <f t="shared" si="138"/>
        <v>0</v>
      </c>
      <c r="E264" s="118">
        <f>+N264</f>
        <v>0</v>
      </c>
      <c r="F264" s="118">
        <f t="shared" si="140"/>
        <v>0</v>
      </c>
      <c r="G264" s="118">
        <f t="shared" si="136"/>
        <v>0</v>
      </c>
      <c r="H264" s="118">
        <v>249769</v>
      </c>
      <c r="I264" s="118">
        <f t="shared" ref="I264:I266" si="143">+C264+D264-E264-F264+G264</f>
        <v>249769</v>
      </c>
      <c r="J264" s="9">
        <f t="shared" si="141"/>
        <v>0</v>
      </c>
      <c r="K264" s="45" t="s">
        <v>83</v>
      </c>
      <c r="L264" s="47">
        <v>0</v>
      </c>
      <c r="M264" s="47">
        <v>0</v>
      </c>
      <c r="N264" s="47">
        <v>0</v>
      </c>
      <c r="O264" s="47">
        <v>0</v>
      </c>
    </row>
    <row r="265" spans="1:15" s="188" customFormat="1" ht="15.6" x14ac:dyDescent="0.3">
      <c r="A265" s="58" t="str">
        <f t="shared" si="137"/>
        <v>Grace</v>
      </c>
      <c r="B265" s="59" t="s">
        <v>2</v>
      </c>
      <c r="C265" s="184">
        <v>20750</v>
      </c>
      <c r="D265" s="61">
        <f t="shared" si="138"/>
        <v>0</v>
      </c>
      <c r="E265" s="61">
        <f t="shared" ref="E265" si="144">+N265</f>
        <v>9500</v>
      </c>
      <c r="F265" s="61">
        <f t="shared" si="140"/>
        <v>0</v>
      </c>
      <c r="G265" s="61">
        <f t="shared" si="136"/>
        <v>0</v>
      </c>
      <c r="H265" s="184">
        <v>11250</v>
      </c>
      <c r="I265" s="184">
        <f t="shared" si="143"/>
        <v>11250</v>
      </c>
      <c r="J265" s="185">
        <f>I265-H265</f>
        <v>0</v>
      </c>
      <c r="K265" s="186" t="s">
        <v>143</v>
      </c>
      <c r="L265" s="187">
        <v>0</v>
      </c>
      <c r="M265" s="187">
        <v>0</v>
      </c>
      <c r="N265" s="47">
        <v>9500</v>
      </c>
      <c r="O265" s="187">
        <v>0</v>
      </c>
    </row>
    <row r="266" spans="1:15" x14ac:dyDescent="0.3">
      <c r="A266" s="58" t="str">
        <f t="shared" si="137"/>
        <v>Hurielle</v>
      </c>
      <c r="B266" s="98" t="s">
        <v>154</v>
      </c>
      <c r="C266" s="61">
        <v>153550</v>
      </c>
      <c r="D266" s="61">
        <f t="shared" si="138"/>
        <v>628000</v>
      </c>
      <c r="E266" s="61">
        <f>+N266</f>
        <v>638695</v>
      </c>
      <c r="F266" s="61">
        <f>+M266</f>
        <v>103500</v>
      </c>
      <c r="G266" s="61">
        <f t="shared" si="136"/>
        <v>0</v>
      </c>
      <c r="H266" s="61">
        <v>39355</v>
      </c>
      <c r="I266" s="61">
        <f t="shared" si="143"/>
        <v>39355</v>
      </c>
      <c r="J266" s="9">
        <f t="shared" ref="J266" si="145">I266-H266</f>
        <v>0</v>
      </c>
      <c r="K266" s="45" t="s">
        <v>197</v>
      </c>
      <c r="L266" s="47">
        <v>628000</v>
      </c>
      <c r="M266" s="47">
        <v>103500</v>
      </c>
      <c r="N266" s="47">
        <v>638695</v>
      </c>
      <c r="O266" s="47">
        <v>0</v>
      </c>
    </row>
    <row r="267" spans="1:15" s="188" customFormat="1" ht="15.6" x14ac:dyDescent="0.3">
      <c r="A267" s="58" t="str">
        <f t="shared" si="137"/>
        <v>Merveille</v>
      </c>
      <c r="B267" s="59" t="s">
        <v>2</v>
      </c>
      <c r="C267" s="184">
        <v>70300</v>
      </c>
      <c r="D267" s="61">
        <f t="shared" si="138"/>
        <v>3000</v>
      </c>
      <c r="E267" s="61">
        <f t="shared" ref="E267:E270" si="146">+N267</f>
        <v>29000</v>
      </c>
      <c r="F267" s="61">
        <f t="shared" ref="F267:F270" si="147">+M267</f>
        <v>30000</v>
      </c>
      <c r="G267" s="61">
        <f t="shared" ref="G267:G270" si="148">+O267</f>
        <v>0</v>
      </c>
      <c r="H267" s="184">
        <v>14300</v>
      </c>
      <c r="I267" s="184">
        <f t="shared" ref="I267:I268" si="149">+C267+D267-E267-F267+G267</f>
        <v>14300</v>
      </c>
      <c r="J267" s="185">
        <f>I267-H267</f>
        <v>0</v>
      </c>
      <c r="K267" s="186" t="s">
        <v>93</v>
      </c>
      <c r="L267" s="187">
        <v>3000</v>
      </c>
      <c r="M267" s="187">
        <v>30000</v>
      </c>
      <c r="N267" s="47">
        <v>29000</v>
      </c>
      <c r="O267" s="187">
        <v>0</v>
      </c>
    </row>
    <row r="268" spans="1:15" x14ac:dyDescent="0.3">
      <c r="A268" s="58" t="str">
        <f t="shared" si="137"/>
        <v>P29</v>
      </c>
      <c r="B268" s="98" t="s">
        <v>4</v>
      </c>
      <c r="C268" s="61">
        <v>99100</v>
      </c>
      <c r="D268" s="61">
        <f t="shared" si="138"/>
        <v>224000</v>
      </c>
      <c r="E268" s="61">
        <f t="shared" si="146"/>
        <v>222500</v>
      </c>
      <c r="F268" s="61">
        <f t="shared" si="147"/>
        <v>0</v>
      </c>
      <c r="G268" s="61">
        <f t="shared" si="148"/>
        <v>0</v>
      </c>
      <c r="H268" s="61">
        <v>100600</v>
      </c>
      <c r="I268" s="61">
        <f t="shared" si="149"/>
        <v>100600</v>
      </c>
      <c r="J268" s="9">
        <f t="shared" ref="J268:J269" si="150">I268-H268</f>
        <v>0</v>
      </c>
      <c r="K268" s="45" t="s">
        <v>29</v>
      </c>
      <c r="L268" s="47">
        <v>224000</v>
      </c>
      <c r="M268" s="47">
        <v>0</v>
      </c>
      <c r="N268" s="47">
        <v>222500</v>
      </c>
      <c r="O268" s="47">
        <v>0</v>
      </c>
    </row>
    <row r="269" spans="1:15" ht="15.6" x14ac:dyDescent="0.3">
      <c r="A269" s="58" t="str">
        <f t="shared" si="137"/>
        <v>T73</v>
      </c>
      <c r="B269" s="59" t="s">
        <v>4</v>
      </c>
      <c r="C269" s="61">
        <v>13900</v>
      </c>
      <c r="D269" s="61">
        <f>+L269</f>
        <v>672000</v>
      </c>
      <c r="E269" s="61">
        <f t="shared" si="146"/>
        <v>477600</v>
      </c>
      <c r="F269" s="61">
        <f t="shared" si="147"/>
        <v>0</v>
      </c>
      <c r="G269" s="61">
        <f t="shared" si="148"/>
        <v>0</v>
      </c>
      <c r="H269" s="61">
        <v>208300</v>
      </c>
      <c r="I269" s="61">
        <f>+C269+D269-E269-F269+G269</f>
        <v>208300</v>
      </c>
      <c r="J269" s="9">
        <f t="shared" si="150"/>
        <v>0</v>
      </c>
      <c r="K269" s="45" t="s">
        <v>269</v>
      </c>
      <c r="L269" s="47">
        <v>672000</v>
      </c>
      <c r="M269" s="47">
        <v>0</v>
      </c>
      <c r="N269" s="187">
        <v>477600</v>
      </c>
      <c r="O269" s="47">
        <v>0</v>
      </c>
    </row>
    <row r="270" spans="1:15" x14ac:dyDescent="0.3">
      <c r="A270" s="58" t="str">
        <f t="shared" si="137"/>
        <v>Tiffany</v>
      </c>
      <c r="B270" s="59" t="s">
        <v>2</v>
      </c>
      <c r="C270" s="61">
        <v>-3324</v>
      </c>
      <c r="D270" s="61">
        <f t="shared" ref="D270" si="151">+L270</f>
        <v>40000</v>
      </c>
      <c r="E270" s="61">
        <f t="shared" si="146"/>
        <v>10000</v>
      </c>
      <c r="F270" s="61">
        <f t="shared" si="147"/>
        <v>0</v>
      </c>
      <c r="G270" s="61">
        <f t="shared" si="148"/>
        <v>0</v>
      </c>
      <c r="H270" s="61">
        <v>26676</v>
      </c>
      <c r="I270" s="61">
        <f>+C270+D270-E270-F270+G270</f>
        <v>26676</v>
      </c>
      <c r="J270" s="9">
        <f>I270-H270</f>
        <v>0</v>
      </c>
      <c r="K270" s="45" t="s">
        <v>113</v>
      </c>
      <c r="L270" s="47">
        <v>40000</v>
      </c>
      <c r="M270" s="47">
        <v>0</v>
      </c>
      <c r="N270" s="47">
        <v>10000</v>
      </c>
      <c r="O270" s="47">
        <v>0</v>
      </c>
    </row>
    <row r="271" spans="1:15" x14ac:dyDescent="0.3">
      <c r="A271" s="10" t="s">
        <v>50</v>
      </c>
      <c r="B271" s="11"/>
      <c r="C271" s="12">
        <f t="shared" ref="C271:I271" si="152">SUM(C256:C270)</f>
        <v>17554032</v>
      </c>
      <c r="D271" s="57">
        <f t="shared" si="152"/>
        <v>6829500</v>
      </c>
      <c r="E271" s="57">
        <f t="shared" si="152"/>
        <v>8414912</v>
      </c>
      <c r="F271" s="57">
        <f t="shared" si="152"/>
        <v>6829500</v>
      </c>
      <c r="G271" s="57">
        <f t="shared" si="152"/>
        <v>0</v>
      </c>
      <c r="H271" s="57">
        <f t="shared" si="152"/>
        <v>9139120</v>
      </c>
      <c r="I271" s="57">
        <f t="shared" si="152"/>
        <v>9139120</v>
      </c>
      <c r="J271" s="9">
        <f>I271-H271</f>
        <v>0</v>
      </c>
      <c r="K271" s="3"/>
      <c r="L271" s="47">
        <f>+SUM(L256:L270)</f>
        <v>6829500</v>
      </c>
      <c r="M271" s="47">
        <f>+SUM(M256:M270)</f>
        <v>6829500</v>
      </c>
      <c r="N271" s="47">
        <f>+SUM(N256:N270)</f>
        <v>8414912</v>
      </c>
      <c r="O271" s="47">
        <f>+SUM(O256:O270)</f>
        <v>0</v>
      </c>
    </row>
    <row r="272" spans="1:15" x14ac:dyDescent="0.3">
      <c r="A272" s="10"/>
      <c r="B272" s="11"/>
      <c r="C272" s="12"/>
      <c r="D272" s="13"/>
      <c r="E272" s="12"/>
      <c r="F272" s="13"/>
      <c r="G272" s="12"/>
      <c r="H272" s="12"/>
      <c r="I272" s="134" t="b">
        <f>I271=D274</f>
        <v>1</v>
      </c>
      <c r="J272" s="9">
        <f>H271-I271</f>
        <v>0</v>
      </c>
      <c r="L272" s="5"/>
      <c r="M272" s="5"/>
      <c r="N272" s="5"/>
      <c r="O272" s="5"/>
    </row>
    <row r="273" spans="1:11" x14ac:dyDescent="0.3">
      <c r="A273" s="10" t="s">
        <v>277</v>
      </c>
      <c r="B273" s="11" t="s">
        <v>183</v>
      </c>
      <c r="C273" s="12" t="s">
        <v>184</v>
      </c>
      <c r="D273" s="12" t="s">
        <v>278</v>
      </c>
      <c r="E273" s="12" t="s">
        <v>51</v>
      </c>
      <c r="F273" s="12"/>
      <c r="G273" s="12">
        <f>+D271-F271</f>
        <v>0</v>
      </c>
      <c r="H273" s="12"/>
      <c r="I273" s="12"/>
    </row>
    <row r="274" spans="1:11" x14ac:dyDescent="0.3">
      <c r="A274" s="14">
        <f>C271</f>
        <v>17554032</v>
      </c>
      <c r="B274" s="15">
        <f>G271</f>
        <v>0</v>
      </c>
      <c r="C274" s="12">
        <f>E271</f>
        <v>8414912</v>
      </c>
      <c r="D274" s="12">
        <f>A274+B274-C274</f>
        <v>9139120</v>
      </c>
      <c r="E274" s="13">
        <f>I271-D274</f>
        <v>0</v>
      </c>
      <c r="F274" s="12"/>
      <c r="G274" s="12"/>
      <c r="H274" s="12"/>
      <c r="I274" s="12"/>
    </row>
    <row r="275" spans="1:11" x14ac:dyDescent="0.3">
      <c r="A275" s="14"/>
      <c r="B275" s="15"/>
      <c r="C275" s="12"/>
      <c r="D275" s="12"/>
      <c r="E275" s="13"/>
      <c r="F275" s="12"/>
      <c r="G275" s="12"/>
      <c r="H275" s="12"/>
      <c r="I275" s="12"/>
    </row>
    <row r="276" spans="1:11" x14ac:dyDescent="0.3">
      <c r="A276" s="16" t="s">
        <v>52</v>
      </c>
      <c r="B276" s="16"/>
      <c r="C276" s="16"/>
      <c r="D276" s="17"/>
      <c r="E276" s="17"/>
      <c r="F276" s="17"/>
      <c r="G276" s="17"/>
      <c r="H276" s="17"/>
      <c r="I276" s="17"/>
    </row>
    <row r="277" spans="1:11" x14ac:dyDescent="0.3">
      <c r="A277" s="18" t="s">
        <v>287</v>
      </c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1" x14ac:dyDescent="0.3">
      <c r="A278" s="19"/>
      <c r="B278" s="17"/>
      <c r="C278" s="20"/>
      <c r="D278" s="20"/>
      <c r="E278" s="20"/>
      <c r="F278" s="20"/>
      <c r="G278" s="20"/>
      <c r="H278" s="17"/>
      <c r="I278" s="17"/>
    </row>
    <row r="279" spans="1:11" ht="45" customHeight="1" x14ac:dyDescent="0.3">
      <c r="A279" s="169" t="s">
        <v>53</v>
      </c>
      <c r="B279" s="171" t="s">
        <v>54</v>
      </c>
      <c r="C279" s="173" t="s">
        <v>280</v>
      </c>
      <c r="D279" s="174" t="s">
        <v>55</v>
      </c>
      <c r="E279" s="175"/>
      <c r="F279" s="175"/>
      <c r="G279" s="176"/>
      <c r="H279" s="177" t="s">
        <v>56</v>
      </c>
      <c r="I279" s="165" t="s">
        <v>57</v>
      </c>
      <c r="J279" s="212"/>
    </row>
    <row r="280" spans="1:11" ht="28.5" customHeight="1" x14ac:dyDescent="0.3">
      <c r="A280" s="170"/>
      <c r="B280" s="172"/>
      <c r="C280" s="22"/>
      <c r="D280" s="21" t="s">
        <v>24</v>
      </c>
      <c r="E280" s="21" t="s">
        <v>25</v>
      </c>
      <c r="F280" s="22" t="s">
        <v>123</v>
      </c>
      <c r="G280" s="21" t="s">
        <v>58</v>
      </c>
      <c r="H280" s="178"/>
      <c r="I280" s="166"/>
      <c r="J280" s="168" t="s">
        <v>279</v>
      </c>
      <c r="K280" s="143"/>
    </row>
    <row r="281" spans="1:11" x14ac:dyDescent="0.3">
      <c r="A281" s="23"/>
      <c r="B281" s="24" t="s">
        <v>59</v>
      </c>
      <c r="C281" s="25"/>
      <c r="D281" s="25"/>
      <c r="E281" s="25"/>
      <c r="F281" s="25"/>
      <c r="G281" s="25"/>
      <c r="H281" s="25"/>
      <c r="I281" s="26"/>
      <c r="J281" s="168"/>
      <c r="K281" s="143"/>
    </row>
    <row r="282" spans="1:11" x14ac:dyDescent="0.3">
      <c r="A282" s="122" t="s">
        <v>115</v>
      </c>
      <c r="B282" s="127" t="s">
        <v>47</v>
      </c>
      <c r="C282" s="32">
        <f>+C259</f>
        <v>89205</v>
      </c>
      <c r="D282" s="31"/>
      <c r="E282" s="32">
        <f>+D259</f>
        <v>337000</v>
      </c>
      <c r="F282" s="32"/>
      <c r="G282" s="32"/>
      <c r="H282" s="55">
        <f>+F259</f>
        <v>30000</v>
      </c>
      <c r="I282" s="32">
        <f>+E259</f>
        <v>350160</v>
      </c>
      <c r="J282" s="30">
        <f t="shared" ref="J282:J285" si="153">+SUM(C282:G282)-(H282+I282)</f>
        <v>46045</v>
      </c>
      <c r="K282" s="144" t="b">
        <f t="shared" ref="K282:K293" si="154">J282=I259</f>
        <v>1</v>
      </c>
    </row>
    <row r="283" spans="1:11" x14ac:dyDescent="0.3">
      <c r="A283" s="122" t="str">
        <f>+A282</f>
        <v>FEVRIER</v>
      </c>
      <c r="B283" s="127" t="s">
        <v>270</v>
      </c>
      <c r="C283" s="32">
        <f t="shared" ref="C283:C285" si="155">+C260</f>
        <v>18500</v>
      </c>
      <c r="D283" s="31"/>
      <c r="E283" s="32">
        <f t="shared" ref="E283:E285" si="156">+D260</f>
        <v>287000</v>
      </c>
      <c r="F283" s="32"/>
      <c r="G283" s="32"/>
      <c r="H283" s="55">
        <f t="shared" ref="H283:H285" si="157">+F260</f>
        <v>0</v>
      </c>
      <c r="I283" s="32">
        <f t="shared" ref="I283:I285" si="158">+E260</f>
        <v>198000</v>
      </c>
      <c r="J283" s="30">
        <f t="shared" si="153"/>
        <v>107500</v>
      </c>
      <c r="K283" s="144" t="b">
        <f t="shared" si="154"/>
        <v>1</v>
      </c>
    </row>
    <row r="284" spans="1:11" x14ac:dyDescent="0.3">
      <c r="A284" s="122" t="str">
        <f t="shared" ref="A284:A293" si="159">+A283</f>
        <v>FEVRIER</v>
      </c>
      <c r="B284" s="127" t="s">
        <v>256</v>
      </c>
      <c r="C284" s="32">
        <f t="shared" si="155"/>
        <v>10650</v>
      </c>
      <c r="D284" s="31"/>
      <c r="E284" s="32">
        <f t="shared" si="156"/>
        <v>30000</v>
      </c>
      <c r="F284" s="32"/>
      <c r="G284" s="32"/>
      <c r="H284" s="55">
        <f t="shared" si="157"/>
        <v>0</v>
      </c>
      <c r="I284" s="32">
        <f t="shared" si="158"/>
        <v>32000</v>
      </c>
      <c r="J284" s="30">
        <f t="shared" si="153"/>
        <v>8650</v>
      </c>
      <c r="K284" s="144" t="b">
        <f t="shared" si="154"/>
        <v>1</v>
      </c>
    </row>
    <row r="285" spans="1:11" x14ac:dyDescent="0.3">
      <c r="A285" s="122" t="str">
        <f t="shared" si="159"/>
        <v>FEVRIER</v>
      </c>
      <c r="B285" s="127" t="s">
        <v>31</v>
      </c>
      <c r="C285" s="32">
        <f t="shared" si="155"/>
        <v>8325</v>
      </c>
      <c r="D285" s="31"/>
      <c r="E285" s="32">
        <f t="shared" si="156"/>
        <v>295000</v>
      </c>
      <c r="F285" s="32"/>
      <c r="G285" s="32"/>
      <c r="H285" s="55">
        <f t="shared" si="157"/>
        <v>150000</v>
      </c>
      <c r="I285" s="32">
        <f t="shared" si="158"/>
        <v>135000</v>
      </c>
      <c r="J285" s="30">
        <f t="shared" si="153"/>
        <v>18325</v>
      </c>
      <c r="K285" s="144" t="b">
        <f t="shared" si="154"/>
        <v>1</v>
      </c>
    </row>
    <row r="286" spans="1:11" x14ac:dyDescent="0.3">
      <c r="A286" s="122" t="str">
        <f t="shared" si="159"/>
        <v>FEVRIER</v>
      </c>
      <c r="B286" s="129" t="s">
        <v>84</v>
      </c>
      <c r="C286" s="120">
        <f>+C263</f>
        <v>233614</v>
      </c>
      <c r="D286" s="123"/>
      <c r="E286" s="120">
        <f>+D263</f>
        <v>0</v>
      </c>
      <c r="F286" s="137"/>
      <c r="G286" s="137"/>
      <c r="H286" s="155">
        <f>+F263</f>
        <v>0</v>
      </c>
      <c r="I286" s="120">
        <f>+E263</f>
        <v>0</v>
      </c>
      <c r="J286" s="121">
        <f>+SUM(C286:G286)-(H286+I286)</f>
        <v>233614</v>
      </c>
      <c r="K286" s="144" t="b">
        <f t="shared" si="154"/>
        <v>1</v>
      </c>
    </row>
    <row r="287" spans="1:11" x14ac:dyDescent="0.3">
      <c r="A287" s="122" t="str">
        <f t="shared" si="159"/>
        <v>FEVRIER</v>
      </c>
      <c r="B287" s="129" t="s">
        <v>83</v>
      </c>
      <c r="C287" s="120">
        <f>+C264</f>
        <v>249769</v>
      </c>
      <c r="D287" s="123"/>
      <c r="E287" s="120">
        <f>+D264</f>
        <v>0</v>
      </c>
      <c r="F287" s="137"/>
      <c r="G287" s="137"/>
      <c r="H287" s="155">
        <f>+F264</f>
        <v>0</v>
      </c>
      <c r="I287" s="120">
        <f>+E264</f>
        <v>0</v>
      </c>
      <c r="J287" s="121">
        <f t="shared" ref="J287:J293" si="160">+SUM(C287:G287)-(H287+I287)</f>
        <v>249769</v>
      </c>
      <c r="K287" s="144" t="b">
        <f t="shared" si="154"/>
        <v>1</v>
      </c>
    </row>
    <row r="288" spans="1:11" x14ac:dyDescent="0.3">
      <c r="A288" s="122" t="str">
        <f t="shared" si="159"/>
        <v>FEVRIER</v>
      </c>
      <c r="B288" s="127" t="s">
        <v>143</v>
      </c>
      <c r="C288" s="32">
        <f>+C265</f>
        <v>20750</v>
      </c>
      <c r="D288" s="31"/>
      <c r="E288" s="32">
        <f>+D265</f>
        <v>0</v>
      </c>
      <c r="F288" s="32"/>
      <c r="G288" s="104"/>
      <c r="H288" s="55">
        <f>+F265</f>
        <v>0</v>
      </c>
      <c r="I288" s="32">
        <f>+E265</f>
        <v>9500</v>
      </c>
      <c r="J288" s="30">
        <f t="shared" si="160"/>
        <v>11250</v>
      </c>
      <c r="K288" s="144" t="b">
        <f t="shared" si="154"/>
        <v>1</v>
      </c>
    </row>
    <row r="289" spans="1:16" x14ac:dyDescent="0.3">
      <c r="A289" s="122" t="str">
        <f t="shared" si="159"/>
        <v>FEVRIER</v>
      </c>
      <c r="B289" s="127" t="s">
        <v>197</v>
      </c>
      <c r="C289" s="32">
        <f>+C266</f>
        <v>153550</v>
      </c>
      <c r="D289" s="31"/>
      <c r="E289" s="32">
        <f>+D266</f>
        <v>628000</v>
      </c>
      <c r="F289" s="32"/>
      <c r="G289" s="104"/>
      <c r="H289" s="55">
        <f>+F266</f>
        <v>103500</v>
      </c>
      <c r="I289" s="32">
        <f>+E266</f>
        <v>638695</v>
      </c>
      <c r="J289" s="30">
        <f t="shared" si="160"/>
        <v>39355</v>
      </c>
      <c r="K289" s="144" t="b">
        <f t="shared" si="154"/>
        <v>1</v>
      </c>
    </row>
    <row r="290" spans="1:16" x14ac:dyDescent="0.3">
      <c r="A290" s="122" t="str">
        <f>A289</f>
        <v>FEVRIER</v>
      </c>
      <c r="B290" s="127" t="s">
        <v>93</v>
      </c>
      <c r="C290" s="32">
        <f t="shared" ref="C290:C293" si="161">+C267</f>
        <v>70300</v>
      </c>
      <c r="D290" s="31"/>
      <c r="E290" s="32">
        <f t="shared" ref="E290:E293" si="162">+D267</f>
        <v>3000</v>
      </c>
      <c r="F290" s="32"/>
      <c r="G290" s="104"/>
      <c r="H290" s="55">
        <f t="shared" ref="H290:H293" si="163">+F267</f>
        <v>30000</v>
      </c>
      <c r="I290" s="32">
        <f t="shared" ref="I290:I293" si="164">+E267</f>
        <v>29000</v>
      </c>
      <c r="J290" s="30">
        <f t="shared" si="160"/>
        <v>14300</v>
      </c>
      <c r="K290" s="144" t="b">
        <f t="shared" si="154"/>
        <v>1</v>
      </c>
    </row>
    <row r="291" spans="1:16" x14ac:dyDescent="0.3">
      <c r="A291" s="122" t="str">
        <f t="shared" si="159"/>
        <v>FEVRIER</v>
      </c>
      <c r="B291" s="127" t="s">
        <v>29</v>
      </c>
      <c r="C291" s="32">
        <f t="shared" si="161"/>
        <v>99100</v>
      </c>
      <c r="D291" s="31"/>
      <c r="E291" s="32">
        <f t="shared" si="162"/>
        <v>224000</v>
      </c>
      <c r="F291" s="32"/>
      <c r="G291" s="104"/>
      <c r="H291" s="55">
        <f t="shared" si="163"/>
        <v>0</v>
      </c>
      <c r="I291" s="32">
        <f t="shared" si="164"/>
        <v>222500</v>
      </c>
      <c r="J291" s="30">
        <f t="shared" si="160"/>
        <v>100600</v>
      </c>
      <c r="K291" s="144" t="b">
        <f t="shared" si="154"/>
        <v>1</v>
      </c>
    </row>
    <row r="292" spans="1:16" x14ac:dyDescent="0.3">
      <c r="A292" s="122" t="str">
        <f t="shared" si="159"/>
        <v>FEVRIER</v>
      </c>
      <c r="B292" s="128" t="s">
        <v>269</v>
      </c>
      <c r="C292" s="32">
        <f t="shared" si="161"/>
        <v>13900</v>
      </c>
      <c r="D292" s="119"/>
      <c r="E292" s="32">
        <f t="shared" si="162"/>
        <v>672000</v>
      </c>
      <c r="F292" s="51"/>
      <c r="G292" s="138"/>
      <c r="H292" s="55">
        <f t="shared" si="163"/>
        <v>0</v>
      </c>
      <c r="I292" s="32">
        <f t="shared" si="164"/>
        <v>477600</v>
      </c>
      <c r="J292" s="30">
        <f t="shared" si="160"/>
        <v>208300</v>
      </c>
      <c r="K292" s="144" t="b">
        <f t="shared" si="154"/>
        <v>1</v>
      </c>
    </row>
    <row r="293" spans="1:16" x14ac:dyDescent="0.3">
      <c r="A293" s="122" t="str">
        <f t="shared" si="159"/>
        <v>FEVRIER</v>
      </c>
      <c r="B293" s="128" t="s">
        <v>113</v>
      </c>
      <c r="C293" s="32">
        <f t="shared" si="161"/>
        <v>-3324</v>
      </c>
      <c r="D293" s="119"/>
      <c r="E293" s="32">
        <f t="shared" si="162"/>
        <v>40000</v>
      </c>
      <c r="F293" s="51"/>
      <c r="G293" s="138"/>
      <c r="H293" s="55">
        <f t="shared" si="163"/>
        <v>0</v>
      </c>
      <c r="I293" s="32">
        <f t="shared" si="164"/>
        <v>10000</v>
      </c>
      <c r="J293" s="30">
        <f t="shared" si="160"/>
        <v>26676</v>
      </c>
      <c r="K293" s="144" t="b">
        <f t="shared" si="154"/>
        <v>1</v>
      </c>
    </row>
    <row r="294" spans="1:16" x14ac:dyDescent="0.3">
      <c r="A294" s="34" t="s">
        <v>60</v>
      </c>
      <c r="B294" s="35"/>
      <c r="C294" s="35"/>
      <c r="D294" s="35"/>
      <c r="E294" s="35"/>
      <c r="F294" s="35"/>
      <c r="G294" s="35"/>
      <c r="H294" s="35"/>
      <c r="I294" s="35"/>
      <c r="J294" s="36"/>
      <c r="K294" s="143"/>
    </row>
    <row r="295" spans="1:16" x14ac:dyDescent="0.3">
      <c r="A295" s="122" t="str">
        <f>A293</f>
        <v>FEVRIER</v>
      </c>
      <c r="B295" s="37" t="s">
        <v>61</v>
      </c>
      <c r="C295" s="38">
        <f>+C258</f>
        <v>899588</v>
      </c>
      <c r="D295" s="49"/>
      <c r="E295" s="49">
        <f>D258</f>
        <v>4313500</v>
      </c>
      <c r="F295" s="49"/>
      <c r="G295" s="125"/>
      <c r="H295" s="51">
        <f>+F258</f>
        <v>2516000</v>
      </c>
      <c r="I295" s="126">
        <f>+E258</f>
        <v>1771593</v>
      </c>
      <c r="J295" s="30">
        <f>+SUM(C295:G295)-(H295+I295)</f>
        <v>925495</v>
      </c>
      <c r="K295" s="144" t="b">
        <f>J295=I258</f>
        <v>1</v>
      </c>
    </row>
    <row r="296" spans="1:16" x14ac:dyDescent="0.3">
      <c r="A296" s="43" t="s">
        <v>62</v>
      </c>
      <c r="B296" s="24"/>
      <c r="C296" s="35"/>
      <c r="D296" s="24"/>
      <c r="E296" s="24"/>
      <c r="F296" s="24"/>
      <c r="G296" s="24"/>
      <c r="H296" s="24"/>
      <c r="I296" s="24"/>
      <c r="J296" s="36"/>
      <c r="K296" s="143"/>
    </row>
    <row r="297" spans="1:16" x14ac:dyDescent="0.3">
      <c r="A297" s="122" t="str">
        <f>+A295</f>
        <v>FEVRIER</v>
      </c>
      <c r="B297" s="37" t="s">
        <v>24</v>
      </c>
      <c r="C297" s="125">
        <f>+C256</f>
        <v>9351552</v>
      </c>
      <c r="D297" s="132">
        <f>+G256</f>
        <v>0</v>
      </c>
      <c r="E297" s="49"/>
      <c r="F297" s="49"/>
      <c r="G297" s="49"/>
      <c r="H297" s="51">
        <f>+F256</f>
        <v>4000000</v>
      </c>
      <c r="I297" s="53">
        <f>+E256</f>
        <v>433345</v>
      </c>
      <c r="J297" s="30">
        <f>+SUM(C297:G297)-(H297+I297)</f>
        <v>4918207</v>
      </c>
      <c r="K297" s="144" t="b">
        <f>+J297=I256</f>
        <v>1</v>
      </c>
    </row>
    <row r="298" spans="1:16" x14ac:dyDescent="0.3">
      <c r="A298" s="122" t="str">
        <f t="shared" ref="A298" si="165">+A297</f>
        <v>FEVRIER</v>
      </c>
      <c r="B298" s="37" t="s">
        <v>64</v>
      </c>
      <c r="C298" s="125">
        <f>+C257</f>
        <v>6338553</v>
      </c>
      <c r="D298" s="49">
        <f>+G257</f>
        <v>0</v>
      </c>
      <c r="E298" s="48"/>
      <c r="F298" s="48"/>
      <c r="G298" s="48"/>
      <c r="H298" s="32">
        <f>+F257</f>
        <v>0</v>
      </c>
      <c r="I298" s="50">
        <f>+E257</f>
        <v>4107519</v>
      </c>
      <c r="J298" s="30">
        <f>SUM(C298:G298)-(H298+I298)</f>
        <v>2231034</v>
      </c>
      <c r="K298" s="144" t="b">
        <f>+J298=I257</f>
        <v>1</v>
      </c>
    </row>
    <row r="299" spans="1:16" ht="15.6" x14ac:dyDescent="0.3">
      <c r="C299" s="141">
        <f>SUM(C282:C298)</f>
        <v>17554032</v>
      </c>
      <c r="I299" s="140">
        <f>SUM(I282:I298)</f>
        <v>8414912</v>
      </c>
      <c r="J299" s="105">
        <f>+SUM(J282:J298)</f>
        <v>9139120</v>
      </c>
      <c r="K299" s="5" t="b">
        <f>J299=I271</f>
        <v>1</v>
      </c>
    </row>
    <row r="300" spans="1:16" ht="15.6" x14ac:dyDescent="0.3">
      <c r="C300" s="141"/>
      <c r="I300" s="140"/>
      <c r="J300" s="105"/>
    </row>
    <row r="301" spans="1:16" ht="15.6" x14ac:dyDescent="0.3">
      <c r="A301" s="160"/>
      <c r="B301" s="160"/>
      <c r="C301" s="161"/>
      <c r="D301" s="160"/>
      <c r="E301" s="160"/>
      <c r="F301" s="160"/>
      <c r="G301" s="160"/>
      <c r="H301" s="160"/>
      <c r="I301" s="162"/>
      <c r="J301" s="163"/>
      <c r="K301" s="160"/>
      <c r="L301" s="164"/>
      <c r="M301" s="164"/>
      <c r="N301" s="164"/>
      <c r="O301" s="164"/>
      <c r="P301" s="160"/>
    </row>
    <row r="302" spans="1:16" ht="15.75" customHeight="1" x14ac:dyDescent="0.3"/>
    <row r="303" spans="1:16" ht="15.6" x14ac:dyDescent="0.3">
      <c r="A303" s="6" t="s">
        <v>36</v>
      </c>
      <c r="B303" s="6" t="s">
        <v>1</v>
      </c>
      <c r="C303" s="6">
        <v>44927</v>
      </c>
      <c r="D303" s="7" t="s">
        <v>37</v>
      </c>
      <c r="E303" s="7" t="s">
        <v>38</v>
      </c>
      <c r="F303" s="7" t="s">
        <v>39</v>
      </c>
      <c r="G303" s="7" t="s">
        <v>40</v>
      </c>
      <c r="H303" s="6">
        <v>44957</v>
      </c>
      <c r="I303" s="7" t="s">
        <v>41</v>
      </c>
      <c r="K303" s="45"/>
      <c r="L303" s="45" t="s">
        <v>42</v>
      </c>
      <c r="M303" s="45" t="s">
        <v>43</v>
      </c>
      <c r="N303" s="45" t="s">
        <v>44</v>
      </c>
      <c r="O303" s="45" t="s">
        <v>45</v>
      </c>
    </row>
    <row r="304" spans="1:16" x14ac:dyDescent="0.3">
      <c r="A304" s="58" t="str">
        <f>K304</f>
        <v>BCI</v>
      </c>
      <c r="B304" s="59" t="s">
        <v>46</v>
      </c>
      <c r="C304" s="61">
        <v>13524897</v>
      </c>
      <c r="D304" s="61">
        <f>+L304</f>
        <v>0</v>
      </c>
      <c r="E304" s="61">
        <f>+N304</f>
        <v>173345</v>
      </c>
      <c r="F304" s="61">
        <f>+M304</f>
        <v>4000000</v>
      </c>
      <c r="G304" s="61">
        <f t="shared" ref="G304:G319" si="166">+O304</f>
        <v>0</v>
      </c>
      <c r="H304" s="61">
        <v>9351552</v>
      </c>
      <c r="I304" s="61">
        <f>+C304+D304-E304-F304+G304</f>
        <v>9351552</v>
      </c>
      <c r="J304" s="9">
        <f>I304-H304</f>
        <v>0</v>
      </c>
      <c r="K304" s="45" t="s">
        <v>24</v>
      </c>
      <c r="L304" s="47">
        <v>0</v>
      </c>
      <c r="M304" s="47">
        <v>4000000</v>
      </c>
      <c r="N304" s="47">
        <v>173345</v>
      </c>
      <c r="O304" s="47">
        <v>0</v>
      </c>
    </row>
    <row r="305" spans="1:15" x14ac:dyDescent="0.3">
      <c r="A305" s="58" t="str">
        <f t="shared" ref="A305:A319" si="167">K305</f>
        <v>BCI-Sous Compte</v>
      </c>
      <c r="B305" s="59" t="s">
        <v>46</v>
      </c>
      <c r="C305" s="61">
        <v>2476363</v>
      </c>
      <c r="D305" s="61">
        <f t="shared" ref="D305:D317" si="168">+L305</f>
        <v>0</v>
      </c>
      <c r="E305" s="61">
        <f t="shared" ref="E305:E310" si="169">+N305</f>
        <v>4873189</v>
      </c>
      <c r="F305" s="61">
        <f t="shared" ref="F305:F313" si="170">+M305</f>
        <v>0</v>
      </c>
      <c r="G305" s="61">
        <f t="shared" si="166"/>
        <v>8735379</v>
      </c>
      <c r="H305" s="61">
        <v>6338553</v>
      </c>
      <c r="I305" s="61">
        <f>+C305+D305-E305-F305+G305</f>
        <v>6338553</v>
      </c>
      <c r="J305" s="9">
        <f t="shared" ref="J305:J312" si="171">I305-H305</f>
        <v>0</v>
      </c>
      <c r="K305" s="45" t="s">
        <v>148</v>
      </c>
      <c r="L305" s="46">
        <v>0</v>
      </c>
      <c r="M305" s="47">
        <v>0</v>
      </c>
      <c r="N305" s="47">
        <v>4873189</v>
      </c>
      <c r="O305" s="47">
        <v>8735379</v>
      </c>
    </row>
    <row r="306" spans="1:15" x14ac:dyDescent="0.3">
      <c r="A306" s="58" t="str">
        <f t="shared" si="167"/>
        <v>Caisse</v>
      </c>
      <c r="B306" s="59" t="s">
        <v>25</v>
      </c>
      <c r="C306" s="61">
        <v>1335599</v>
      </c>
      <c r="D306" s="61">
        <f t="shared" si="168"/>
        <v>4277000</v>
      </c>
      <c r="E306" s="61">
        <f t="shared" si="169"/>
        <v>2382011</v>
      </c>
      <c r="F306" s="61">
        <f t="shared" si="170"/>
        <v>2331000</v>
      </c>
      <c r="G306" s="61">
        <f t="shared" si="166"/>
        <v>0</v>
      </c>
      <c r="H306" s="61">
        <v>899588</v>
      </c>
      <c r="I306" s="61">
        <f>+C306+D306-E306-F306+G306</f>
        <v>899588</v>
      </c>
      <c r="J306" s="102">
        <f t="shared" si="171"/>
        <v>0</v>
      </c>
      <c r="K306" s="45" t="s">
        <v>25</v>
      </c>
      <c r="L306" s="47">
        <v>4277000</v>
      </c>
      <c r="M306" s="47">
        <v>2331000</v>
      </c>
      <c r="N306" s="47">
        <v>2382011</v>
      </c>
      <c r="O306" s="47">
        <v>0</v>
      </c>
    </row>
    <row r="307" spans="1:15" x14ac:dyDescent="0.3">
      <c r="A307" s="58" t="str">
        <f t="shared" si="167"/>
        <v>Crépin</v>
      </c>
      <c r="B307" s="59" t="s">
        <v>154</v>
      </c>
      <c r="C307" s="61">
        <v>89205</v>
      </c>
      <c r="D307" s="61">
        <f t="shared" si="168"/>
        <v>0</v>
      </c>
      <c r="E307" s="61">
        <f t="shared" si="169"/>
        <v>0</v>
      </c>
      <c r="F307" s="61">
        <f t="shared" si="170"/>
        <v>0</v>
      </c>
      <c r="G307" s="61">
        <f t="shared" si="166"/>
        <v>0</v>
      </c>
      <c r="H307" s="61">
        <v>89205</v>
      </c>
      <c r="I307" s="61">
        <f>+C307+D307-E307-F307+G307</f>
        <v>89205</v>
      </c>
      <c r="J307" s="9">
        <f t="shared" si="171"/>
        <v>0</v>
      </c>
      <c r="K307" s="45" t="s">
        <v>47</v>
      </c>
      <c r="L307" s="47">
        <v>0</v>
      </c>
      <c r="M307" s="47">
        <v>0</v>
      </c>
      <c r="N307" s="47">
        <v>0</v>
      </c>
      <c r="O307" s="47">
        <v>0</v>
      </c>
    </row>
    <row r="308" spans="1:15" x14ac:dyDescent="0.3">
      <c r="A308" s="58" t="str">
        <f t="shared" si="167"/>
        <v>D58</v>
      </c>
      <c r="B308" s="59" t="s">
        <v>4</v>
      </c>
      <c r="C308" s="61">
        <v>0</v>
      </c>
      <c r="D308" s="61">
        <f t="shared" si="168"/>
        <v>85000</v>
      </c>
      <c r="E308" s="61">
        <f t="shared" si="169"/>
        <v>66500</v>
      </c>
      <c r="F308" s="61">
        <f t="shared" si="170"/>
        <v>0</v>
      </c>
      <c r="G308" s="61">
        <f t="shared" si="166"/>
        <v>0</v>
      </c>
      <c r="H308" s="61">
        <v>18500</v>
      </c>
      <c r="I308" s="61">
        <f>+C308+D308-E308-F308+G308</f>
        <v>18500</v>
      </c>
      <c r="J308" s="9">
        <f t="shared" si="171"/>
        <v>0</v>
      </c>
      <c r="K308" s="45" t="s">
        <v>270</v>
      </c>
      <c r="L308" s="47">
        <v>85000</v>
      </c>
      <c r="M308" s="47">
        <v>0</v>
      </c>
      <c r="N308" s="47">
        <v>66500</v>
      </c>
      <c r="O308" s="47">
        <v>0</v>
      </c>
    </row>
    <row r="309" spans="1:15" x14ac:dyDescent="0.3">
      <c r="A309" s="58" t="str">
        <f t="shared" si="167"/>
        <v>Donald</v>
      </c>
      <c r="B309" s="59" t="s">
        <v>154</v>
      </c>
      <c r="C309" s="61">
        <v>236200</v>
      </c>
      <c r="D309" s="61">
        <f t="shared" si="168"/>
        <v>264000</v>
      </c>
      <c r="E309" s="61">
        <f t="shared" si="169"/>
        <v>279550</v>
      </c>
      <c r="F309" s="61">
        <f t="shared" si="170"/>
        <v>210000</v>
      </c>
      <c r="G309" s="61">
        <f t="shared" si="166"/>
        <v>0</v>
      </c>
      <c r="H309" s="61">
        <v>10650</v>
      </c>
      <c r="I309" s="61">
        <f t="shared" ref="I309:I310" si="172">+C309+D309-E309-F309+G309</f>
        <v>10650</v>
      </c>
      <c r="J309" s="9">
        <f t="shared" si="171"/>
        <v>0</v>
      </c>
      <c r="K309" s="45" t="s">
        <v>256</v>
      </c>
      <c r="L309" s="47">
        <v>264000</v>
      </c>
      <c r="M309" s="47">
        <v>210000</v>
      </c>
      <c r="N309" s="47">
        <v>279550</v>
      </c>
      <c r="O309" s="47">
        <v>0</v>
      </c>
    </row>
    <row r="310" spans="1:15" x14ac:dyDescent="0.3">
      <c r="A310" s="58" t="str">
        <f t="shared" si="167"/>
        <v>Evariste</v>
      </c>
      <c r="B310" s="59" t="s">
        <v>155</v>
      </c>
      <c r="C310" s="61">
        <v>11675</v>
      </c>
      <c r="D310" s="61">
        <f t="shared" si="168"/>
        <v>187000</v>
      </c>
      <c r="E310" s="61">
        <f t="shared" si="169"/>
        <v>190350</v>
      </c>
      <c r="F310" s="61">
        <f t="shared" si="170"/>
        <v>0</v>
      </c>
      <c r="G310" s="61">
        <f t="shared" si="166"/>
        <v>0</v>
      </c>
      <c r="H310" s="61">
        <v>8325</v>
      </c>
      <c r="I310" s="61">
        <f t="shared" si="172"/>
        <v>8325</v>
      </c>
      <c r="J310" s="9">
        <f t="shared" si="171"/>
        <v>0</v>
      </c>
      <c r="K310" s="45" t="s">
        <v>31</v>
      </c>
      <c r="L310" s="47">
        <v>187000</v>
      </c>
      <c r="M310" s="47">
        <v>0</v>
      </c>
      <c r="N310" s="47">
        <v>190350</v>
      </c>
      <c r="O310" s="47">
        <v>0</v>
      </c>
    </row>
    <row r="311" spans="1:15" x14ac:dyDescent="0.3">
      <c r="A311" s="58" t="str">
        <f t="shared" si="167"/>
        <v>I55S</v>
      </c>
      <c r="B311" s="116" t="s">
        <v>4</v>
      </c>
      <c r="C311" s="118">
        <v>233614</v>
      </c>
      <c r="D311" s="118">
        <f t="shared" si="168"/>
        <v>0</v>
      </c>
      <c r="E311" s="118">
        <f>+N311</f>
        <v>0</v>
      </c>
      <c r="F311" s="118">
        <f t="shared" si="170"/>
        <v>0</v>
      </c>
      <c r="G311" s="118">
        <f t="shared" si="166"/>
        <v>0</v>
      </c>
      <c r="H311" s="118">
        <v>233614</v>
      </c>
      <c r="I311" s="118">
        <f>+C311+D311-E311-F311+G311</f>
        <v>233614</v>
      </c>
      <c r="J311" s="9">
        <f t="shared" si="171"/>
        <v>0</v>
      </c>
      <c r="K311" s="45" t="s">
        <v>84</v>
      </c>
      <c r="L311" s="47">
        <v>0</v>
      </c>
      <c r="M311" s="47">
        <v>0</v>
      </c>
      <c r="N311" s="47">
        <v>0</v>
      </c>
      <c r="O311" s="47">
        <v>0</v>
      </c>
    </row>
    <row r="312" spans="1:15" x14ac:dyDescent="0.3">
      <c r="A312" s="58" t="str">
        <f t="shared" si="167"/>
        <v>I73X</v>
      </c>
      <c r="B312" s="116" t="s">
        <v>4</v>
      </c>
      <c r="C312" s="118">
        <v>249769</v>
      </c>
      <c r="D312" s="118">
        <f t="shared" si="168"/>
        <v>0</v>
      </c>
      <c r="E312" s="118">
        <f>+N312</f>
        <v>0</v>
      </c>
      <c r="F312" s="118">
        <f t="shared" si="170"/>
        <v>0</v>
      </c>
      <c r="G312" s="118">
        <f t="shared" si="166"/>
        <v>0</v>
      </c>
      <c r="H312" s="118">
        <v>249769</v>
      </c>
      <c r="I312" s="118">
        <f t="shared" ref="I312:I317" si="173">+C312+D312-E312-F312+G312</f>
        <v>249769</v>
      </c>
      <c r="J312" s="9">
        <f t="shared" si="171"/>
        <v>0</v>
      </c>
      <c r="K312" s="45" t="s">
        <v>83</v>
      </c>
      <c r="L312" s="47">
        <v>0</v>
      </c>
      <c r="M312" s="47">
        <v>0</v>
      </c>
      <c r="N312" s="47">
        <v>0</v>
      </c>
      <c r="O312" s="47">
        <v>0</v>
      </c>
    </row>
    <row r="313" spans="1:15" s="188" customFormat="1" ht="15.6" x14ac:dyDescent="0.3">
      <c r="A313" s="58" t="str">
        <f t="shared" si="167"/>
        <v>Grace</v>
      </c>
      <c r="B313" s="59" t="s">
        <v>2</v>
      </c>
      <c r="C313" s="61">
        <v>11800</v>
      </c>
      <c r="D313" s="61">
        <f t="shared" si="168"/>
        <v>639000</v>
      </c>
      <c r="E313" s="61">
        <f t="shared" ref="E313" si="174">+N313</f>
        <v>437050</v>
      </c>
      <c r="F313" s="61">
        <f t="shared" si="170"/>
        <v>193000</v>
      </c>
      <c r="G313" s="61">
        <f t="shared" si="166"/>
        <v>0</v>
      </c>
      <c r="H313" s="184">
        <v>20750</v>
      </c>
      <c r="I313" s="184">
        <f t="shared" si="173"/>
        <v>20750</v>
      </c>
      <c r="J313" s="185">
        <f>I313-H313</f>
        <v>0</v>
      </c>
      <c r="K313" s="186" t="s">
        <v>143</v>
      </c>
      <c r="L313" s="187">
        <v>639000</v>
      </c>
      <c r="M313" s="187">
        <v>193000</v>
      </c>
      <c r="N313" s="47">
        <v>437050</v>
      </c>
      <c r="O313" s="187">
        <v>0</v>
      </c>
    </row>
    <row r="314" spans="1:15" x14ac:dyDescent="0.3">
      <c r="A314" s="58" t="str">
        <f t="shared" si="167"/>
        <v>Hurielle</v>
      </c>
      <c r="B314" s="98" t="s">
        <v>154</v>
      </c>
      <c r="C314" s="61">
        <v>18750</v>
      </c>
      <c r="D314" s="61">
        <f t="shared" si="168"/>
        <v>517000</v>
      </c>
      <c r="E314" s="61">
        <f>+N314</f>
        <v>335200</v>
      </c>
      <c r="F314" s="61">
        <f>+M314</f>
        <v>47000</v>
      </c>
      <c r="G314" s="61">
        <f t="shared" si="166"/>
        <v>0</v>
      </c>
      <c r="H314" s="61">
        <v>153550</v>
      </c>
      <c r="I314" s="61">
        <f t="shared" si="173"/>
        <v>153550</v>
      </c>
      <c r="J314" s="9">
        <f t="shared" ref="J314" si="175">I314-H314</f>
        <v>0</v>
      </c>
      <c r="K314" s="45" t="s">
        <v>197</v>
      </c>
      <c r="L314" s="47">
        <v>517000</v>
      </c>
      <c r="M314" s="47">
        <v>47000</v>
      </c>
      <c r="N314" s="47">
        <v>335200</v>
      </c>
      <c r="O314" s="47">
        <v>0</v>
      </c>
    </row>
    <row r="315" spans="1:15" x14ac:dyDescent="0.3">
      <c r="A315" s="58" t="str">
        <f t="shared" si="167"/>
        <v>Man Love</v>
      </c>
      <c r="B315" s="98" t="s">
        <v>154</v>
      </c>
      <c r="C315" s="61">
        <v>0</v>
      </c>
      <c r="D315" s="61">
        <f t="shared" si="168"/>
        <v>6000</v>
      </c>
      <c r="E315" s="61">
        <f>+N315</f>
        <v>6000</v>
      </c>
      <c r="F315" s="61">
        <f>+M315</f>
        <v>0</v>
      </c>
      <c r="G315" s="61"/>
      <c r="H315" s="61">
        <v>0</v>
      </c>
      <c r="I315" s="61">
        <v>0</v>
      </c>
      <c r="J315" s="9"/>
      <c r="K315" s="45" t="s">
        <v>271</v>
      </c>
      <c r="L315" s="47">
        <v>6000</v>
      </c>
      <c r="M315" s="47">
        <v>0</v>
      </c>
      <c r="N315" s="47">
        <v>6000</v>
      </c>
      <c r="O315" s="47"/>
    </row>
    <row r="316" spans="1:15" s="188" customFormat="1" ht="15.6" x14ac:dyDescent="0.3">
      <c r="A316" s="58" t="str">
        <f t="shared" si="167"/>
        <v>Merveille</v>
      </c>
      <c r="B316" s="59" t="s">
        <v>2</v>
      </c>
      <c r="C316" s="61">
        <v>-2900</v>
      </c>
      <c r="D316" s="61">
        <f t="shared" si="168"/>
        <v>218000</v>
      </c>
      <c r="E316" s="61">
        <f t="shared" ref="E316:E319" si="176">+N316</f>
        <v>124800</v>
      </c>
      <c r="F316" s="61">
        <f t="shared" ref="F316:F319" si="177">+M316</f>
        <v>20000</v>
      </c>
      <c r="G316" s="61">
        <f t="shared" si="166"/>
        <v>0</v>
      </c>
      <c r="H316" s="184">
        <v>70300</v>
      </c>
      <c r="I316" s="184">
        <f t="shared" si="173"/>
        <v>70300</v>
      </c>
      <c r="J316" s="185">
        <f>I316-H316</f>
        <v>0</v>
      </c>
      <c r="K316" s="186" t="s">
        <v>93</v>
      </c>
      <c r="L316" s="187">
        <v>218000</v>
      </c>
      <c r="M316" s="187">
        <v>20000</v>
      </c>
      <c r="N316" s="47">
        <v>124800</v>
      </c>
      <c r="O316" s="187">
        <v>0</v>
      </c>
    </row>
    <row r="317" spans="1:15" x14ac:dyDescent="0.3">
      <c r="A317" s="58" t="str">
        <f t="shared" si="167"/>
        <v>P29</v>
      </c>
      <c r="B317" s="98" t="s">
        <v>4</v>
      </c>
      <c r="C317" s="61">
        <v>148600</v>
      </c>
      <c r="D317" s="61">
        <f t="shared" si="168"/>
        <v>375000</v>
      </c>
      <c r="E317" s="61">
        <f t="shared" si="176"/>
        <v>424500</v>
      </c>
      <c r="F317" s="61">
        <f t="shared" si="177"/>
        <v>0</v>
      </c>
      <c r="G317" s="61">
        <f t="shared" si="166"/>
        <v>0</v>
      </c>
      <c r="H317" s="61">
        <v>99100</v>
      </c>
      <c r="I317" s="61">
        <f t="shared" si="173"/>
        <v>99100</v>
      </c>
      <c r="J317" s="9">
        <f t="shared" ref="J317:J318" si="178">I317-H317</f>
        <v>0</v>
      </c>
      <c r="K317" s="45" t="s">
        <v>29</v>
      </c>
      <c r="L317" s="47">
        <v>375000</v>
      </c>
      <c r="M317" s="47">
        <v>0</v>
      </c>
      <c r="N317" s="47">
        <v>424500</v>
      </c>
      <c r="O317" s="47">
        <v>0</v>
      </c>
    </row>
    <row r="318" spans="1:15" ht="15.6" x14ac:dyDescent="0.3">
      <c r="A318" s="58" t="str">
        <f t="shared" si="167"/>
        <v>T73</v>
      </c>
      <c r="B318" s="59" t="s">
        <v>4</v>
      </c>
      <c r="C318" s="61">
        <v>0</v>
      </c>
      <c r="D318" s="61">
        <f>+L318</f>
        <v>85000</v>
      </c>
      <c r="E318" s="61">
        <f t="shared" si="176"/>
        <v>71100</v>
      </c>
      <c r="F318" s="61">
        <f t="shared" si="177"/>
        <v>0</v>
      </c>
      <c r="G318" s="61">
        <f t="shared" si="166"/>
        <v>0</v>
      </c>
      <c r="H318" s="61">
        <v>13900</v>
      </c>
      <c r="I318" s="61">
        <f>+C318+D318-E318-F318+G318</f>
        <v>13900</v>
      </c>
      <c r="J318" s="9">
        <f t="shared" si="178"/>
        <v>0</v>
      </c>
      <c r="K318" s="45" t="s">
        <v>269</v>
      </c>
      <c r="L318" s="47">
        <v>85000</v>
      </c>
      <c r="M318" s="47">
        <v>0</v>
      </c>
      <c r="N318" s="187">
        <v>71100</v>
      </c>
      <c r="O318" s="47">
        <v>0</v>
      </c>
    </row>
    <row r="319" spans="1:15" x14ac:dyDescent="0.3">
      <c r="A319" s="58" t="str">
        <f t="shared" si="167"/>
        <v>Tiffany</v>
      </c>
      <c r="B319" s="59" t="s">
        <v>2</v>
      </c>
      <c r="C319" s="61">
        <v>-10174</v>
      </c>
      <c r="D319" s="61">
        <f t="shared" ref="D319" si="179">+L319</f>
        <v>198000</v>
      </c>
      <c r="E319" s="61">
        <f t="shared" si="176"/>
        <v>141150</v>
      </c>
      <c r="F319" s="61">
        <f t="shared" si="177"/>
        <v>50000</v>
      </c>
      <c r="G319" s="61">
        <f t="shared" si="166"/>
        <v>0</v>
      </c>
      <c r="H319" s="61">
        <v>-3324</v>
      </c>
      <c r="I319" s="61">
        <f>+C319+D319-E319-F319+G319</f>
        <v>-3324</v>
      </c>
      <c r="J319" s="9">
        <f>I319-H319</f>
        <v>0</v>
      </c>
      <c r="K319" s="45" t="s">
        <v>113</v>
      </c>
      <c r="L319" s="47">
        <v>198000</v>
      </c>
      <c r="M319" s="47">
        <v>50000</v>
      </c>
      <c r="N319" s="47">
        <v>141150</v>
      </c>
      <c r="O319" s="47">
        <v>0</v>
      </c>
    </row>
    <row r="320" spans="1:15" x14ac:dyDescent="0.3">
      <c r="A320" s="10" t="s">
        <v>50</v>
      </c>
      <c r="B320" s="11"/>
      <c r="C320" s="12">
        <f t="shared" ref="C320:I320" si="180">SUM(C304:C319)</f>
        <v>18323398</v>
      </c>
      <c r="D320" s="57">
        <f t="shared" si="180"/>
        <v>6851000</v>
      </c>
      <c r="E320" s="57">
        <f t="shared" si="180"/>
        <v>9504745</v>
      </c>
      <c r="F320" s="57">
        <f t="shared" si="180"/>
        <v>6851000</v>
      </c>
      <c r="G320" s="57">
        <f t="shared" si="180"/>
        <v>8735379</v>
      </c>
      <c r="H320" s="57">
        <f t="shared" si="180"/>
        <v>17554032</v>
      </c>
      <c r="I320" s="57">
        <f t="shared" si="180"/>
        <v>17554032</v>
      </c>
      <c r="J320" s="9">
        <f>I320-H320</f>
        <v>0</v>
      </c>
      <c r="K320" s="3"/>
      <c r="L320" s="47">
        <f>+SUM(L304:L319)</f>
        <v>6851000</v>
      </c>
      <c r="M320" s="47">
        <f>+SUM(M304:M319)</f>
        <v>6851000</v>
      </c>
      <c r="N320" s="47">
        <f>+SUM(N304:N319)</f>
        <v>9504745</v>
      </c>
      <c r="O320" s="47">
        <f>+SUM(O304:O319)</f>
        <v>8735379</v>
      </c>
    </row>
    <row r="321" spans="1:15" x14ac:dyDescent="0.3">
      <c r="A321" s="10"/>
      <c r="B321" s="11"/>
      <c r="C321" s="12"/>
      <c r="D321" s="13"/>
      <c r="E321" s="12"/>
      <c r="F321" s="13"/>
      <c r="G321" s="12"/>
      <c r="H321" s="12"/>
      <c r="I321" s="134" t="b">
        <f>I320=D323</f>
        <v>1</v>
      </c>
      <c r="J321" s="9">
        <f>H320-I320</f>
        <v>0</v>
      </c>
      <c r="L321" s="5"/>
      <c r="M321" s="5"/>
      <c r="N321" s="5"/>
      <c r="O321" s="5"/>
    </row>
    <row r="322" spans="1:15" x14ac:dyDescent="0.3">
      <c r="A322" s="10" t="s">
        <v>272</v>
      </c>
      <c r="B322" s="11" t="s">
        <v>177</v>
      </c>
      <c r="C322" s="12" t="s">
        <v>176</v>
      </c>
      <c r="D322" s="12" t="s">
        <v>273</v>
      </c>
      <c r="E322" s="12" t="s">
        <v>51</v>
      </c>
      <c r="F322" s="12"/>
      <c r="G322" s="12">
        <f>+D320-F320</f>
        <v>0</v>
      </c>
      <c r="H322" s="12"/>
      <c r="I322" s="12"/>
    </row>
    <row r="323" spans="1:15" x14ac:dyDescent="0.3">
      <c r="A323" s="14">
        <f>C320</f>
        <v>18323398</v>
      </c>
      <c r="B323" s="15">
        <f>G320</f>
        <v>8735379</v>
      </c>
      <c r="C323" s="12">
        <f>E320</f>
        <v>9504745</v>
      </c>
      <c r="D323" s="12">
        <f>A323+B323-C323</f>
        <v>17554032</v>
      </c>
      <c r="E323" s="13">
        <f>I320-D323</f>
        <v>0</v>
      </c>
      <c r="F323" s="12"/>
      <c r="G323" s="12"/>
      <c r="H323" s="12"/>
      <c r="I323" s="12"/>
    </row>
    <row r="324" spans="1:15" x14ac:dyDescent="0.3">
      <c r="A324" s="14"/>
      <c r="B324" s="15"/>
      <c r="C324" s="12"/>
      <c r="D324" s="12"/>
      <c r="E324" s="13"/>
      <c r="F324" s="12"/>
      <c r="G324" s="12"/>
      <c r="H324" s="12"/>
      <c r="I324" s="12"/>
    </row>
    <row r="325" spans="1:15" x14ac:dyDescent="0.3">
      <c r="A325" s="16" t="s">
        <v>52</v>
      </c>
      <c r="B325" s="16"/>
      <c r="C325" s="16"/>
      <c r="D325" s="17"/>
      <c r="E325" s="17"/>
      <c r="F325" s="17"/>
      <c r="G325" s="17"/>
      <c r="H325" s="17"/>
      <c r="I325" s="17"/>
    </row>
    <row r="326" spans="1:15" x14ac:dyDescent="0.3">
      <c r="A326" s="18" t="s">
        <v>274</v>
      </c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5" x14ac:dyDescent="0.3">
      <c r="A327" s="19"/>
      <c r="B327" s="17"/>
      <c r="C327" s="20"/>
      <c r="D327" s="20"/>
      <c r="E327" s="20"/>
      <c r="F327" s="20"/>
      <c r="G327" s="20"/>
      <c r="H327" s="17"/>
      <c r="I327" s="17"/>
    </row>
    <row r="328" spans="1:15" ht="45" customHeight="1" x14ac:dyDescent="0.3">
      <c r="A328" s="169" t="s">
        <v>53</v>
      </c>
      <c r="B328" s="171" t="s">
        <v>54</v>
      </c>
      <c r="C328" s="173" t="s">
        <v>275</v>
      </c>
      <c r="D328" s="174" t="s">
        <v>55</v>
      </c>
      <c r="E328" s="175"/>
      <c r="F328" s="175"/>
      <c r="G328" s="176"/>
      <c r="H328" s="177" t="s">
        <v>56</v>
      </c>
      <c r="I328" s="165" t="s">
        <v>57</v>
      </c>
      <c r="J328" s="212"/>
    </row>
    <row r="329" spans="1:15" ht="28.5" customHeight="1" x14ac:dyDescent="0.3">
      <c r="A329" s="170"/>
      <c r="B329" s="172"/>
      <c r="C329" s="22"/>
      <c r="D329" s="21" t="s">
        <v>24</v>
      </c>
      <c r="E329" s="21" t="s">
        <v>25</v>
      </c>
      <c r="F329" s="22" t="s">
        <v>123</v>
      </c>
      <c r="G329" s="21" t="s">
        <v>58</v>
      </c>
      <c r="H329" s="178"/>
      <c r="I329" s="166"/>
      <c r="J329" s="168" t="s">
        <v>276</v>
      </c>
      <c r="K329" s="143"/>
    </row>
    <row r="330" spans="1:15" x14ac:dyDescent="0.3">
      <c r="A330" s="23"/>
      <c r="B330" s="24" t="s">
        <v>59</v>
      </c>
      <c r="C330" s="25"/>
      <c r="D330" s="25"/>
      <c r="E330" s="25"/>
      <c r="F330" s="25"/>
      <c r="G330" s="25"/>
      <c r="H330" s="25"/>
      <c r="I330" s="26"/>
      <c r="J330" s="168"/>
      <c r="K330" s="143"/>
    </row>
    <row r="331" spans="1:15" x14ac:dyDescent="0.3">
      <c r="A331" s="122" t="s">
        <v>108</v>
      </c>
      <c r="B331" s="127" t="s">
        <v>47</v>
      </c>
      <c r="C331" s="32">
        <f>+C307</f>
        <v>89205</v>
      </c>
      <c r="D331" s="31"/>
      <c r="E331" s="32">
        <f>+D307</f>
        <v>0</v>
      </c>
      <c r="F331" s="32"/>
      <c r="G331" s="32"/>
      <c r="H331" s="55">
        <f>+F307</f>
        <v>0</v>
      </c>
      <c r="I331" s="32">
        <f>+E307</f>
        <v>0</v>
      </c>
      <c r="J331" s="30">
        <f t="shared" ref="J331:J334" si="181">+SUM(C331:G331)-(H331+I331)</f>
        <v>89205</v>
      </c>
      <c r="K331" s="144" t="b">
        <f>J331=I307</f>
        <v>1</v>
      </c>
    </row>
    <row r="332" spans="1:15" x14ac:dyDescent="0.3">
      <c r="A332" s="122" t="str">
        <f>+A331</f>
        <v>JANVIER</v>
      </c>
      <c r="B332" s="127" t="s">
        <v>270</v>
      </c>
      <c r="C332" s="32">
        <f t="shared" ref="C332:C334" si="182">+C308</f>
        <v>0</v>
      </c>
      <c r="D332" s="31"/>
      <c r="E332" s="32">
        <f t="shared" ref="E332:E334" si="183">+D308</f>
        <v>85000</v>
      </c>
      <c r="F332" s="32"/>
      <c r="G332" s="32"/>
      <c r="H332" s="55">
        <f t="shared" ref="H332:H334" si="184">+F308</f>
        <v>0</v>
      </c>
      <c r="I332" s="32">
        <f t="shared" ref="I332:I334" si="185">+E308</f>
        <v>66500</v>
      </c>
      <c r="J332" s="30">
        <f t="shared" si="181"/>
        <v>18500</v>
      </c>
      <c r="K332" s="144" t="b">
        <f>J332=I308</f>
        <v>1</v>
      </c>
    </row>
    <row r="333" spans="1:15" x14ac:dyDescent="0.3">
      <c r="A333" s="122" t="str">
        <f t="shared" ref="A333:A343" si="186">+A332</f>
        <v>JANVIER</v>
      </c>
      <c r="B333" s="127" t="s">
        <v>256</v>
      </c>
      <c r="C333" s="32">
        <f t="shared" si="182"/>
        <v>236200</v>
      </c>
      <c r="D333" s="31"/>
      <c r="E333" s="32">
        <f t="shared" si="183"/>
        <v>264000</v>
      </c>
      <c r="F333" s="32"/>
      <c r="G333" s="32"/>
      <c r="H333" s="55">
        <f t="shared" si="184"/>
        <v>210000</v>
      </c>
      <c r="I333" s="32">
        <f t="shared" si="185"/>
        <v>279550</v>
      </c>
      <c r="J333" s="30">
        <f t="shared" si="181"/>
        <v>10650</v>
      </c>
      <c r="K333" s="144" t="b">
        <f t="shared" ref="K333:K343" si="187">J333=I309</f>
        <v>1</v>
      </c>
    </row>
    <row r="334" spans="1:15" x14ac:dyDescent="0.3">
      <c r="A334" s="122" t="str">
        <f t="shared" si="186"/>
        <v>JANVIER</v>
      </c>
      <c r="B334" s="127" t="s">
        <v>31</v>
      </c>
      <c r="C334" s="32">
        <f t="shared" si="182"/>
        <v>11675</v>
      </c>
      <c r="D334" s="31"/>
      <c r="E334" s="32">
        <f t="shared" si="183"/>
        <v>187000</v>
      </c>
      <c r="F334" s="32"/>
      <c r="G334" s="32"/>
      <c r="H334" s="55">
        <f t="shared" si="184"/>
        <v>0</v>
      </c>
      <c r="I334" s="32">
        <f t="shared" si="185"/>
        <v>190350</v>
      </c>
      <c r="J334" s="30">
        <f t="shared" si="181"/>
        <v>8325</v>
      </c>
      <c r="K334" s="144" t="b">
        <f t="shared" si="187"/>
        <v>1</v>
      </c>
    </row>
    <row r="335" spans="1:15" x14ac:dyDescent="0.3">
      <c r="A335" s="122" t="str">
        <f t="shared" si="186"/>
        <v>JANVIER</v>
      </c>
      <c r="B335" s="129" t="s">
        <v>84</v>
      </c>
      <c r="C335" s="120">
        <f>+C311</f>
        <v>233614</v>
      </c>
      <c r="D335" s="123"/>
      <c r="E335" s="120">
        <f>+D311</f>
        <v>0</v>
      </c>
      <c r="F335" s="137"/>
      <c r="G335" s="137"/>
      <c r="H335" s="155">
        <f>+F311</f>
        <v>0</v>
      </c>
      <c r="I335" s="120">
        <f>+E311</f>
        <v>0</v>
      </c>
      <c r="J335" s="121">
        <f>+SUM(C335:G335)-(H335+I335)</f>
        <v>233614</v>
      </c>
      <c r="K335" s="144" t="b">
        <f t="shared" si="187"/>
        <v>1</v>
      </c>
    </row>
    <row r="336" spans="1:15" x14ac:dyDescent="0.3">
      <c r="A336" s="122" t="str">
        <f t="shared" si="186"/>
        <v>JANVIER</v>
      </c>
      <c r="B336" s="129" t="s">
        <v>83</v>
      </c>
      <c r="C336" s="120">
        <f>+C312</f>
        <v>249769</v>
      </c>
      <c r="D336" s="123"/>
      <c r="E336" s="120">
        <f>+D312</f>
        <v>0</v>
      </c>
      <c r="F336" s="137"/>
      <c r="G336" s="137"/>
      <c r="H336" s="155">
        <f>+F312</f>
        <v>0</v>
      </c>
      <c r="I336" s="120">
        <f>+E312</f>
        <v>0</v>
      </c>
      <c r="J336" s="121">
        <f t="shared" ref="J336:J343" si="188">+SUM(C336:G336)-(H336+I336)</f>
        <v>249769</v>
      </c>
      <c r="K336" s="144" t="b">
        <f t="shared" si="187"/>
        <v>1</v>
      </c>
    </row>
    <row r="337" spans="1:16" x14ac:dyDescent="0.3">
      <c r="A337" s="122" t="str">
        <f t="shared" si="186"/>
        <v>JANVIER</v>
      </c>
      <c r="B337" s="127" t="s">
        <v>143</v>
      </c>
      <c r="C337" s="32">
        <f>+C313</f>
        <v>11800</v>
      </c>
      <c r="D337" s="31"/>
      <c r="E337" s="32">
        <f>+D313</f>
        <v>639000</v>
      </c>
      <c r="F337" s="32"/>
      <c r="G337" s="104"/>
      <c r="H337" s="55">
        <f>+F313</f>
        <v>193000</v>
      </c>
      <c r="I337" s="32">
        <f>+E313</f>
        <v>437050</v>
      </c>
      <c r="J337" s="30">
        <f t="shared" si="188"/>
        <v>20750</v>
      </c>
      <c r="K337" s="144" t="b">
        <f t="shared" si="187"/>
        <v>1</v>
      </c>
    </row>
    <row r="338" spans="1:16" x14ac:dyDescent="0.3">
      <c r="A338" s="122" t="str">
        <f t="shared" si="186"/>
        <v>JANVIER</v>
      </c>
      <c r="B338" s="127" t="s">
        <v>197</v>
      </c>
      <c r="C338" s="32">
        <f t="shared" ref="C338:C343" si="189">+C314</f>
        <v>18750</v>
      </c>
      <c r="D338" s="31"/>
      <c r="E338" s="32">
        <f t="shared" ref="E338:E343" si="190">+D314</f>
        <v>517000</v>
      </c>
      <c r="F338" s="32"/>
      <c r="G338" s="104"/>
      <c r="H338" s="55">
        <f t="shared" ref="H338:H343" si="191">+F314</f>
        <v>47000</v>
      </c>
      <c r="I338" s="32">
        <f t="shared" ref="I338:I343" si="192">+E314</f>
        <v>335200</v>
      </c>
      <c r="J338" s="30">
        <f t="shared" si="188"/>
        <v>153550</v>
      </c>
      <c r="K338" s="144" t="b">
        <f t="shared" si="187"/>
        <v>1</v>
      </c>
    </row>
    <row r="339" spans="1:16" x14ac:dyDescent="0.3">
      <c r="A339" s="122" t="str">
        <f t="shared" si="186"/>
        <v>JANVIER</v>
      </c>
      <c r="B339" s="127" t="s">
        <v>271</v>
      </c>
      <c r="C339" s="32">
        <f t="shared" si="189"/>
        <v>0</v>
      </c>
      <c r="D339" s="31"/>
      <c r="E339" s="32">
        <f t="shared" si="190"/>
        <v>6000</v>
      </c>
      <c r="F339" s="32"/>
      <c r="G339" s="104"/>
      <c r="H339" s="55">
        <f t="shared" si="191"/>
        <v>0</v>
      </c>
      <c r="I339" s="32">
        <f t="shared" si="192"/>
        <v>6000</v>
      </c>
      <c r="J339" s="30">
        <f t="shared" si="188"/>
        <v>0</v>
      </c>
      <c r="K339" s="144" t="b">
        <f t="shared" si="187"/>
        <v>1</v>
      </c>
    </row>
    <row r="340" spans="1:16" x14ac:dyDescent="0.3">
      <c r="A340" s="122" t="str">
        <f t="shared" si="186"/>
        <v>JANVIER</v>
      </c>
      <c r="B340" s="127" t="s">
        <v>93</v>
      </c>
      <c r="C340" s="32">
        <f t="shared" si="189"/>
        <v>-2900</v>
      </c>
      <c r="D340" s="31"/>
      <c r="E340" s="32">
        <f t="shared" si="190"/>
        <v>218000</v>
      </c>
      <c r="F340" s="32"/>
      <c r="G340" s="104"/>
      <c r="H340" s="55">
        <f t="shared" si="191"/>
        <v>20000</v>
      </c>
      <c r="I340" s="32">
        <f t="shared" si="192"/>
        <v>124800</v>
      </c>
      <c r="J340" s="30">
        <f t="shared" si="188"/>
        <v>70300</v>
      </c>
      <c r="K340" s="144" t="b">
        <f t="shared" si="187"/>
        <v>1</v>
      </c>
    </row>
    <row r="341" spans="1:16" x14ac:dyDescent="0.3">
      <c r="A341" s="122" t="str">
        <f t="shared" si="186"/>
        <v>JANVIER</v>
      </c>
      <c r="B341" s="127" t="s">
        <v>29</v>
      </c>
      <c r="C341" s="32">
        <f t="shared" si="189"/>
        <v>148600</v>
      </c>
      <c r="D341" s="31"/>
      <c r="E341" s="32">
        <f t="shared" si="190"/>
        <v>375000</v>
      </c>
      <c r="F341" s="32"/>
      <c r="G341" s="104"/>
      <c r="H341" s="55">
        <f t="shared" si="191"/>
        <v>0</v>
      </c>
      <c r="I341" s="32">
        <f t="shared" si="192"/>
        <v>424500</v>
      </c>
      <c r="J341" s="30">
        <f t="shared" si="188"/>
        <v>99100</v>
      </c>
      <c r="K341" s="144" t="b">
        <f t="shared" si="187"/>
        <v>1</v>
      </c>
    </row>
    <row r="342" spans="1:16" x14ac:dyDescent="0.3">
      <c r="A342" s="122" t="str">
        <f t="shared" si="186"/>
        <v>JANVIER</v>
      </c>
      <c r="B342" s="128" t="s">
        <v>269</v>
      </c>
      <c r="C342" s="32">
        <f t="shared" si="189"/>
        <v>0</v>
      </c>
      <c r="D342" s="119"/>
      <c r="E342" s="32">
        <f t="shared" si="190"/>
        <v>85000</v>
      </c>
      <c r="F342" s="51"/>
      <c r="G342" s="138"/>
      <c r="H342" s="55">
        <f t="shared" si="191"/>
        <v>0</v>
      </c>
      <c r="I342" s="32">
        <f t="shared" si="192"/>
        <v>71100</v>
      </c>
      <c r="J342" s="30">
        <f t="shared" ref="J342" si="193">+SUM(C342:G342)-(H342+I342)</f>
        <v>13900</v>
      </c>
      <c r="K342" s="144" t="b">
        <f t="shared" si="187"/>
        <v>1</v>
      </c>
    </row>
    <row r="343" spans="1:16" x14ac:dyDescent="0.3">
      <c r="A343" s="122" t="str">
        <f t="shared" si="186"/>
        <v>JANVIER</v>
      </c>
      <c r="B343" s="128" t="s">
        <v>113</v>
      </c>
      <c r="C343" s="32">
        <f t="shared" si="189"/>
        <v>-10174</v>
      </c>
      <c r="D343" s="119"/>
      <c r="E343" s="32">
        <f t="shared" si="190"/>
        <v>198000</v>
      </c>
      <c r="F343" s="51"/>
      <c r="G343" s="138"/>
      <c r="H343" s="55">
        <f t="shared" si="191"/>
        <v>50000</v>
      </c>
      <c r="I343" s="32">
        <f t="shared" si="192"/>
        <v>141150</v>
      </c>
      <c r="J343" s="30">
        <f t="shared" si="188"/>
        <v>-3324</v>
      </c>
      <c r="K343" s="144" t="b">
        <f t="shared" si="187"/>
        <v>1</v>
      </c>
    </row>
    <row r="344" spans="1:16" x14ac:dyDescent="0.3">
      <c r="A344" s="34" t="s">
        <v>60</v>
      </c>
      <c r="B344" s="35"/>
      <c r="C344" s="35"/>
      <c r="D344" s="35"/>
      <c r="E344" s="35"/>
      <c r="F344" s="35"/>
      <c r="G344" s="35"/>
      <c r="H344" s="35"/>
      <c r="I344" s="35"/>
      <c r="J344" s="36"/>
      <c r="K344" s="143"/>
    </row>
    <row r="345" spans="1:16" x14ac:dyDescent="0.3">
      <c r="A345" s="122" t="str">
        <f>A343</f>
        <v>JANVIER</v>
      </c>
      <c r="B345" s="37" t="s">
        <v>61</v>
      </c>
      <c r="C345" s="38">
        <f>+C306</f>
        <v>1335599</v>
      </c>
      <c r="D345" s="49"/>
      <c r="E345" s="49">
        <f>D306</f>
        <v>4277000</v>
      </c>
      <c r="F345" s="49"/>
      <c r="G345" s="125"/>
      <c r="H345" s="51">
        <f>+F306</f>
        <v>2331000</v>
      </c>
      <c r="I345" s="126">
        <f>+E306</f>
        <v>2382011</v>
      </c>
      <c r="J345" s="30">
        <f>+SUM(C345:G345)-(H345+I345)</f>
        <v>899588</v>
      </c>
      <c r="K345" s="144" t="b">
        <f>J345=I306</f>
        <v>1</v>
      </c>
    </row>
    <row r="346" spans="1:16" x14ac:dyDescent="0.3">
      <c r="A346" s="43" t="s">
        <v>62</v>
      </c>
      <c r="B346" s="24"/>
      <c r="C346" s="35"/>
      <c r="D346" s="24"/>
      <c r="E346" s="24"/>
      <c r="F346" s="24"/>
      <c r="G346" s="24"/>
      <c r="H346" s="24"/>
      <c r="I346" s="24"/>
      <c r="J346" s="36"/>
      <c r="K346" s="143"/>
    </row>
    <row r="347" spans="1:16" x14ac:dyDescent="0.3">
      <c r="A347" s="122" t="str">
        <f>+A345</f>
        <v>JANVIER</v>
      </c>
      <c r="B347" s="37" t="s">
        <v>24</v>
      </c>
      <c r="C347" s="125">
        <f>+C304</f>
        <v>13524897</v>
      </c>
      <c r="D347" s="132">
        <f>+G304</f>
        <v>0</v>
      </c>
      <c r="E347" s="49"/>
      <c r="F347" s="49"/>
      <c r="G347" s="49"/>
      <c r="H347" s="51">
        <f>+F304</f>
        <v>4000000</v>
      </c>
      <c r="I347" s="53">
        <f>+E304</f>
        <v>173345</v>
      </c>
      <c r="J347" s="30">
        <f>+SUM(C347:G347)-(H347+I347)</f>
        <v>9351552</v>
      </c>
      <c r="K347" s="144" t="b">
        <f>+J347=I304</f>
        <v>1</v>
      </c>
    </row>
    <row r="348" spans="1:16" x14ac:dyDescent="0.3">
      <c r="A348" s="122" t="str">
        <f t="shared" ref="A348" si="194">+A347</f>
        <v>JANVIER</v>
      </c>
      <c r="B348" s="37" t="s">
        <v>64</v>
      </c>
      <c r="C348" s="125">
        <f>+C305</f>
        <v>2476363</v>
      </c>
      <c r="D348" s="49">
        <f>+G305</f>
        <v>8735379</v>
      </c>
      <c r="E348" s="48"/>
      <c r="F348" s="48"/>
      <c r="G348" s="48"/>
      <c r="H348" s="32">
        <f>+F305</f>
        <v>0</v>
      </c>
      <c r="I348" s="50">
        <f>+E305</f>
        <v>4873189</v>
      </c>
      <c r="J348" s="30">
        <f>SUM(C348:G348)-(H348+I348)</f>
        <v>6338553</v>
      </c>
      <c r="K348" s="144" t="b">
        <f>+J348=I305</f>
        <v>1</v>
      </c>
    </row>
    <row r="349" spans="1:16" ht="15.6" x14ac:dyDescent="0.3">
      <c r="C349" s="141">
        <f>SUM(C331:C348)</f>
        <v>18323398</v>
      </c>
      <c r="I349" s="140">
        <f>SUM(I331:I348)</f>
        <v>9504745</v>
      </c>
      <c r="J349" s="105">
        <f>+SUM(J331:J348)</f>
        <v>17554032</v>
      </c>
      <c r="K349" s="5" t="b">
        <f>J349=I320</f>
        <v>1</v>
      </c>
    </row>
    <row r="350" spans="1:16" ht="15.6" x14ac:dyDescent="0.3">
      <c r="C350" s="141"/>
      <c r="I350" s="140"/>
      <c r="J350" s="105"/>
    </row>
    <row r="351" spans="1:16" ht="15.6" x14ac:dyDescent="0.3">
      <c r="A351" s="160"/>
      <c r="B351" s="160"/>
      <c r="C351" s="161"/>
      <c r="D351" s="160"/>
      <c r="E351" s="160"/>
      <c r="F351" s="160"/>
      <c r="G351" s="160"/>
      <c r="H351" s="160"/>
      <c r="I351" s="162"/>
      <c r="J351" s="163"/>
      <c r="K351" s="160"/>
      <c r="L351" s="164"/>
      <c r="M351" s="164"/>
      <c r="N351" s="164"/>
      <c r="O351" s="164"/>
      <c r="P351" s="160"/>
    </row>
    <row r="352" spans="1:16" ht="15.75" customHeight="1" x14ac:dyDescent="0.3"/>
    <row r="353" spans="1:15" ht="15.6" x14ac:dyDescent="0.3">
      <c r="A353" s="6" t="s">
        <v>36</v>
      </c>
      <c r="B353" s="6" t="s">
        <v>1</v>
      </c>
      <c r="C353" s="6">
        <v>44896</v>
      </c>
      <c r="D353" s="7" t="s">
        <v>37</v>
      </c>
      <c r="E353" s="7" t="s">
        <v>38</v>
      </c>
      <c r="F353" s="7" t="s">
        <v>39</v>
      </c>
      <c r="G353" s="7" t="s">
        <v>40</v>
      </c>
      <c r="H353" s="6">
        <v>44926</v>
      </c>
      <c r="I353" s="7" t="s">
        <v>41</v>
      </c>
      <c r="K353" s="45"/>
      <c r="L353" s="45" t="s">
        <v>42</v>
      </c>
      <c r="M353" s="45" t="s">
        <v>43</v>
      </c>
      <c r="N353" s="45" t="s">
        <v>44</v>
      </c>
      <c r="O353" s="45" t="s">
        <v>45</v>
      </c>
    </row>
    <row r="354" spans="1:15" x14ac:dyDescent="0.3">
      <c r="A354" s="58" t="str">
        <f>K354</f>
        <v>BCI</v>
      </c>
      <c r="B354" s="59" t="s">
        <v>46</v>
      </c>
      <c r="C354" s="61">
        <v>16218242</v>
      </c>
      <c r="D354" s="61">
        <f>+L354</f>
        <v>0</v>
      </c>
      <c r="E354" s="61">
        <f>+N354</f>
        <v>693345</v>
      </c>
      <c r="F354" s="61">
        <f>+M354</f>
        <v>2000000</v>
      </c>
      <c r="G354" s="61">
        <f t="shared" ref="G354:G367" si="195">+O354</f>
        <v>0</v>
      </c>
      <c r="H354" s="61">
        <v>13524897</v>
      </c>
      <c r="I354" s="61">
        <f>+C354+D354-E354-F354+G354</f>
        <v>13524897</v>
      </c>
      <c r="J354" s="9">
        <f>I354-H354</f>
        <v>0</v>
      </c>
      <c r="K354" s="45" t="s">
        <v>24</v>
      </c>
      <c r="L354" s="47">
        <v>0</v>
      </c>
      <c r="M354" s="47">
        <v>2000000</v>
      </c>
      <c r="N354" s="47">
        <v>693345</v>
      </c>
      <c r="O354" s="47">
        <v>0</v>
      </c>
    </row>
    <row r="355" spans="1:15" x14ac:dyDescent="0.3">
      <c r="A355" s="58" t="str">
        <f t="shared" ref="A355:A367" si="196">K355</f>
        <v>BCI-Sous Compte</v>
      </c>
      <c r="B355" s="59" t="s">
        <v>46</v>
      </c>
      <c r="C355" s="61">
        <v>5621164</v>
      </c>
      <c r="D355" s="61">
        <f t="shared" ref="D355:D365" si="197">+L355</f>
        <v>0</v>
      </c>
      <c r="E355" s="61">
        <f t="shared" ref="E355:E359" si="198">+N355</f>
        <v>3144801</v>
      </c>
      <c r="F355" s="61">
        <f t="shared" ref="F355:F362" si="199">+M355</f>
        <v>0</v>
      </c>
      <c r="G355" s="61">
        <f t="shared" si="195"/>
        <v>0</v>
      </c>
      <c r="H355" s="61">
        <v>2476363</v>
      </c>
      <c r="I355" s="61">
        <f>+C355+D355-E355-F355+G355</f>
        <v>2476363</v>
      </c>
      <c r="J355" s="9">
        <f t="shared" ref="J355:J361" si="200">I355-H355</f>
        <v>0</v>
      </c>
      <c r="K355" s="45" t="s">
        <v>148</v>
      </c>
      <c r="L355" s="46">
        <v>0</v>
      </c>
      <c r="M355" s="47">
        <v>0</v>
      </c>
      <c r="N355" s="47">
        <v>3144801</v>
      </c>
      <c r="O355" s="47">
        <v>0</v>
      </c>
    </row>
    <row r="356" spans="1:15" x14ac:dyDescent="0.3">
      <c r="A356" s="58" t="str">
        <f t="shared" si="196"/>
        <v>Caisse</v>
      </c>
      <c r="B356" s="59" t="s">
        <v>25</v>
      </c>
      <c r="C356" s="61">
        <v>2476103</v>
      </c>
      <c r="D356" s="61">
        <f t="shared" si="197"/>
        <v>2461000</v>
      </c>
      <c r="E356" s="61">
        <f t="shared" si="198"/>
        <v>1832504</v>
      </c>
      <c r="F356" s="61">
        <f t="shared" si="199"/>
        <v>1769000</v>
      </c>
      <c r="G356" s="61">
        <f t="shared" si="195"/>
        <v>0</v>
      </c>
      <c r="H356" s="61">
        <v>1335599</v>
      </c>
      <c r="I356" s="61">
        <f>+C356+D356-E356-F356+G356</f>
        <v>1335599</v>
      </c>
      <c r="J356" s="102">
        <f t="shared" si="200"/>
        <v>0</v>
      </c>
      <c r="K356" s="45" t="s">
        <v>25</v>
      </c>
      <c r="L356" s="47">
        <v>2461000</v>
      </c>
      <c r="M356" s="47">
        <v>1769000</v>
      </c>
      <c r="N356" s="47">
        <v>1832504</v>
      </c>
      <c r="O356" s="47">
        <v>0</v>
      </c>
    </row>
    <row r="357" spans="1:15" x14ac:dyDescent="0.3">
      <c r="A357" s="58" t="str">
        <f t="shared" si="196"/>
        <v>Crépin</v>
      </c>
      <c r="B357" s="59" t="s">
        <v>154</v>
      </c>
      <c r="C357" s="61">
        <v>409530</v>
      </c>
      <c r="D357" s="61">
        <f t="shared" si="197"/>
        <v>435000</v>
      </c>
      <c r="E357" s="61">
        <f t="shared" si="198"/>
        <v>755325</v>
      </c>
      <c r="F357" s="61">
        <f t="shared" si="199"/>
        <v>0</v>
      </c>
      <c r="G357" s="61">
        <f t="shared" si="195"/>
        <v>0</v>
      </c>
      <c r="H357" s="61">
        <v>89205</v>
      </c>
      <c r="I357" s="61">
        <f>+C357+D357-E357-F357+G357</f>
        <v>89205</v>
      </c>
      <c r="J357" s="9">
        <f t="shared" si="200"/>
        <v>0</v>
      </c>
      <c r="K357" s="45" t="s">
        <v>47</v>
      </c>
      <c r="L357" s="47">
        <v>435000</v>
      </c>
      <c r="M357" s="47">
        <v>0</v>
      </c>
      <c r="N357" s="47">
        <v>755325</v>
      </c>
      <c r="O357" s="47">
        <v>0</v>
      </c>
    </row>
    <row r="358" spans="1:15" x14ac:dyDescent="0.3">
      <c r="A358" s="58" t="str">
        <f t="shared" si="196"/>
        <v>Donald</v>
      </c>
      <c r="B358" s="59" t="s">
        <v>154</v>
      </c>
      <c r="C358" s="61">
        <v>9700</v>
      </c>
      <c r="D358" s="61">
        <f t="shared" si="197"/>
        <v>389000</v>
      </c>
      <c r="E358" s="61">
        <f t="shared" si="198"/>
        <v>162500</v>
      </c>
      <c r="F358" s="61">
        <f t="shared" si="199"/>
        <v>0</v>
      </c>
      <c r="G358" s="61">
        <f t="shared" si="195"/>
        <v>0</v>
      </c>
      <c r="H358" s="61">
        <v>236200</v>
      </c>
      <c r="I358" s="61">
        <f t="shared" ref="I358:I359" si="201">+C358+D358-E358-F358+G358</f>
        <v>236200</v>
      </c>
      <c r="J358" s="9">
        <f t="shared" si="200"/>
        <v>0</v>
      </c>
      <c r="K358" s="45" t="s">
        <v>256</v>
      </c>
      <c r="L358" s="47">
        <v>389000</v>
      </c>
      <c r="M358" s="47">
        <v>0</v>
      </c>
      <c r="N358" s="47">
        <v>162500</v>
      </c>
      <c r="O358" s="47">
        <v>0</v>
      </c>
    </row>
    <row r="359" spans="1:15" x14ac:dyDescent="0.3">
      <c r="A359" s="58" t="str">
        <f t="shared" si="196"/>
        <v>Evariste</v>
      </c>
      <c r="B359" s="59" t="s">
        <v>155</v>
      </c>
      <c r="C359" s="61">
        <v>265425</v>
      </c>
      <c r="D359" s="61">
        <f t="shared" si="197"/>
        <v>0</v>
      </c>
      <c r="E359" s="61">
        <f t="shared" si="198"/>
        <v>128750</v>
      </c>
      <c r="F359" s="61">
        <f t="shared" si="199"/>
        <v>125000</v>
      </c>
      <c r="G359" s="61">
        <f t="shared" si="195"/>
        <v>0</v>
      </c>
      <c r="H359" s="61">
        <v>11675</v>
      </c>
      <c r="I359" s="61">
        <f t="shared" si="201"/>
        <v>11675</v>
      </c>
      <c r="J359" s="9">
        <f t="shared" si="200"/>
        <v>0</v>
      </c>
      <c r="K359" s="45" t="s">
        <v>31</v>
      </c>
      <c r="L359" s="47">
        <v>0</v>
      </c>
      <c r="M359" s="47">
        <v>125000</v>
      </c>
      <c r="N359" s="47">
        <v>128750</v>
      </c>
      <c r="O359" s="47">
        <v>0</v>
      </c>
    </row>
    <row r="360" spans="1:15" x14ac:dyDescent="0.3">
      <c r="A360" s="58" t="str">
        <f t="shared" si="196"/>
        <v>I55S</v>
      </c>
      <c r="B360" s="116" t="s">
        <v>4</v>
      </c>
      <c r="C360" s="118">
        <v>233614</v>
      </c>
      <c r="D360" s="118">
        <f t="shared" si="197"/>
        <v>0</v>
      </c>
      <c r="E360" s="118">
        <f>+N360</f>
        <v>0</v>
      </c>
      <c r="F360" s="118">
        <f t="shared" si="199"/>
        <v>0</v>
      </c>
      <c r="G360" s="118">
        <f t="shared" si="195"/>
        <v>0</v>
      </c>
      <c r="H360" s="118">
        <v>233614</v>
      </c>
      <c r="I360" s="118">
        <f>+C360+D360-E360-F360+G360</f>
        <v>233614</v>
      </c>
      <c r="J360" s="9">
        <f t="shared" si="200"/>
        <v>0</v>
      </c>
      <c r="K360" s="45" t="s">
        <v>84</v>
      </c>
      <c r="L360" s="47">
        <v>0</v>
      </c>
      <c r="M360" s="47">
        <v>0</v>
      </c>
      <c r="N360" s="47">
        <v>0</v>
      </c>
      <c r="O360" s="47">
        <v>0</v>
      </c>
    </row>
    <row r="361" spans="1:15" x14ac:dyDescent="0.3">
      <c r="A361" s="58" t="str">
        <f t="shared" si="196"/>
        <v>I73X</v>
      </c>
      <c r="B361" s="116" t="s">
        <v>4</v>
      </c>
      <c r="C361" s="118">
        <v>249769</v>
      </c>
      <c r="D361" s="118">
        <f t="shared" si="197"/>
        <v>0</v>
      </c>
      <c r="E361" s="118">
        <f>+N361</f>
        <v>0</v>
      </c>
      <c r="F361" s="118">
        <f t="shared" si="199"/>
        <v>0</v>
      </c>
      <c r="G361" s="118">
        <f t="shared" si="195"/>
        <v>0</v>
      </c>
      <c r="H361" s="118">
        <v>249769</v>
      </c>
      <c r="I361" s="118">
        <f t="shared" ref="I361:I365" si="202">+C361+D361-E361-F361+G361</f>
        <v>249769</v>
      </c>
      <c r="J361" s="9">
        <f t="shared" si="200"/>
        <v>0</v>
      </c>
      <c r="K361" s="45" t="s">
        <v>83</v>
      </c>
      <c r="L361" s="47">
        <v>0</v>
      </c>
      <c r="M361" s="47">
        <v>0</v>
      </c>
      <c r="N361" s="47">
        <v>0</v>
      </c>
      <c r="O361" s="47">
        <v>0</v>
      </c>
    </row>
    <row r="362" spans="1:15" s="188" customFormat="1" ht="15.6" x14ac:dyDescent="0.3">
      <c r="A362" s="58" t="str">
        <f t="shared" si="196"/>
        <v>Grace</v>
      </c>
      <c r="B362" s="59" t="s">
        <v>2</v>
      </c>
      <c r="C362" s="61">
        <v>596200</v>
      </c>
      <c r="D362" s="61">
        <f t="shared" si="197"/>
        <v>0</v>
      </c>
      <c r="E362" s="61">
        <f t="shared" ref="E362" si="203">+N362</f>
        <v>83400</v>
      </c>
      <c r="F362" s="61">
        <f t="shared" si="199"/>
        <v>501000</v>
      </c>
      <c r="G362" s="61">
        <f t="shared" si="195"/>
        <v>0</v>
      </c>
      <c r="H362" s="184">
        <v>11800</v>
      </c>
      <c r="I362" s="184">
        <f t="shared" si="202"/>
        <v>11800</v>
      </c>
      <c r="J362" s="185">
        <f>I362-H362</f>
        <v>0</v>
      </c>
      <c r="K362" s="186" t="s">
        <v>143</v>
      </c>
      <c r="L362" s="187">
        <v>0</v>
      </c>
      <c r="M362" s="187">
        <v>501000</v>
      </c>
      <c r="N362" s="47">
        <v>83400</v>
      </c>
      <c r="O362" s="187">
        <v>0</v>
      </c>
    </row>
    <row r="363" spans="1:15" x14ac:dyDescent="0.3">
      <c r="A363" s="58" t="str">
        <f t="shared" si="196"/>
        <v>Hurielle</v>
      </c>
      <c r="B363" s="98" t="s">
        <v>154</v>
      </c>
      <c r="C363" s="61">
        <v>144700</v>
      </c>
      <c r="D363" s="61">
        <f t="shared" si="197"/>
        <v>326000</v>
      </c>
      <c r="E363" s="61">
        <f>+N363</f>
        <v>292950</v>
      </c>
      <c r="F363" s="61">
        <f>+M363</f>
        <v>159000</v>
      </c>
      <c r="G363" s="61">
        <f t="shared" si="195"/>
        <v>0</v>
      </c>
      <c r="H363" s="61">
        <v>18750</v>
      </c>
      <c r="I363" s="61">
        <f t="shared" si="202"/>
        <v>18750</v>
      </c>
      <c r="J363" s="9">
        <f t="shared" ref="J363" si="204">I363-H363</f>
        <v>0</v>
      </c>
      <c r="K363" s="45" t="s">
        <v>197</v>
      </c>
      <c r="L363" s="47">
        <v>326000</v>
      </c>
      <c r="M363" s="47">
        <v>159000</v>
      </c>
      <c r="N363" s="47">
        <v>292950</v>
      </c>
      <c r="O363" s="47">
        <v>0</v>
      </c>
    </row>
    <row r="364" spans="1:15" s="188" customFormat="1" ht="15.6" x14ac:dyDescent="0.3">
      <c r="A364" s="58" t="str">
        <f t="shared" si="196"/>
        <v>Merveille</v>
      </c>
      <c r="B364" s="59" t="s">
        <v>2</v>
      </c>
      <c r="C364" s="61">
        <v>-2900</v>
      </c>
      <c r="D364" s="61">
        <f t="shared" si="197"/>
        <v>0</v>
      </c>
      <c r="E364" s="61">
        <f t="shared" ref="E364:E367" si="205">+N364</f>
        <v>0</v>
      </c>
      <c r="F364" s="61">
        <f t="shared" ref="F364:F367" si="206">+M364</f>
        <v>0</v>
      </c>
      <c r="G364" s="61">
        <f t="shared" si="195"/>
        <v>0</v>
      </c>
      <c r="H364" s="184">
        <v>-2900</v>
      </c>
      <c r="I364" s="184">
        <f t="shared" si="202"/>
        <v>-2900</v>
      </c>
      <c r="J364" s="185">
        <f>I364-H364</f>
        <v>0</v>
      </c>
      <c r="K364" s="186" t="s">
        <v>93</v>
      </c>
      <c r="L364" s="187">
        <v>0</v>
      </c>
      <c r="M364" s="187">
        <v>0</v>
      </c>
      <c r="N364" s="47">
        <v>0</v>
      </c>
      <c r="O364" s="187">
        <v>0</v>
      </c>
    </row>
    <row r="365" spans="1:15" x14ac:dyDescent="0.3">
      <c r="A365" s="58" t="str">
        <f t="shared" si="196"/>
        <v>P10</v>
      </c>
      <c r="B365" s="98" t="s">
        <v>4</v>
      </c>
      <c r="C365" s="61">
        <v>103900</v>
      </c>
      <c r="D365" s="61">
        <f t="shared" si="197"/>
        <v>205000</v>
      </c>
      <c r="E365" s="61">
        <f t="shared" si="205"/>
        <v>271900</v>
      </c>
      <c r="F365" s="61">
        <f t="shared" si="206"/>
        <v>37000</v>
      </c>
      <c r="G365" s="61">
        <f t="shared" si="195"/>
        <v>0</v>
      </c>
      <c r="H365" s="61">
        <v>0</v>
      </c>
      <c r="I365" s="61">
        <f t="shared" si="202"/>
        <v>0</v>
      </c>
      <c r="J365" s="9">
        <f t="shared" ref="J365:J366" si="207">I365-H365</f>
        <v>0</v>
      </c>
      <c r="K365" s="45" t="s">
        <v>255</v>
      </c>
      <c r="L365" s="47">
        <v>205000</v>
      </c>
      <c r="M365" s="47">
        <v>37000</v>
      </c>
      <c r="N365" s="47">
        <v>271900</v>
      </c>
      <c r="O365" s="47">
        <v>0</v>
      </c>
    </row>
    <row r="366" spans="1:15" ht="15.6" x14ac:dyDescent="0.3">
      <c r="A366" s="58" t="str">
        <f t="shared" si="196"/>
        <v>P29</v>
      </c>
      <c r="B366" s="59" t="s">
        <v>4</v>
      </c>
      <c r="C366" s="61">
        <v>175900</v>
      </c>
      <c r="D366" s="61">
        <f>+L366</f>
        <v>646000</v>
      </c>
      <c r="E366" s="61">
        <f t="shared" si="205"/>
        <v>623300</v>
      </c>
      <c r="F366" s="61">
        <f t="shared" si="206"/>
        <v>50000</v>
      </c>
      <c r="G366" s="61">
        <f t="shared" si="195"/>
        <v>0</v>
      </c>
      <c r="H366" s="61">
        <v>148600</v>
      </c>
      <c r="I366" s="61">
        <f>+C366+D366-E366-F366+G366</f>
        <v>148600</v>
      </c>
      <c r="J366" s="9">
        <f t="shared" si="207"/>
        <v>0</v>
      </c>
      <c r="K366" s="45" t="s">
        <v>29</v>
      </c>
      <c r="L366" s="47">
        <v>646000</v>
      </c>
      <c r="M366" s="47">
        <v>50000</v>
      </c>
      <c r="N366" s="187">
        <v>623300</v>
      </c>
      <c r="O366" s="47">
        <v>0</v>
      </c>
    </row>
    <row r="367" spans="1:15" x14ac:dyDescent="0.3">
      <c r="A367" s="58" t="str">
        <f t="shared" si="196"/>
        <v>Tiffany</v>
      </c>
      <c r="B367" s="59" t="s">
        <v>2</v>
      </c>
      <c r="C367" s="61">
        <v>-20702</v>
      </c>
      <c r="D367" s="61">
        <f t="shared" ref="D367" si="208">+L367</f>
        <v>179000</v>
      </c>
      <c r="E367" s="61">
        <f t="shared" si="205"/>
        <v>168472</v>
      </c>
      <c r="F367" s="61">
        <f t="shared" si="206"/>
        <v>0</v>
      </c>
      <c r="G367" s="61">
        <f t="shared" si="195"/>
        <v>0</v>
      </c>
      <c r="H367" s="61">
        <v>-10174</v>
      </c>
      <c r="I367" s="61">
        <f>+C367+D367-E367-F367+G367</f>
        <v>-10174</v>
      </c>
      <c r="J367" s="9">
        <f>I367-H367</f>
        <v>0</v>
      </c>
      <c r="K367" s="45" t="s">
        <v>113</v>
      </c>
      <c r="L367" s="47">
        <v>179000</v>
      </c>
      <c r="M367" s="47">
        <v>0</v>
      </c>
      <c r="N367" s="47">
        <v>168472</v>
      </c>
      <c r="O367" s="47">
        <v>0</v>
      </c>
    </row>
    <row r="368" spans="1:15" x14ac:dyDescent="0.3">
      <c r="A368" s="10" t="s">
        <v>50</v>
      </c>
      <c r="B368" s="11"/>
      <c r="C368" s="12">
        <f t="shared" ref="C368:I368" si="209">SUM(C354:C367)</f>
        <v>26480645</v>
      </c>
      <c r="D368" s="57">
        <f t="shared" si="209"/>
        <v>4641000</v>
      </c>
      <c r="E368" s="57">
        <f t="shared" si="209"/>
        <v>8157247</v>
      </c>
      <c r="F368" s="57">
        <f t="shared" si="209"/>
        <v>4641000</v>
      </c>
      <c r="G368" s="57">
        <f t="shared" si="209"/>
        <v>0</v>
      </c>
      <c r="H368" s="57">
        <f t="shared" si="209"/>
        <v>18323398</v>
      </c>
      <c r="I368" s="57">
        <f t="shared" si="209"/>
        <v>18323398</v>
      </c>
      <c r="J368" s="9">
        <f>I368-H368</f>
        <v>0</v>
      </c>
      <c r="K368" s="3"/>
      <c r="L368" s="47">
        <f>+SUM(L354:L367)</f>
        <v>4641000</v>
      </c>
      <c r="M368" s="47">
        <f>+SUM(M354:M367)</f>
        <v>4641000</v>
      </c>
      <c r="N368" s="47">
        <f>+SUM(N354:N367)</f>
        <v>8157247</v>
      </c>
      <c r="O368" s="47">
        <f>+SUM(O354:O367)</f>
        <v>0</v>
      </c>
    </row>
    <row r="369" spans="1:15" x14ac:dyDescent="0.3">
      <c r="A369" s="10"/>
      <c r="B369" s="11"/>
      <c r="C369" s="12"/>
      <c r="D369" s="13"/>
      <c r="E369" s="12"/>
      <c r="F369" s="13"/>
      <c r="G369" s="12"/>
      <c r="H369" s="12"/>
      <c r="I369" s="134" t="b">
        <f>I368=D371</f>
        <v>1</v>
      </c>
      <c r="J369" s="9">
        <f>H368-I368</f>
        <v>0</v>
      </c>
      <c r="L369" s="5"/>
      <c r="M369" s="5"/>
      <c r="N369" s="5"/>
      <c r="O369" s="5"/>
    </row>
    <row r="370" spans="1:15" x14ac:dyDescent="0.3">
      <c r="A370" s="10" t="s">
        <v>263</v>
      </c>
      <c r="B370" s="11" t="s">
        <v>165</v>
      </c>
      <c r="C370" s="12" t="s">
        <v>166</v>
      </c>
      <c r="D370" s="12" t="s">
        <v>264</v>
      </c>
      <c r="E370" s="12" t="s">
        <v>51</v>
      </c>
      <c r="F370" s="12"/>
      <c r="G370" s="12">
        <f>+D368-F368</f>
        <v>0</v>
      </c>
      <c r="H370" s="12"/>
      <c r="I370" s="12"/>
    </row>
    <row r="371" spans="1:15" x14ac:dyDescent="0.3">
      <c r="A371" s="14">
        <f>C368</f>
        <v>26480645</v>
      </c>
      <c r="B371" s="15">
        <f>G368</f>
        <v>0</v>
      </c>
      <c r="C371" s="12">
        <f>E368</f>
        <v>8157247</v>
      </c>
      <c r="D371" s="12">
        <f>A371+B371-C371</f>
        <v>18323398</v>
      </c>
      <c r="E371" s="13">
        <f>I368-D371</f>
        <v>0</v>
      </c>
      <c r="F371" s="12"/>
      <c r="G371" s="12"/>
      <c r="H371" s="12"/>
      <c r="I371" s="12"/>
    </row>
    <row r="372" spans="1:15" x14ac:dyDescent="0.3">
      <c r="A372" s="14"/>
      <c r="B372" s="15"/>
      <c r="C372" s="12"/>
      <c r="D372" s="12"/>
      <c r="E372" s="13"/>
      <c r="F372" s="12"/>
      <c r="G372" s="12"/>
      <c r="H372" s="12"/>
      <c r="I372" s="12"/>
    </row>
    <row r="373" spans="1:15" x14ac:dyDescent="0.3">
      <c r="A373" s="16" t="s">
        <v>52</v>
      </c>
      <c r="B373" s="16"/>
      <c r="C373" s="16"/>
      <c r="D373" s="17"/>
      <c r="E373" s="17"/>
      <c r="F373" s="17"/>
      <c r="G373" s="17"/>
      <c r="H373" s="17"/>
      <c r="I373" s="17"/>
    </row>
    <row r="374" spans="1:15" x14ac:dyDescent="0.3">
      <c r="A374" s="18" t="s">
        <v>265</v>
      </c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5" x14ac:dyDescent="0.3">
      <c r="A375" s="19"/>
      <c r="B375" s="17"/>
      <c r="C375" s="20"/>
      <c r="D375" s="20"/>
      <c r="E375" s="20"/>
      <c r="F375" s="20"/>
      <c r="G375" s="20"/>
      <c r="H375" s="17"/>
      <c r="I375" s="17"/>
    </row>
    <row r="376" spans="1:15" ht="45" customHeight="1" x14ac:dyDescent="0.3">
      <c r="A376" s="169" t="s">
        <v>53</v>
      </c>
      <c r="B376" s="171" t="s">
        <v>54</v>
      </c>
      <c r="C376" s="173" t="s">
        <v>266</v>
      </c>
      <c r="D376" s="174" t="s">
        <v>55</v>
      </c>
      <c r="E376" s="175"/>
      <c r="F376" s="175"/>
      <c r="G376" s="176"/>
      <c r="H376" s="177" t="s">
        <v>56</v>
      </c>
      <c r="I376" s="165" t="s">
        <v>57</v>
      </c>
      <c r="J376" s="212"/>
    </row>
    <row r="377" spans="1:15" ht="28.5" customHeight="1" x14ac:dyDescent="0.3">
      <c r="A377" s="170"/>
      <c r="B377" s="172"/>
      <c r="C377" s="22"/>
      <c r="D377" s="21" t="s">
        <v>24</v>
      </c>
      <c r="E377" s="21" t="s">
        <v>25</v>
      </c>
      <c r="F377" s="22" t="s">
        <v>123</v>
      </c>
      <c r="G377" s="21" t="s">
        <v>58</v>
      </c>
      <c r="H377" s="178"/>
      <c r="I377" s="166"/>
      <c r="J377" s="168" t="s">
        <v>267</v>
      </c>
      <c r="K377" s="143"/>
    </row>
    <row r="378" spans="1:15" x14ac:dyDescent="0.3">
      <c r="A378" s="23"/>
      <c r="B378" s="24" t="s">
        <v>59</v>
      </c>
      <c r="C378" s="25"/>
      <c r="D378" s="25"/>
      <c r="E378" s="25"/>
      <c r="F378" s="25"/>
      <c r="G378" s="25"/>
      <c r="H378" s="25"/>
      <c r="I378" s="26"/>
      <c r="J378" s="168"/>
      <c r="K378" s="143"/>
    </row>
    <row r="379" spans="1:15" x14ac:dyDescent="0.3">
      <c r="A379" s="122" t="s">
        <v>103</v>
      </c>
      <c r="B379" s="127" t="s">
        <v>47</v>
      </c>
      <c r="C379" s="32">
        <f>+C357</f>
        <v>409530</v>
      </c>
      <c r="D379" s="31"/>
      <c r="E379" s="32">
        <f t="shared" ref="E379:E389" si="210">+D357</f>
        <v>435000</v>
      </c>
      <c r="F379" s="32"/>
      <c r="G379" s="32"/>
      <c r="H379" s="55">
        <f t="shared" ref="H379:H389" si="211">+F357</f>
        <v>0</v>
      </c>
      <c r="I379" s="32">
        <f t="shared" ref="I379:I389" si="212">+E357</f>
        <v>755325</v>
      </c>
      <c r="J379" s="30">
        <f t="shared" ref="J379" si="213">+SUM(C379:G379)-(H379+I379)</f>
        <v>89205</v>
      </c>
      <c r="K379" s="144" t="b">
        <f>J379=I357</f>
        <v>1</v>
      </c>
    </row>
    <row r="380" spans="1:15" x14ac:dyDescent="0.3">
      <c r="A380" s="122" t="str">
        <f>+A379</f>
        <v>DECEMBRE</v>
      </c>
      <c r="B380" s="127" t="s">
        <v>256</v>
      </c>
      <c r="C380" s="32">
        <f t="shared" ref="C380:C381" si="214">+C358</f>
        <v>9700</v>
      </c>
      <c r="D380" s="31"/>
      <c r="E380" s="32">
        <f t="shared" si="210"/>
        <v>389000</v>
      </c>
      <c r="F380" s="32"/>
      <c r="G380" s="32"/>
      <c r="H380" s="55">
        <f t="shared" si="211"/>
        <v>0</v>
      </c>
      <c r="I380" s="32">
        <f t="shared" si="212"/>
        <v>162500</v>
      </c>
      <c r="J380" s="101">
        <f t="shared" ref="J380" si="215">+SUM(C380:G380)-(H380+I380)</f>
        <v>236200</v>
      </c>
      <c r="K380" s="144" t="b">
        <f>J380=I358</f>
        <v>1</v>
      </c>
    </row>
    <row r="381" spans="1:15" x14ac:dyDescent="0.3">
      <c r="A381" s="122" t="str">
        <f t="shared" ref="A381:A389" si="216">+A380</f>
        <v>DECEMBRE</v>
      </c>
      <c r="B381" s="127" t="s">
        <v>31</v>
      </c>
      <c r="C381" s="32">
        <f t="shared" si="214"/>
        <v>265425</v>
      </c>
      <c r="D381" s="31"/>
      <c r="E381" s="32">
        <f t="shared" si="210"/>
        <v>0</v>
      </c>
      <c r="F381" s="32"/>
      <c r="G381" s="32"/>
      <c r="H381" s="55">
        <f t="shared" si="211"/>
        <v>125000</v>
      </c>
      <c r="I381" s="32">
        <f t="shared" si="212"/>
        <v>128750</v>
      </c>
      <c r="J381" s="101">
        <f t="shared" ref="J381" si="217">+SUM(C381:G381)-(H381+I381)</f>
        <v>11675</v>
      </c>
      <c r="K381" s="144" t="b">
        <f t="shared" ref="K381:K389" si="218">J381=I359</f>
        <v>1</v>
      </c>
    </row>
    <row r="382" spans="1:15" x14ac:dyDescent="0.3">
      <c r="A382" s="122" t="str">
        <f t="shared" si="216"/>
        <v>DECEMBRE</v>
      </c>
      <c r="B382" s="129" t="s">
        <v>84</v>
      </c>
      <c r="C382" s="120">
        <f>+C360</f>
        <v>233614</v>
      </c>
      <c r="D382" s="123"/>
      <c r="E382" s="120">
        <f t="shared" si="210"/>
        <v>0</v>
      </c>
      <c r="F382" s="137"/>
      <c r="G382" s="137"/>
      <c r="H382" s="155">
        <f t="shared" si="211"/>
        <v>0</v>
      </c>
      <c r="I382" s="120">
        <f t="shared" si="212"/>
        <v>0</v>
      </c>
      <c r="J382" s="121">
        <f>+SUM(C382:G382)-(H382+I382)</f>
        <v>233614</v>
      </c>
      <c r="K382" s="144" t="b">
        <f t="shared" si="218"/>
        <v>1</v>
      </c>
    </row>
    <row r="383" spans="1:15" x14ac:dyDescent="0.3">
      <c r="A383" s="122" t="str">
        <f t="shared" si="216"/>
        <v>DECEMBRE</v>
      </c>
      <c r="B383" s="129" t="s">
        <v>83</v>
      </c>
      <c r="C383" s="120">
        <f>+C361</f>
        <v>249769</v>
      </c>
      <c r="D383" s="123"/>
      <c r="E383" s="120">
        <f t="shared" si="210"/>
        <v>0</v>
      </c>
      <c r="F383" s="137"/>
      <c r="G383" s="137"/>
      <c r="H383" s="155">
        <f t="shared" si="211"/>
        <v>0</v>
      </c>
      <c r="I383" s="120">
        <f t="shared" si="212"/>
        <v>0</v>
      </c>
      <c r="J383" s="121">
        <f t="shared" ref="J383:J389" si="219">+SUM(C383:G383)-(H383+I383)</f>
        <v>249769</v>
      </c>
      <c r="K383" s="144" t="b">
        <f t="shared" si="218"/>
        <v>1</v>
      </c>
    </row>
    <row r="384" spans="1:15" x14ac:dyDescent="0.3">
      <c r="A384" s="122" t="str">
        <f t="shared" si="216"/>
        <v>DECEMBRE</v>
      </c>
      <c r="B384" s="127" t="s">
        <v>143</v>
      </c>
      <c r="C384" s="32">
        <f>+C362</f>
        <v>596200</v>
      </c>
      <c r="D384" s="31"/>
      <c r="E384" s="32">
        <f t="shared" si="210"/>
        <v>0</v>
      </c>
      <c r="F384" s="32"/>
      <c r="G384" s="104"/>
      <c r="H384" s="55">
        <f t="shared" si="211"/>
        <v>501000</v>
      </c>
      <c r="I384" s="32">
        <f t="shared" si="212"/>
        <v>83400</v>
      </c>
      <c r="J384" s="30">
        <f t="shared" si="219"/>
        <v>11800</v>
      </c>
      <c r="K384" s="144" t="b">
        <f t="shared" si="218"/>
        <v>1</v>
      </c>
    </row>
    <row r="385" spans="1:16" x14ac:dyDescent="0.3">
      <c r="A385" s="122" t="str">
        <f t="shared" si="216"/>
        <v>DECEMBRE</v>
      </c>
      <c r="B385" s="127" t="s">
        <v>197</v>
      </c>
      <c r="C385" s="32">
        <f t="shared" ref="C385:C389" si="220">+C363</f>
        <v>144700</v>
      </c>
      <c r="D385" s="31"/>
      <c r="E385" s="32">
        <f t="shared" si="210"/>
        <v>326000</v>
      </c>
      <c r="F385" s="32"/>
      <c r="G385" s="104"/>
      <c r="H385" s="55">
        <f t="shared" si="211"/>
        <v>159000</v>
      </c>
      <c r="I385" s="32">
        <f t="shared" si="212"/>
        <v>292950</v>
      </c>
      <c r="J385" s="30">
        <f t="shared" si="219"/>
        <v>18750</v>
      </c>
      <c r="K385" s="144" t="b">
        <f t="shared" si="218"/>
        <v>1</v>
      </c>
    </row>
    <row r="386" spans="1:16" x14ac:dyDescent="0.3">
      <c r="A386" s="122" t="str">
        <f t="shared" si="216"/>
        <v>DECEMBRE</v>
      </c>
      <c r="B386" s="127" t="s">
        <v>93</v>
      </c>
      <c r="C386" s="32">
        <f t="shared" si="220"/>
        <v>-2900</v>
      </c>
      <c r="D386" s="31"/>
      <c r="E386" s="32">
        <f t="shared" si="210"/>
        <v>0</v>
      </c>
      <c r="F386" s="32"/>
      <c r="G386" s="104"/>
      <c r="H386" s="55">
        <f t="shared" si="211"/>
        <v>0</v>
      </c>
      <c r="I386" s="32">
        <f t="shared" si="212"/>
        <v>0</v>
      </c>
      <c r="J386" s="30">
        <f t="shared" si="219"/>
        <v>-2900</v>
      </c>
      <c r="K386" s="144" t="b">
        <f t="shared" si="218"/>
        <v>1</v>
      </c>
    </row>
    <row r="387" spans="1:16" x14ac:dyDescent="0.3">
      <c r="A387" s="122" t="str">
        <f t="shared" si="216"/>
        <v>DECEMBRE</v>
      </c>
      <c r="B387" s="127" t="s">
        <v>255</v>
      </c>
      <c r="C387" s="32">
        <f t="shared" si="220"/>
        <v>103900</v>
      </c>
      <c r="D387" s="31"/>
      <c r="E387" s="32">
        <f t="shared" si="210"/>
        <v>205000</v>
      </c>
      <c r="F387" s="32"/>
      <c r="G387" s="104"/>
      <c r="H387" s="55">
        <f t="shared" si="211"/>
        <v>37000</v>
      </c>
      <c r="I387" s="32">
        <f t="shared" si="212"/>
        <v>271900</v>
      </c>
      <c r="J387" s="30">
        <f t="shared" si="219"/>
        <v>0</v>
      </c>
      <c r="K387" s="144" t="b">
        <f t="shared" si="218"/>
        <v>1</v>
      </c>
    </row>
    <row r="388" spans="1:16" x14ac:dyDescent="0.3">
      <c r="A388" s="122" t="str">
        <f t="shared" si="216"/>
        <v>DECEMBRE</v>
      </c>
      <c r="B388" s="127" t="s">
        <v>29</v>
      </c>
      <c r="C388" s="32">
        <f t="shared" si="220"/>
        <v>175900</v>
      </c>
      <c r="D388" s="31"/>
      <c r="E388" s="32">
        <f t="shared" si="210"/>
        <v>646000</v>
      </c>
      <c r="F388" s="32"/>
      <c r="G388" s="104"/>
      <c r="H388" s="55">
        <f t="shared" si="211"/>
        <v>50000</v>
      </c>
      <c r="I388" s="32">
        <f t="shared" si="212"/>
        <v>623300</v>
      </c>
      <c r="J388" s="30">
        <f t="shared" si="219"/>
        <v>148600</v>
      </c>
      <c r="K388" s="144" t="b">
        <f t="shared" si="218"/>
        <v>1</v>
      </c>
    </row>
    <row r="389" spans="1:16" x14ac:dyDescent="0.3">
      <c r="A389" s="122" t="str">
        <f t="shared" si="216"/>
        <v>DECEMBRE</v>
      </c>
      <c r="B389" s="128" t="s">
        <v>113</v>
      </c>
      <c r="C389" s="32">
        <f t="shared" si="220"/>
        <v>-20702</v>
      </c>
      <c r="D389" s="119"/>
      <c r="E389" s="32">
        <f t="shared" si="210"/>
        <v>179000</v>
      </c>
      <c r="F389" s="51"/>
      <c r="G389" s="138"/>
      <c r="H389" s="55">
        <f t="shared" si="211"/>
        <v>0</v>
      </c>
      <c r="I389" s="32">
        <f t="shared" si="212"/>
        <v>168472</v>
      </c>
      <c r="J389" s="30">
        <f t="shared" si="219"/>
        <v>-10174</v>
      </c>
      <c r="K389" s="144" t="b">
        <f t="shared" si="218"/>
        <v>1</v>
      </c>
    </row>
    <row r="390" spans="1:16" x14ac:dyDescent="0.3">
      <c r="A390" s="34" t="s">
        <v>60</v>
      </c>
      <c r="B390" s="35"/>
      <c r="C390" s="35"/>
      <c r="D390" s="35"/>
      <c r="E390" s="35"/>
      <c r="F390" s="35"/>
      <c r="G390" s="35"/>
      <c r="H390" s="35"/>
      <c r="I390" s="35"/>
      <c r="J390" s="36"/>
      <c r="K390" s="143"/>
    </row>
    <row r="391" spans="1:16" x14ac:dyDescent="0.3">
      <c r="A391" s="122" t="str">
        <f>A389</f>
        <v>DECEMBRE</v>
      </c>
      <c r="B391" s="37" t="s">
        <v>61</v>
      </c>
      <c r="C391" s="38">
        <f>+C356</f>
        <v>2476103</v>
      </c>
      <c r="D391" s="49"/>
      <c r="E391" s="49">
        <f>D356</f>
        <v>2461000</v>
      </c>
      <c r="F391" s="49"/>
      <c r="G391" s="125"/>
      <c r="H391" s="51">
        <f>+F356</f>
        <v>1769000</v>
      </c>
      <c r="I391" s="126">
        <f>+E356</f>
        <v>1832504</v>
      </c>
      <c r="J391" s="30">
        <f>+SUM(C391:G391)-(H391+I391)</f>
        <v>1335599</v>
      </c>
      <c r="K391" s="144" t="b">
        <f>J391=I356</f>
        <v>1</v>
      </c>
    </row>
    <row r="392" spans="1:16" x14ac:dyDescent="0.3">
      <c r="A392" s="43" t="s">
        <v>62</v>
      </c>
      <c r="B392" s="24"/>
      <c r="C392" s="35"/>
      <c r="D392" s="24"/>
      <c r="E392" s="24"/>
      <c r="F392" s="24"/>
      <c r="G392" s="24"/>
      <c r="H392" s="24"/>
      <c r="I392" s="24"/>
      <c r="J392" s="36"/>
      <c r="K392" s="143"/>
    </row>
    <row r="393" spans="1:16" x14ac:dyDescent="0.3">
      <c r="A393" s="122" t="str">
        <f>+A391</f>
        <v>DECEMBRE</v>
      </c>
      <c r="B393" s="37" t="s">
        <v>156</v>
      </c>
      <c r="C393" s="125">
        <f>+C354</f>
        <v>16218242</v>
      </c>
      <c r="D393" s="132">
        <f>+G354</f>
        <v>0</v>
      </c>
      <c r="E393" s="49"/>
      <c r="F393" s="49"/>
      <c r="G393" s="49"/>
      <c r="H393" s="51">
        <f>+F354</f>
        <v>2000000</v>
      </c>
      <c r="I393" s="53">
        <f>+E354</f>
        <v>693345</v>
      </c>
      <c r="J393" s="30">
        <f>+SUM(C393:G393)-(H393+I393)</f>
        <v>13524897</v>
      </c>
      <c r="K393" s="144" t="b">
        <f>+J393=I354</f>
        <v>1</v>
      </c>
    </row>
    <row r="394" spans="1:16" x14ac:dyDescent="0.3">
      <c r="A394" s="122" t="str">
        <f t="shared" ref="A394" si="221">+A393</f>
        <v>DECEMBRE</v>
      </c>
      <c r="B394" s="37" t="s">
        <v>64</v>
      </c>
      <c r="C394" s="125">
        <f>+C355</f>
        <v>5621164</v>
      </c>
      <c r="D394" s="49">
        <f>+G355</f>
        <v>0</v>
      </c>
      <c r="E394" s="48"/>
      <c r="F394" s="48"/>
      <c r="G394" s="48"/>
      <c r="H394" s="32">
        <f>+F355</f>
        <v>0</v>
      </c>
      <c r="I394" s="50">
        <f>+E355</f>
        <v>3144801</v>
      </c>
      <c r="J394" s="30">
        <f>SUM(C394:G394)-(H394+I394)</f>
        <v>2476363</v>
      </c>
      <c r="K394" s="144" t="b">
        <f>+J394=I355</f>
        <v>1</v>
      </c>
    </row>
    <row r="395" spans="1:16" ht="15.6" x14ac:dyDescent="0.3">
      <c r="C395" s="141">
        <f>SUM(C379:C394)</f>
        <v>26480645</v>
      </c>
      <c r="I395" s="140">
        <f>SUM(I379:I394)</f>
        <v>8157247</v>
      </c>
      <c r="J395" s="105">
        <f>+SUM(J379:J394)</f>
        <v>18323398</v>
      </c>
      <c r="K395" s="5" t="b">
        <f>J395=I368</f>
        <v>1</v>
      </c>
    </row>
    <row r="396" spans="1:16" ht="15.6" x14ac:dyDescent="0.3">
      <c r="C396" s="141"/>
      <c r="I396" s="140"/>
      <c r="J396" s="105"/>
    </row>
    <row r="397" spans="1:16" ht="15.6" x14ac:dyDescent="0.3">
      <c r="A397" s="160"/>
      <c r="B397" s="160"/>
      <c r="C397" s="161"/>
      <c r="D397" s="160"/>
      <c r="E397" s="160"/>
      <c r="F397" s="160"/>
      <c r="G397" s="160"/>
      <c r="H397" s="160"/>
      <c r="I397" s="162"/>
      <c r="J397" s="163"/>
      <c r="K397" s="160"/>
      <c r="L397" s="164"/>
      <c r="M397" s="164"/>
      <c r="N397" s="164"/>
      <c r="O397" s="164"/>
      <c r="P397" s="160"/>
    </row>
    <row r="399" spans="1:16" ht="15.6" x14ac:dyDescent="0.3">
      <c r="A399" s="6" t="s">
        <v>36</v>
      </c>
      <c r="B399" s="6" t="s">
        <v>1</v>
      </c>
      <c r="C399" s="6">
        <v>44866</v>
      </c>
      <c r="D399" s="7" t="s">
        <v>37</v>
      </c>
      <c r="E399" s="7" t="s">
        <v>38</v>
      </c>
      <c r="F399" s="7" t="s">
        <v>39</v>
      </c>
      <c r="G399" s="7" t="s">
        <v>40</v>
      </c>
      <c r="H399" s="6">
        <v>44895</v>
      </c>
      <c r="I399" s="7" t="s">
        <v>41</v>
      </c>
      <c r="K399" s="45"/>
      <c r="L399" s="45" t="s">
        <v>42</v>
      </c>
      <c r="M399" s="45" t="s">
        <v>43</v>
      </c>
      <c r="N399" s="45" t="s">
        <v>44</v>
      </c>
      <c r="O399" s="45" t="s">
        <v>45</v>
      </c>
    </row>
    <row r="400" spans="1:16" x14ac:dyDescent="0.3">
      <c r="A400" s="58" t="str">
        <f>K400</f>
        <v>BCI</v>
      </c>
      <c r="B400" s="59" t="s">
        <v>46</v>
      </c>
      <c r="C400" s="61">
        <v>9603727</v>
      </c>
      <c r="D400" s="61">
        <f>+L400</f>
        <v>0</v>
      </c>
      <c r="E400" s="61">
        <f>+N400</f>
        <v>173438</v>
      </c>
      <c r="F400" s="61">
        <f>+M400</f>
        <v>6000000</v>
      </c>
      <c r="G400" s="61">
        <f t="shared" ref="G400:G413" si="222">+O400</f>
        <v>12787953</v>
      </c>
      <c r="H400" s="61">
        <v>16218242</v>
      </c>
      <c r="I400" s="61">
        <f>+C400+D400-E400-F400+G400</f>
        <v>16218242</v>
      </c>
      <c r="J400" s="9">
        <f>I400-H400</f>
        <v>0</v>
      </c>
      <c r="K400" s="45" t="s">
        <v>24</v>
      </c>
      <c r="L400" s="47">
        <v>0</v>
      </c>
      <c r="M400" s="47">
        <v>6000000</v>
      </c>
      <c r="N400" s="47">
        <v>173438</v>
      </c>
      <c r="O400" s="47">
        <v>12787953</v>
      </c>
    </row>
    <row r="401" spans="1:15" x14ac:dyDescent="0.3">
      <c r="A401" s="58" t="str">
        <f t="shared" ref="A401:A413" si="223">K401</f>
        <v>BCI-Sous Compte</v>
      </c>
      <c r="B401" s="59" t="s">
        <v>46</v>
      </c>
      <c r="C401" s="61">
        <v>9538949</v>
      </c>
      <c r="D401" s="61">
        <f t="shared" ref="D401:D411" si="224">+L401</f>
        <v>0</v>
      </c>
      <c r="E401" s="61">
        <f t="shared" ref="E401:E405" si="225">+N401</f>
        <v>3917785</v>
      </c>
      <c r="F401" s="61">
        <f t="shared" ref="F401:F408" si="226">+M401</f>
        <v>0</v>
      </c>
      <c r="G401" s="61">
        <f t="shared" si="222"/>
        <v>0</v>
      </c>
      <c r="H401" s="61">
        <v>5621164</v>
      </c>
      <c r="I401" s="61">
        <f>+C401+D401-E401-F401+G401</f>
        <v>5621164</v>
      </c>
      <c r="J401" s="9">
        <f t="shared" ref="J401:J409" si="227">I401-H401</f>
        <v>0</v>
      </c>
      <c r="K401" s="45" t="s">
        <v>148</v>
      </c>
      <c r="L401" s="46">
        <v>0</v>
      </c>
      <c r="M401" s="47">
        <v>0</v>
      </c>
      <c r="N401" s="47">
        <v>3917785</v>
      </c>
      <c r="O401" s="47">
        <v>0</v>
      </c>
    </row>
    <row r="402" spans="1:15" x14ac:dyDescent="0.3">
      <c r="A402" s="58" t="str">
        <f t="shared" si="223"/>
        <v>Caisse</v>
      </c>
      <c r="B402" s="59" t="s">
        <v>25</v>
      </c>
      <c r="C402" s="61">
        <v>2105331</v>
      </c>
      <c r="D402" s="61">
        <f t="shared" si="224"/>
        <v>6149000</v>
      </c>
      <c r="E402" s="61">
        <f t="shared" si="225"/>
        <v>1843228</v>
      </c>
      <c r="F402" s="61">
        <f t="shared" si="226"/>
        <v>3935000</v>
      </c>
      <c r="G402" s="61">
        <f t="shared" si="222"/>
        <v>0</v>
      </c>
      <c r="H402" s="61">
        <v>2476103</v>
      </c>
      <c r="I402" s="61">
        <f>+C402+D402-E402-F402+G402</f>
        <v>2476103</v>
      </c>
      <c r="J402" s="102">
        <f t="shared" si="227"/>
        <v>0</v>
      </c>
      <c r="K402" s="45" t="s">
        <v>25</v>
      </c>
      <c r="L402" s="47">
        <v>6149000</v>
      </c>
      <c r="M402" s="47">
        <v>3935000</v>
      </c>
      <c r="N402" s="47">
        <v>1843228</v>
      </c>
      <c r="O402" s="47">
        <v>0</v>
      </c>
    </row>
    <row r="403" spans="1:15" x14ac:dyDescent="0.3">
      <c r="A403" s="58" t="str">
        <f t="shared" si="223"/>
        <v>Crépin</v>
      </c>
      <c r="B403" s="59" t="s">
        <v>154</v>
      </c>
      <c r="C403" s="61">
        <v>113930</v>
      </c>
      <c r="D403" s="61">
        <f t="shared" si="224"/>
        <v>614000</v>
      </c>
      <c r="E403" s="61">
        <f t="shared" si="225"/>
        <v>238400</v>
      </c>
      <c r="F403" s="61">
        <f t="shared" si="226"/>
        <v>80000</v>
      </c>
      <c r="G403" s="61">
        <f t="shared" si="222"/>
        <v>0</v>
      </c>
      <c r="H403" s="61">
        <v>409530</v>
      </c>
      <c r="I403" s="61">
        <f>+C403+D403-E403-F403+G403</f>
        <v>409530</v>
      </c>
      <c r="J403" s="9">
        <f t="shared" si="227"/>
        <v>0</v>
      </c>
      <c r="K403" s="45" t="s">
        <v>47</v>
      </c>
      <c r="L403" s="47">
        <v>614000</v>
      </c>
      <c r="M403" s="47">
        <v>80000</v>
      </c>
      <c r="N403" s="47">
        <v>238400</v>
      </c>
      <c r="O403" s="47">
        <v>0</v>
      </c>
    </row>
    <row r="404" spans="1:15" x14ac:dyDescent="0.3">
      <c r="A404" s="58" t="str">
        <f t="shared" si="223"/>
        <v>Donald</v>
      </c>
      <c r="B404" s="59" t="s">
        <v>154</v>
      </c>
      <c r="C404" s="61">
        <v>13000</v>
      </c>
      <c r="D404" s="61">
        <f t="shared" si="224"/>
        <v>521000</v>
      </c>
      <c r="E404" s="61">
        <f t="shared" si="225"/>
        <v>504300</v>
      </c>
      <c r="F404" s="61">
        <f t="shared" si="226"/>
        <v>20000</v>
      </c>
      <c r="G404" s="61">
        <f t="shared" si="222"/>
        <v>0</v>
      </c>
      <c r="H404" s="61">
        <v>9700</v>
      </c>
      <c r="I404" s="61">
        <f t="shared" ref="I404:I405" si="228">+C404+D404-E404-F404+G404</f>
        <v>9700</v>
      </c>
      <c r="J404" s="9">
        <f t="shared" si="227"/>
        <v>0</v>
      </c>
      <c r="K404" s="45" t="s">
        <v>256</v>
      </c>
      <c r="L404" s="47">
        <v>521000</v>
      </c>
      <c r="M404" s="47">
        <v>20000</v>
      </c>
      <c r="N404" s="47">
        <v>504300</v>
      </c>
      <c r="O404" s="47">
        <v>0</v>
      </c>
    </row>
    <row r="405" spans="1:15" x14ac:dyDescent="0.3">
      <c r="A405" s="58" t="str">
        <f t="shared" si="223"/>
        <v>Evariste</v>
      </c>
      <c r="B405" s="59" t="s">
        <v>155</v>
      </c>
      <c r="C405" s="61">
        <v>11575</v>
      </c>
      <c r="D405" s="61">
        <f t="shared" si="224"/>
        <v>324000</v>
      </c>
      <c r="E405" s="61">
        <f t="shared" si="225"/>
        <v>70150</v>
      </c>
      <c r="F405" s="61">
        <f t="shared" si="226"/>
        <v>0</v>
      </c>
      <c r="G405" s="61">
        <f t="shared" si="222"/>
        <v>0</v>
      </c>
      <c r="H405" s="61">
        <v>265425</v>
      </c>
      <c r="I405" s="61">
        <f t="shared" si="228"/>
        <v>265425</v>
      </c>
      <c r="J405" s="9">
        <f t="shared" si="227"/>
        <v>0</v>
      </c>
      <c r="K405" s="45" t="s">
        <v>31</v>
      </c>
      <c r="L405" s="47">
        <v>324000</v>
      </c>
      <c r="M405" s="47">
        <v>0</v>
      </c>
      <c r="N405" s="47">
        <v>70150</v>
      </c>
      <c r="O405" s="47">
        <v>0</v>
      </c>
    </row>
    <row r="406" spans="1:15" x14ac:dyDescent="0.3">
      <c r="A406" s="58" t="str">
        <f t="shared" si="223"/>
        <v>I55S</v>
      </c>
      <c r="B406" s="116" t="s">
        <v>4</v>
      </c>
      <c r="C406" s="118">
        <v>233614</v>
      </c>
      <c r="D406" s="118">
        <f t="shared" si="224"/>
        <v>0</v>
      </c>
      <c r="E406" s="118">
        <f>+N406</f>
        <v>0</v>
      </c>
      <c r="F406" s="118">
        <f t="shared" si="226"/>
        <v>0</v>
      </c>
      <c r="G406" s="118">
        <f t="shared" si="222"/>
        <v>0</v>
      </c>
      <c r="H406" s="118">
        <v>233614</v>
      </c>
      <c r="I406" s="118">
        <f>+C406+D406-E406-F406+G406</f>
        <v>233614</v>
      </c>
      <c r="J406" s="9">
        <f t="shared" si="227"/>
        <v>0</v>
      </c>
      <c r="K406" s="45" t="s">
        <v>84</v>
      </c>
      <c r="L406" s="47">
        <v>0</v>
      </c>
      <c r="M406" s="47">
        <v>0</v>
      </c>
      <c r="N406" s="47">
        <v>0</v>
      </c>
      <c r="O406" s="47">
        <v>0</v>
      </c>
    </row>
    <row r="407" spans="1:15" x14ac:dyDescent="0.3">
      <c r="A407" s="58" t="str">
        <f t="shared" si="223"/>
        <v>I73X</v>
      </c>
      <c r="B407" s="116" t="s">
        <v>4</v>
      </c>
      <c r="C407" s="118">
        <v>249769</v>
      </c>
      <c r="D407" s="118">
        <f t="shared" si="224"/>
        <v>0</v>
      </c>
      <c r="E407" s="118">
        <f>+N407</f>
        <v>0</v>
      </c>
      <c r="F407" s="118">
        <f t="shared" si="226"/>
        <v>0</v>
      </c>
      <c r="G407" s="118">
        <f t="shared" si="222"/>
        <v>0</v>
      </c>
      <c r="H407" s="118">
        <v>249769</v>
      </c>
      <c r="I407" s="118">
        <f t="shared" ref="I407:I411" si="229">+C407+D407-E407-F407+G407</f>
        <v>249769</v>
      </c>
      <c r="J407" s="9">
        <f t="shared" si="227"/>
        <v>0</v>
      </c>
      <c r="K407" s="45" t="s">
        <v>83</v>
      </c>
      <c r="L407" s="47">
        <v>0</v>
      </c>
      <c r="M407" s="47">
        <v>0</v>
      </c>
      <c r="N407" s="47">
        <v>0</v>
      </c>
      <c r="O407" s="47">
        <v>0</v>
      </c>
    </row>
    <row r="408" spans="1:15" s="188" customFormat="1" ht="15.6" x14ac:dyDescent="0.3">
      <c r="A408" s="58" t="str">
        <f t="shared" ref="A408" si="230">K408</f>
        <v>Grace</v>
      </c>
      <c r="B408" s="183" t="s">
        <v>2</v>
      </c>
      <c r="C408" s="184">
        <v>0</v>
      </c>
      <c r="D408" s="61">
        <f t="shared" ref="D408" si="231">+L408</f>
        <v>950000</v>
      </c>
      <c r="E408" s="61">
        <f t="shared" ref="E408" si="232">+N408</f>
        <v>33800</v>
      </c>
      <c r="F408" s="61">
        <f t="shared" si="226"/>
        <v>320000</v>
      </c>
      <c r="G408" s="61">
        <f t="shared" ref="G408" si="233">+O408</f>
        <v>0</v>
      </c>
      <c r="H408" s="184">
        <v>596200</v>
      </c>
      <c r="I408" s="184">
        <f t="shared" ref="I408" si="234">+C408+D408-E408-F408+G408</f>
        <v>596200</v>
      </c>
      <c r="J408" s="185">
        <f>I408-H408</f>
        <v>0</v>
      </c>
      <c r="K408" s="186" t="s">
        <v>143</v>
      </c>
      <c r="L408" s="187">
        <v>950000</v>
      </c>
      <c r="M408" s="187">
        <v>320000</v>
      </c>
      <c r="N408" s="47">
        <v>33800</v>
      </c>
      <c r="O408" s="187">
        <v>0</v>
      </c>
    </row>
    <row r="409" spans="1:15" x14ac:dyDescent="0.3">
      <c r="A409" s="58" t="str">
        <f t="shared" si="223"/>
        <v>Hurielle</v>
      </c>
      <c r="B409" s="98" t="s">
        <v>154</v>
      </c>
      <c r="C409" s="61">
        <v>46900</v>
      </c>
      <c r="D409" s="61">
        <f t="shared" si="224"/>
        <v>603000</v>
      </c>
      <c r="E409" s="61">
        <f>+N409</f>
        <v>456200</v>
      </c>
      <c r="F409" s="61">
        <f>+M409</f>
        <v>49000</v>
      </c>
      <c r="G409" s="61">
        <f t="shared" si="222"/>
        <v>0</v>
      </c>
      <c r="H409" s="61">
        <v>144700</v>
      </c>
      <c r="I409" s="61">
        <f t="shared" si="229"/>
        <v>144700</v>
      </c>
      <c r="J409" s="9">
        <f t="shared" si="227"/>
        <v>0</v>
      </c>
      <c r="K409" s="45" t="s">
        <v>197</v>
      </c>
      <c r="L409" s="47">
        <v>603000</v>
      </c>
      <c r="M409" s="47">
        <v>49000</v>
      </c>
      <c r="N409" s="47">
        <v>456200</v>
      </c>
      <c r="O409" s="47">
        <v>0</v>
      </c>
    </row>
    <row r="410" spans="1:15" s="188" customFormat="1" ht="15.6" x14ac:dyDescent="0.3">
      <c r="A410" s="58" t="str">
        <f t="shared" si="223"/>
        <v>Merveille</v>
      </c>
      <c r="B410" s="183" t="s">
        <v>2</v>
      </c>
      <c r="C410" s="184">
        <v>14100</v>
      </c>
      <c r="D410" s="61">
        <f t="shared" si="224"/>
        <v>0</v>
      </c>
      <c r="E410" s="61">
        <f t="shared" ref="E410:E413" si="235">+N410</f>
        <v>17000</v>
      </c>
      <c r="F410" s="61">
        <f t="shared" ref="F410:F413" si="236">+M410</f>
        <v>0</v>
      </c>
      <c r="G410" s="61">
        <f t="shared" si="222"/>
        <v>0</v>
      </c>
      <c r="H410" s="184">
        <v>-2900</v>
      </c>
      <c r="I410" s="184">
        <f t="shared" si="229"/>
        <v>-2900</v>
      </c>
      <c r="J410" s="185">
        <f>I410-H410</f>
        <v>0</v>
      </c>
      <c r="K410" s="186" t="s">
        <v>93</v>
      </c>
      <c r="L410" s="187">
        <v>0</v>
      </c>
      <c r="M410" s="187">
        <v>0</v>
      </c>
      <c r="N410" s="47">
        <v>17000</v>
      </c>
      <c r="O410" s="187">
        <v>0</v>
      </c>
    </row>
    <row r="411" spans="1:15" x14ac:dyDescent="0.3">
      <c r="A411" s="58" t="str">
        <f t="shared" si="223"/>
        <v>P10</v>
      </c>
      <c r="B411" s="98" t="s">
        <v>4</v>
      </c>
      <c r="C411" s="61">
        <v>-3000</v>
      </c>
      <c r="D411" s="61">
        <f t="shared" si="224"/>
        <v>685000</v>
      </c>
      <c r="E411" s="61">
        <f t="shared" si="235"/>
        <v>578100</v>
      </c>
      <c r="F411" s="61">
        <f t="shared" si="236"/>
        <v>0</v>
      </c>
      <c r="G411" s="61">
        <f t="shared" si="222"/>
        <v>0</v>
      </c>
      <c r="H411" s="61">
        <v>103900</v>
      </c>
      <c r="I411" s="61">
        <f t="shared" si="229"/>
        <v>103900</v>
      </c>
      <c r="J411" s="9">
        <f t="shared" ref="J411:J412" si="237">I411-H411</f>
        <v>0</v>
      </c>
      <c r="K411" s="45" t="s">
        <v>255</v>
      </c>
      <c r="L411" s="47">
        <v>685000</v>
      </c>
      <c r="M411" s="47">
        <v>0</v>
      </c>
      <c r="N411" s="47">
        <v>578100</v>
      </c>
      <c r="O411" s="47">
        <v>0</v>
      </c>
    </row>
    <row r="412" spans="1:15" ht="15.6" x14ac:dyDescent="0.3">
      <c r="A412" s="58" t="str">
        <f t="shared" si="223"/>
        <v>P29</v>
      </c>
      <c r="B412" s="59" t="s">
        <v>4</v>
      </c>
      <c r="C412" s="61">
        <v>56000</v>
      </c>
      <c r="D412" s="61">
        <f>+L412</f>
        <v>538000</v>
      </c>
      <c r="E412" s="61">
        <f t="shared" si="235"/>
        <v>418100</v>
      </c>
      <c r="F412" s="61">
        <f t="shared" si="236"/>
        <v>0</v>
      </c>
      <c r="G412" s="61">
        <f t="shared" si="222"/>
        <v>0</v>
      </c>
      <c r="H412" s="61">
        <v>175900</v>
      </c>
      <c r="I412" s="61">
        <f>+C412+D412-E412-F412+G412</f>
        <v>175900</v>
      </c>
      <c r="J412" s="9">
        <f t="shared" si="237"/>
        <v>0</v>
      </c>
      <c r="K412" s="45" t="s">
        <v>29</v>
      </c>
      <c r="L412" s="47">
        <v>538000</v>
      </c>
      <c r="M412" s="47">
        <v>0</v>
      </c>
      <c r="N412" s="187">
        <v>418100</v>
      </c>
      <c r="O412" s="47">
        <v>0</v>
      </c>
    </row>
    <row r="413" spans="1:15" x14ac:dyDescent="0.3">
      <c r="A413" s="58" t="str">
        <f t="shared" si="223"/>
        <v>Tiffany</v>
      </c>
      <c r="B413" s="59" t="s">
        <v>2</v>
      </c>
      <c r="C413" s="61">
        <v>18298</v>
      </c>
      <c r="D413" s="61">
        <f t="shared" ref="D413" si="238">+L413</f>
        <v>20000</v>
      </c>
      <c r="E413" s="61">
        <f t="shared" si="235"/>
        <v>59000</v>
      </c>
      <c r="F413" s="61">
        <f t="shared" si="236"/>
        <v>0</v>
      </c>
      <c r="G413" s="61">
        <f t="shared" si="222"/>
        <v>0</v>
      </c>
      <c r="H413" s="61">
        <v>-20702</v>
      </c>
      <c r="I413" s="61">
        <f>+C413+D413-E413-F413+G413</f>
        <v>-20702</v>
      </c>
      <c r="J413" s="9">
        <f>I413-H413</f>
        <v>0</v>
      </c>
      <c r="K413" s="45" t="s">
        <v>113</v>
      </c>
      <c r="L413" s="47">
        <v>20000</v>
      </c>
      <c r="M413" s="47">
        <v>0</v>
      </c>
      <c r="N413" s="47">
        <v>59000</v>
      </c>
      <c r="O413" s="47">
        <v>0</v>
      </c>
    </row>
    <row r="414" spans="1:15" x14ac:dyDescent="0.3">
      <c r="A414" s="10" t="s">
        <v>50</v>
      </c>
      <c r="B414" s="11"/>
      <c r="C414" s="12">
        <f t="shared" ref="C414:I414" si="239">SUM(C400:C413)</f>
        <v>22002193</v>
      </c>
      <c r="D414" s="57">
        <f t="shared" si="239"/>
        <v>10404000</v>
      </c>
      <c r="E414" s="57">
        <f t="shared" si="239"/>
        <v>8309501</v>
      </c>
      <c r="F414" s="57">
        <f t="shared" si="239"/>
        <v>10404000</v>
      </c>
      <c r="G414" s="57">
        <f t="shared" si="239"/>
        <v>12787953</v>
      </c>
      <c r="H414" s="57">
        <f t="shared" si="239"/>
        <v>26480645</v>
      </c>
      <c r="I414" s="57">
        <f t="shared" si="239"/>
        <v>26480645</v>
      </c>
      <c r="J414" s="9">
        <f>I414-H414</f>
        <v>0</v>
      </c>
      <c r="K414" s="3"/>
      <c r="L414" s="47">
        <f>+SUM(L400:L413)</f>
        <v>10404000</v>
      </c>
      <c r="M414" s="47">
        <f>+SUM(M400:M413)</f>
        <v>10404000</v>
      </c>
      <c r="N414" s="47">
        <f>+SUM(N400:N413)</f>
        <v>8309501</v>
      </c>
      <c r="O414" s="47">
        <f>+SUM(O400:O413)</f>
        <v>12787953</v>
      </c>
    </row>
    <row r="415" spans="1:15" x14ac:dyDescent="0.3">
      <c r="A415" s="10"/>
      <c r="B415" s="11"/>
      <c r="C415" s="12"/>
      <c r="D415" s="13"/>
      <c r="E415" s="12"/>
      <c r="F415" s="13"/>
      <c r="G415" s="12"/>
      <c r="H415" s="12"/>
      <c r="I415" s="134" t="b">
        <f>I414=D417</f>
        <v>1</v>
      </c>
      <c r="J415" s="9">
        <f>H414-I414</f>
        <v>0</v>
      </c>
      <c r="L415" s="5"/>
      <c r="M415" s="5"/>
      <c r="N415" s="5"/>
      <c r="O415" s="5"/>
    </row>
    <row r="416" spans="1:15" x14ac:dyDescent="0.3">
      <c r="A416" s="10" t="s">
        <v>257</v>
      </c>
      <c r="B416" s="11" t="s">
        <v>258</v>
      </c>
      <c r="C416" s="12" t="s">
        <v>163</v>
      </c>
      <c r="D416" s="12" t="s">
        <v>259</v>
      </c>
      <c r="E416" s="12" t="s">
        <v>51</v>
      </c>
      <c r="F416" s="12"/>
      <c r="G416" s="12">
        <f>+D414-F414</f>
        <v>0</v>
      </c>
      <c r="H416" s="12"/>
      <c r="I416" s="12"/>
    </row>
    <row r="417" spans="1:11" x14ac:dyDescent="0.3">
      <c r="A417" s="14">
        <f>C414</f>
        <v>22002193</v>
      </c>
      <c r="B417" s="15">
        <f>G414</f>
        <v>12787953</v>
      </c>
      <c r="C417" s="12">
        <f>E414</f>
        <v>8309501</v>
      </c>
      <c r="D417" s="12">
        <f>A417+B417-C417</f>
        <v>26480645</v>
      </c>
      <c r="E417" s="13">
        <f>I414-D417</f>
        <v>0</v>
      </c>
      <c r="F417" s="12"/>
      <c r="G417" s="12"/>
      <c r="H417" s="12"/>
      <c r="I417" s="12"/>
    </row>
    <row r="418" spans="1:11" x14ac:dyDescent="0.3">
      <c r="A418" s="14"/>
      <c r="B418" s="15"/>
      <c r="C418" s="12"/>
      <c r="D418" s="12"/>
      <c r="E418" s="13"/>
      <c r="F418" s="12"/>
      <c r="G418" s="12"/>
      <c r="H418" s="12"/>
      <c r="I418" s="12"/>
    </row>
    <row r="419" spans="1:11" x14ac:dyDescent="0.3">
      <c r="A419" s="16" t="s">
        <v>52</v>
      </c>
      <c r="B419" s="16"/>
      <c r="C419" s="16"/>
      <c r="D419" s="17"/>
      <c r="E419" s="17"/>
      <c r="F419" s="17"/>
      <c r="G419" s="17"/>
      <c r="H419" s="17"/>
      <c r="I419" s="17"/>
    </row>
    <row r="420" spans="1:11" x14ac:dyDescent="0.3">
      <c r="A420" s="18" t="s">
        <v>262</v>
      </c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1" x14ac:dyDescent="0.3">
      <c r="A421" s="19"/>
      <c r="B421" s="17"/>
      <c r="C421" s="20"/>
      <c r="D421" s="20"/>
      <c r="E421" s="20"/>
      <c r="F421" s="20"/>
      <c r="G421" s="20"/>
      <c r="H421" s="17"/>
      <c r="I421" s="17"/>
    </row>
    <row r="422" spans="1:11" ht="45" customHeight="1" x14ac:dyDescent="0.3">
      <c r="A422" s="169" t="s">
        <v>53</v>
      </c>
      <c r="B422" s="171" t="s">
        <v>54</v>
      </c>
      <c r="C422" s="173" t="s">
        <v>261</v>
      </c>
      <c r="D422" s="174" t="s">
        <v>55</v>
      </c>
      <c r="E422" s="175"/>
      <c r="F422" s="175"/>
      <c r="G422" s="176"/>
      <c r="H422" s="177" t="s">
        <v>56</v>
      </c>
      <c r="I422" s="165" t="s">
        <v>57</v>
      </c>
      <c r="J422" s="17"/>
    </row>
    <row r="423" spans="1:11" ht="28.5" customHeight="1" x14ac:dyDescent="0.3">
      <c r="A423" s="170"/>
      <c r="B423" s="172"/>
      <c r="C423" s="22"/>
      <c r="D423" s="21" t="s">
        <v>24</v>
      </c>
      <c r="E423" s="21" t="s">
        <v>25</v>
      </c>
      <c r="F423" s="22" t="s">
        <v>123</v>
      </c>
      <c r="G423" s="21" t="s">
        <v>58</v>
      </c>
      <c r="H423" s="178"/>
      <c r="I423" s="166"/>
      <c r="J423" s="167" t="s">
        <v>260</v>
      </c>
      <c r="K423" s="143"/>
    </row>
    <row r="424" spans="1:11" x14ac:dyDescent="0.3">
      <c r="A424" s="23"/>
      <c r="B424" s="24" t="s">
        <v>59</v>
      </c>
      <c r="C424" s="25"/>
      <c r="D424" s="25"/>
      <c r="E424" s="25"/>
      <c r="F424" s="25"/>
      <c r="G424" s="25"/>
      <c r="H424" s="25"/>
      <c r="I424" s="26"/>
      <c r="J424" s="168"/>
      <c r="K424" s="143"/>
    </row>
    <row r="425" spans="1:11" x14ac:dyDescent="0.3">
      <c r="A425" s="122" t="s">
        <v>98</v>
      </c>
      <c r="B425" s="127" t="s">
        <v>47</v>
      </c>
      <c r="C425" s="32">
        <f>+C403</f>
        <v>113930</v>
      </c>
      <c r="D425" s="31"/>
      <c r="E425" s="32">
        <f t="shared" ref="E425:E430" si="240">+D403</f>
        <v>614000</v>
      </c>
      <c r="F425" s="32"/>
      <c r="G425" s="32"/>
      <c r="H425" s="55">
        <f t="shared" ref="H425:H430" si="241">+F403</f>
        <v>80000</v>
      </c>
      <c r="I425" s="32">
        <f t="shared" ref="I425:I430" si="242">+E403</f>
        <v>238400</v>
      </c>
      <c r="J425" s="30">
        <f t="shared" ref="J425:J427" si="243">+SUM(C425:G425)-(H425+I425)</f>
        <v>409530</v>
      </c>
      <c r="K425" s="144" t="b">
        <f>J425=I403</f>
        <v>1</v>
      </c>
    </row>
    <row r="426" spans="1:11" x14ac:dyDescent="0.3">
      <c r="A426" s="122" t="str">
        <f>+A425</f>
        <v>NOVEMBRE</v>
      </c>
      <c r="B426" s="127" t="s">
        <v>256</v>
      </c>
      <c r="C426" s="32">
        <f t="shared" ref="C426:C427" si="244">+C404</f>
        <v>13000</v>
      </c>
      <c r="D426" s="31"/>
      <c r="E426" s="32">
        <f t="shared" si="240"/>
        <v>521000</v>
      </c>
      <c r="F426" s="32"/>
      <c r="G426" s="32"/>
      <c r="H426" s="55">
        <f t="shared" si="241"/>
        <v>20000</v>
      </c>
      <c r="I426" s="32">
        <f t="shared" si="242"/>
        <v>504300</v>
      </c>
      <c r="J426" s="101">
        <f t="shared" ref="J426" si="245">+SUM(C426:G426)-(H426+I426)</f>
        <v>9700</v>
      </c>
      <c r="K426" s="144" t="b">
        <f>J426=I404</f>
        <v>1</v>
      </c>
    </row>
    <row r="427" spans="1:11" x14ac:dyDescent="0.3">
      <c r="A427" s="122" t="str">
        <f t="shared" ref="A427:A435" si="246">+A426</f>
        <v>NOVEMBRE</v>
      </c>
      <c r="B427" s="127" t="s">
        <v>31</v>
      </c>
      <c r="C427" s="32">
        <f t="shared" si="244"/>
        <v>11575</v>
      </c>
      <c r="D427" s="31"/>
      <c r="E427" s="32">
        <f t="shared" si="240"/>
        <v>324000</v>
      </c>
      <c r="F427" s="32"/>
      <c r="G427" s="32"/>
      <c r="H427" s="55">
        <f t="shared" si="241"/>
        <v>0</v>
      </c>
      <c r="I427" s="32">
        <f t="shared" si="242"/>
        <v>70150</v>
      </c>
      <c r="J427" s="101">
        <f t="shared" si="243"/>
        <v>265425</v>
      </c>
      <c r="K427" s="144" t="b">
        <f t="shared" ref="K427:K435" si="247">J427=I405</f>
        <v>1</v>
      </c>
    </row>
    <row r="428" spans="1:11" x14ac:dyDescent="0.3">
      <c r="A428" s="122" t="str">
        <f t="shared" si="246"/>
        <v>NOVEMBRE</v>
      </c>
      <c r="B428" s="129" t="s">
        <v>84</v>
      </c>
      <c r="C428" s="120">
        <f>+C406</f>
        <v>233614</v>
      </c>
      <c r="D428" s="123"/>
      <c r="E428" s="120">
        <f t="shared" si="240"/>
        <v>0</v>
      </c>
      <c r="F428" s="137"/>
      <c r="G428" s="137"/>
      <c r="H428" s="155">
        <f t="shared" si="241"/>
        <v>0</v>
      </c>
      <c r="I428" s="120">
        <f t="shared" si="242"/>
        <v>0</v>
      </c>
      <c r="J428" s="121">
        <f>+SUM(C428:G428)-(H428+I428)</f>
        <v>233614</v>
      </c>
      <c r="K428" s="144" t="b">
        <f t="shared" si="247"/>
        <v>1</v>
      </c>
    </row>
    <row r="429" spans="1:11" x14ac:dyDescent="0.3">
      <c r="A429" s="122" t="str">
        <f t="shared" si="246"/>
        <v>NOVEMBRE</v>
      </c>
      <c r="B429" s="129" t="s">
        <v>83</v>
      </c>
      <c r="C429" s="120">
        <f>+C407</f>
        <v>249769</v>
      </c>
      <c r="D429" s="123"/>
      <c r="E429" s="120">
        <f t="shared" si="240"/>
        <v>0</v>
      </c>
      <c r="F429" s="137"/>
      <c r="G429" s="137"/>
      <c r="H429" s="155">
        <f t="shared" si="241"/>
        <v>0</v>
      </c>
      <c r="I429" s="120">
        <f t="shared" si="242"/>
        <v>0</v>
      </c>
      <c r="J429" s="121">
        <f t="shared" ref="J429:J435" si="248">+SUM(C429:G429)-(H429+I429)</f>
        <v>249769</v>
      </c>
      <c r="K429" s="144" t="b">
        <f t="shared" si="247"/>
        <v>1</v>
      </c>
    </row>
    <row r="430" spans="1:11" x14ac:dyDescent="0.3">
      <c r="A430" s="122" t="str">
        <f t="shared" si="246"/>
        <v>NOVEMBRE</v>
      </c>
      <c r="B430" s="127" t="s">
        <v>143</v>
      </c>
      <c r="C430" s="32">
        <f>+C408</f>
        <v>0</v>
      </c>
      <c r="D430" s="31"/>
      <c r="E430" s="32">
        <f t="shared" si="240"/>
        <v>950000</v>
      </c>
      <c r="F430" s="32"/>
      <c r="G430" s="104"/>
      <c r="H430" s="55">
        <f t="shared" si="241"/>
        <v>320000</v>
      </c>
      <c r="I430" s="32">
        <f t="shared" si="242"/>
        <v>33800</v>
      </c>
      <c r="J430" s="30">
        <f t="shared" si="248"/>
        <v>596200</v>
      </c>
      <c r="K430" s="144" t="b">
        <f t="shared" si="247"/>
        <v>1</v>
      </c>
    </row>
    <row r="431" spans="1:11" x14ac:dyDescent="0.3">
      <c r="A431" s="122" t="str">
        <f t="shared" si="246"/>
        <v>NOVEMBRE</v>
      </c>
      <c r="B431" s="127" t="s">
        <v>197</v>
      </c>
      <c r="C431" s="32">
        <f t="shared" ref="C431:C435" si="249">+C409</f>
        <v>46900</v>
      </c>
      <c r="D431" s="31"/>
      <c r="E431" s="32">
        <f t="shared" ref="E431:E435" si="250">+D409</f>
        <v>603000</v>
      </c>
      <c r="F431" s="32"/>
      <c r="G431" s="104"/>
      <c r="H431" s="55">
        <f t="shared" ref="H431:H435" si="251">+F409</f>
        <v>49000</v>
      </c>
      <c r="I431" s="32">
        <f t="shared" ref="I431:I435" si="252">+E409</f>
        <v>456200</v>
      </c>
      <c r="J431" s="30">
        <f t="shared" si="248"/>
        <v>144700</v>
      </c>
      <c r="K431" s="144" t="b">
        <f t="shared" si="247"/>
        <v>1</v>
      </c>
    </row>
    <row r="432" spans="1:11" x14ac:dyDescent="0.3">
      <c r="A432" s="122" t="str">
        <f t="shared" si="246"/>
        <v>NOVEMBRE</v>
      </c>
      <c r="B432" s="127" t="s">
        <v>93</v>
      </c>
      <c r="C432" s="32">
        <f t="shared" si="249"/>
        <v>14100</v>
      </c>
      <c r="D432" s="31"/>
      <c r="E432" s="32">
        <f t="shared" si="250"/>
        <v>0</v>
      </c>
      <c r="F432" s="32"/>
      <c r="G432" s="104"/>
      <c r="H432" s="55">
        <f t="shared" si="251"/>
        <v>0</v>
      </c>
      <c r="I432" s="32">
        <f t="shared" si="252"/>
        <v>17000</v>
      </c>
      <c r="J432" s="30">
        <f t="shared" si="248"/>
        <v>-2900</v>
      </c>
      <c r="K432" s="144" t="b">
        <f t="shared" si="247"/>
        <v>1</v>
      </c>
    </row>
    <row r="433" spans="1:16" x14ac:dyDescent="0.3">
      <c r="A433" s="122" t="str">
        <f t="shared" si="246"/>
        <v>NOVEMBRE</v>
      </c>
      <c r="B433" s="127" t="s">
        <v>255</v>
      </c>
      <c r="C433" s="32">
        <f t="shared" si="249"/>
        <v>-3000</v>
      </c>
      <c r="D433" s="31"/>
      <c r="E433" s="32">
        <f t="shared" si="250"/>
        <v>685000</v>
      </c>
      <c r="F433" s="32"/>
      <c r="G433" s="104"/>
      <c r="H433" s="55">
        <f t="shared" si="251"/>
        <v>0</v>
      </c>
      <c r="I433" s="32">
        <f t="shared" si="252"/>
        <v>578100</v>
      </c>
      <c r="J433" s="30">
        <f t="shared" si="248"/>
        <v>103900</v>
      </c>
      <c r="K433" s="144" t="b">
        <f t="shared" si="247"/>
        <v>1</v>
      </c>
    </row>
    <row r="434" spans="1:16" x14ac:dyDescent="0.3">
      <c r="A434" s="122" t="str">
        <f t="shared" si="246"/>
        <v>NOVEMBRE</v>
      </c>
      <c r="B434" s="127" t="s">
        <v>29</v>
      </c>
      <c r="C434" s="32">
        <f t="shared" si="249"/>
        <v>56000</v>
      </c>
      <c r="D434" s="31"/>
      <c r="E434" s="32">
        <f t="shared" si="250"/>
        <v>538000</v>
      </c>
      <c r="F434" s="32"/>
      <c r="G434" s="104"/>
      <c r="H434" s="55">
        <f t="shared" si="251"/>
        <v>0</v>
      </c>
      <c r="I434" s="32">
        <f t="shared" si="252"/>
        <v>418100</v>
      </c>
      <c r="J434" s="30">
        <f t="shared" si="248"/>
        <v>175900</v>
      </c>
      <c r="K434" s="144" t="b">
        <f t="shared" si="247"/>
        <v>1</v>
      </c>
    </row>
    <row r="435" spans="1:16" x14ac:dyDescent="0.3">
      <c r="A435" s="122" t="str">
        <f t="shared" si="246"/>
        <v>NOVEMBRE</v>
      </c>
      <c r="B435" s="128" t="s">
        <v>113</v>
      </c>
      <c r="C435" s="32">
        <f t="shared" si="249"/>
        <v>18298</v>
      </c>
      <c r="D435" s="119"/>
      <c r="E435" s="32">
        <f t="shared" si="250"/>
        <v>20000</v>
      </c>
      <c r="F435" s="51"/>
      <c r="G435" s="138"/>
      <c r="H435" s="55">
        <f t="shared" si="251"/>
        <v>0</v>
      </c>
      <c r="I435" s="32">
        <f t="shared" si="252"/>
        <v>59000</v>
      </c>
      <c r="J435" s="30">
        <f t="shared" si="248"/>
        <v>-20702</v>
      </c>
      <c r="K435" s="144" t="b">
        <f t="shared" si="247"/>
        <v>1</v>
      </c>
    </row>
    <row r="436" spans="1:16" x14ac:dyDescent="0.3">
      <c r="A436" s="34" t="s">
        <v>60</v>
      </c>
      <c r="B436" s="35"/>
      <c r="C436" s="35"/>
      <c r="D436" s="35"/>
      <c r="E436" s="35"/>
      <c r="F436" s="35"/>
      <c r="G436" s="35"/>
      <c r="H436" s="35"/>
      <c r="I436" s="35"/>
      <c r="J436" s="36"/>
      <c r="K436" s="143"/>
    </row>
    <row r="437" spans="1:16" x14ac:dyDescent="0.3">
      <c r="A437" s="122" t="str">
        <f>A435</f>
        <v>NOVEMBRE</v>
      </c>
      <c r="B437" s="37" t="s">
        <v>61</v>
      </c>
      <c r="C437" s="38">
        <f>+C402</f>
        <v>2105331</v>
      </c>
      <c r="D437" s="49"/>
      <c r="E437" s="49">
        <f>D402</f>
        <v>6149000</v>
      </c>
      <c r="F437" s="49"/>
      <c r="G437" s="125"/>
      <c r="H437" s="51">
        <f>+F402</f>
        <v>3935000</v>
      </c>
      <c r="I437" s="126">
        <f>+E402</f>
        <v>1843228</v>
      </c>
      <c r="J437" s="30">
        <f>+SUM(C437:G437)-(H437+I437)</f>
        <v>2476103</v>
      </c>
      <c r="K437" s="144" t="b">
        <f>J437=I402</f>
        <v>1</v>
      </c>
    </row>
    <row r="438" spans="1:16" x14ac:dyDescent="0.3">
      <c r="A438" s="43" t="s">
        <v>62</v>
      </c>
      <c r="B438" s="24"/>
      <c r="C438" s="35"/>
      <c r="D438" s="24"/>
      <c r="E438" s="24"/>
      <c r="F438" s="24"/>
      <c r="G438" s="24"/>
      <c r="H438" s="24"/>
      <c r="I438" s="24"/>
      <c r="J438" s="36"/>
      <c r="K438" s="143"/>
    </row>
    <row r="439" spans="1:16" x14ac:dyDescent="0.3">
      <c r="A439" s="122" t="str">
        <f>+A437</f>
        <v>NOVEMBRE</v>
      </c>
      <c r="B439" s="37" t="s">
        <v>156</v>
      </c>
      <c r="C439" s="125">
        <f>+C400</f>
        <v>9603727</v>
      </c>
      <c r="D439" s="132">
        <f>+G400</f>
        <v>12787953</v>
      </c>
      <c r="E439" s="49"/>
      <c r="F439" s="49"/>
      <c r="G439" s="49"/>
      <c r="H439" s="51">
        <f>+F400</f>
        <v>6000000</v>
      </c>
      <c r="I439" s="53">
        <f>+E400</f>
        <v>173438</v>
      </c>
      <c r="J439" s="30">
        <f>+SUM(C439:G439)-(H439+I439)</f>
        <v>16218242</v>
      </c>
      <c r="K439" s="144" t="b">
        <f>+J439=I400</f>
        <v>1</v>
      </c>
    </row>
    <row r="440" spans="1:16" x14ac:dyDescent="0.3">
      <c r="A440" s="122" t="str">
        <f t="shared" ref="A440" si="253">+A439</f>
        <v>NOVEMBRE</v>
      </c>
      <c r="B440" s="37" t="s">
        <v>64</v>
      </c>
      <c r="C440" s="125">
        <f>+C401</f>
        <v>9538949</v>
      </c>
      <c r="D440" s="49">
        <f>+G401</f>
        <v>0</v>
      </c>
      <c r="E440" s="48"/>
      <c r="F440" s="48"/>
      <c r="G440" s="48"/>
      <c r="H440" s="32">
        <f>+F401</f>
        <v>0</v>
      </c>
      <c r="I440" s="50">
        <f>+E401</f>
        <v>3917785</v>
      </c>
      <c r="J440" s="30">
        <f>SUM(C440:G440)-(H440+I440)</f>
        <v>5621164</v>
      </c>
      <c r="K440" s="144" t="b">
        <f>+J440=I401</f>
        <v>1</v>
      </c>
    </row>
    <row r="441" spans="1:16" ht="15.6" x14ac:dyDescent="0.3">
      <c r="C441" s="141">
        <f>SUM(C425:C440)</f>
        <v>22002193</v>
      </c>
      <c r="I441" s="140">
        <f>SUM(I425:I440)</f>
        <v>8309501</v>
      </c>
      <c r="J441" s="105">
        <f>+SUM(J425:J440)</f>
        <v>26480645</v>
      </c>
      <c r="K441" s="5" t="b">
        <f>J441=I414</f>
        <v>1</v>
      </c>
    </row>
    <row r="442" spans="1:16" ht="15.6" x14ac:dyDescent="0.3">
      <c r="C442" s="141"/>
      <c r="I442" s="140"/>
      <c r="J442" s="105"/>
    </row>
    <row r="443" spans="1:16" ht="15.6" x14ac:dyDescent="0.3">
      <c r="A443" s="160"/>
      <c r="B443" s="160"/>
      <c r="C443" s="161"/>
      <c r="D443" s="160"/>
      <c r="E443" s="160"/>
      <c r="F443" s="160"/>
      <c r="G443" s="160"/>
      <c r="H443" s="160"/>
      <c r="I443" s="162"/>
      <c r="J443" s="163"/>
      <c r="K443" s="160"/>
      <c r="L443" s="164"/>
      <c r="M443" s="164"/>
      <c r="N443" s="164"/>
      <c r="O443" s="164"/>
      <c r="P443" s="160"/>
    </row>
    <row r="446" spans="1:16" ht="15.6" x14ac:dyDescent="0.3">
      <c r="A446" s="6" t="s">
        <v>36</v>
      </c>
      <c r="B446" s="6" t="s">
        <v>1</v>
      </c>
      <c r="C446" s="6">
        <v>44835</v>
      </c>
      <c r="D446" s="7" t="s">
        <v>37</v>
      </c>
      <c r="E446" s="7" t="s">
        <v>38</v>
      </c>
      <c r="F446" s="7" t="s">
        <v>39</v>
      </c>
      <c r="G446" s="7" t="s">
        <v>40</v>
      </c>
      <c r="H446" s="6">
        <v>44865</v>
      </c>
      <c r="I446" s="7" t="s">
        <v>41</v>
      </c>
      <c r="K446" s="45"/>
      <c r="L446" s="45" t="s">
        <v>42</v>
      </c>
      <c r="M446" s="45" t="s">
        <v>43</v>
      </c>
      <c r="N446" s="45" t="s">
        <v>44</v>
      </c>
      <c r="O446" s="45" t="s">
        <v>45</v>
      </c>
    </row>
    <row r="447" spans="1:16" x14ac:dyDescent="0.3">
      <c r="A447" s="58" t="str">
        <f>K447</f>
        <v>BCI</v>
      </c>
      <c r="B447" s="59" t="s">
        <v>46</v>
      </c>
      <c r="C447" s="61">
        <v>14237475</v>
      </c>
      <c r="D447" s="61">
        <f>+L447</f>
        <v>0</v>
      </c>
      <c r="E447" s="61">
        <f>+N447</f>
        <v>633748</v>
      </c>
      <c r="F447" s="61">
        <f>+M447</f>
        <v>4000000</v>
      </c>
      <c r="G447" s="61">
        <f t="shared" ref="G447:G460" si="254">+O447</f>
        <v>0</v>
      </c>
      <c r="H447" s="61">
        <v>9603727</v>
      </c>
      <c r="I447" s="61">
        <f>+C447+D447-E447-F447+G447</f>
        <v>9603727</v>
      </c>
      <c r="J447" s="9">
        <f>I447-H447</f>
        <v>0</v>
      </c>
      <c r="K447" s="45" t="s">
        <v>24</v>
      </c>
      <c r="L447" s="47">
        <v>0</v>
      </c>
      <c r="M447" s="47">
        <v>4000000</v>
      </c>
      <c r="N447" s="47">
        <v>633748</v>
      </c>
      <c r="O447" s="47">
        <v>0</v>
      </c>
    </row>
    <row r="448" spans="1:16" x14ac:dyDescent="0.3">
      <c r="A448" s="58" t="str">
        <f t="shared" ref="A448:A460" si="255">K448</f>
        <v>BCI-Sous Compte</v>
      </c>
      <c r="B448" s="59" t="s">
        <v>46</v>
      </c>
      <c r="C448" s="61">
        <v>8844061</v>
      </c>
      <c r="D448" s="61">
        <f t="shared" ref="D448:D460" si="256">+L448</f>
        <v>0</v>
      </c>
      <c r="E448" s="61">
        <f t="shared" ref="E448:E452" si="257">+N448</f>
        <v>4731844</v>
      </c>
      <c r="F448" s="61">
        <f t="shared" ref="F448:F454" si="258">+M448</f>
        <v>0</v>
      </c>
      <c r="G448" s="61">
        <f t="shared" si="254"/>
        <v>5426732</v>
      </c>
      <c r="H448" s="61">
        <v>9538949</v>
      </c>
      <c r="I448" s="61">
        <f>+C448+D448-E448-F448+G448</f>
        <v>9538949</v>
      </c>
      <c r="J448" s="9">
        <f>I448-H448</f>
        <v>0</v>
      </c>
      <c r="K448" s="45" t="s">
        <v>148</v>
      </c>
      <c r="L448" s="46">
        <v>0</v>
      </c>
      <c r="M448" s="47">
        <v>0</v>
      </c>
      <c r="N448" s="47">
        <v>4731844</v>
      </c>
      <c r="O448" s="47">
        <v>5426732</v>
      </c>
    </row>
    <row r="449" spans="1:15" x14ac:dyDescent="0.3">
      <c r="A449" s="58" t="str">
        <f t="shared" si="255"/>
        <v>Caisse</v>
      </c>
      <c r="B449" s="59" t="s">
        <v>25</v>
      </c>
      <c r="C449" s="61">
        <v>1081474</v>
      </c>
      <c r="D449" s="61">
        <f t="shared" si="256"/>
        <v>4595950</v>
      </c>
      <c r="E449" s="61">
        <f t="shared" si="257"/>
        <v>2106393</v>
      </c>
      <c r="F449" s="61">
        <f t="shared" si="258"/>
        <v>1465700</v>
      </c>
      <c r="G449" s="61">
        <f t="shared" si="254"/>
        <v>0</v>
      </c>
      <c r="H449" s="61">
        <v>2105331</v>
      </c>
      <c r="I449" s="61">
        <f>+C449+D449-E449-F449+G449</f>
        <v>2105331</v>
      </c>
      <c r="J449" s="102">
        <f t="shared" ref="J449:J455" si="259">I449-H449</f>
        <v>0</v>
      </c>
      <c r="K449" s="45" t="s">
        <v>25</v>
      </c>
      <c r="L449" s="47">
        <v>4595950</v>
      </c>
      <c r="M449" s="47">
        <v>1465700</v>
      </c>
      <c r="N449" s="47">
        <v>2106393</v>
      </c>
      <c r="O449" s="47">
        <v>0</v>
      </c>
    </row>
    <row r="450" spans="1:15" x14ac:dyDescent="0.3">
      <c r="A450" s="58" t="str">
        <f t="shared" si="255"/>
        <v>Crépin</v>
      </c>
      <c r="B450" s="59" t="s">
        <v>154</v>
      </c>
      <c r="C450" s="61">
        <v>483330</v>
      </c>
      <c r="D450" s="61">
        <f t="shared" si="256"/>
        <v>552500</v>
      </c>
      <c r="E450" s="61">
        <f t="shared" si="257"/>
        <v>521900</v>
      </c>
      <c r="F450" s="61">
        <f t="shared" si="258"/>
        <v>400000</v>
      </c>
      <c r="G450" s="61">
        <f t="shared" si="254"/>
        <v>0</v>
      </c>
      <c r="H450" s="61">
        <v>113930</v>
      </c>
      <c r="I450" s="61">
        <f>+C450+D450-E450-F450+G450</f>
        <v>113930</v>
      </c>
      <c r="J450" s="9">
        <f t="shared" si="259"/>
        <v>0</v>
      </c>
      <c r="K450" s="45" t="s">
        <v>47</v>
      </c>
      <c r="L450" s="47">
        <v>552500</v>
      </c>
      <c r="M450" s="47">
        <v>400000</v>
      </c>
      <c r="N450" s="47">
        <v>521900</v>
      </c>
      <c r="O450" s="47">
        <v>0</v>
      </c>
    </row>
    <row r="451" spans="1:15" x14ac:dyDescent="0.3">
      <c r="A451" s="58" t="str">
        <f t="shared" si="255"/>
        <v>Donald</v>
      </c>
      <c r="B451" s="59" t="s">
        <v>154</v>
      </c>
      <c r="C451" s="61">
        <v>0</v>
      </c>
      <c r="D451" s="61">
        <f t="shared" si="256"/>
        <v>20000</v>
      </c>
      <c r="E451" s="61">
        <f t="shared" si="257"/>
        <v>7000</v>
      </c>
      <c r="F451" s="61">
        <f t="shared" si="258"/>
        <v>0</v>
      </c>
      <c r="G451" s="61">
        <f t="shared" si="254"/>
        <v>0</v>
      </c>
      <c r="H451" s="61">
        <v>13000</v>
      </c>
      <c r="I451" s="61">
        <f t="shared" ref="I451:I452" si="260">+C451+D451-E451-F451+G451</f>
        <v>13000</v>
      </c>
      <c r="J451" s="9">
        <f t="shared" si="259"/>
        <v>0</v>
      </c>
      <c r="K451" s="45" t="s">
        <v>256</v>
      </c>
      <c r="L451" s="47">
        <v>20000</v>
      </c>
      <c r="M451" s="47">
        <v>0</v>
      </c>
      <c r="N451" s="47">
        <v>7000</v>
      </c>
      <c r="O451" s="47">
        <v>0</v>
      </c>
    </row>
    <row r="452" spans="1:15" x14ac:dyDescent="0.3">
      <c r="A452" s="58" t="str">
        <f t="shared" si="255"/>
        <v>Evariste</v>
      </c>
      <c r="B452" s="59" t="s">
        <v>155</v>
      </c>
      <c r="C452" s="61">
        <v>76225</v>
      </c>
      <c r="D452" s="61">
        <f t="shared" si="256"/>
        <v>15000</v>
      </c>
      <c r="E452" s="61">
        <f t="shared" si="257"/>
        <v>34650</v>
      </c>
      <c r="F452" s="61">
        <f t="shared" si="258"/>
        <v>45000</v>
      </c>
      <c r="G452" s="61">
        <f t="shared" si="254"/>
        <v>0</v>
      </c>
      <c r="H452" s="61">
        <v>11575</v>
      </c>
      <c r="I452" s="61">
        <f t="shared" si="260"/>
        <v>11575</v>
      </c>
      <c r="J452" s="9">
        <f t="shared" si="259"/>
        <v>0</v>
      </c>
      <c r="K452" s="45" t="s">
        <v>31</v>
      </c>
      <c r="L452" s="47">
        <v>15000</v>
      </c>
      <c r="M452" s="47">
        <v>45000</v>
      </c>
      <c r="N452" s="47">
        <v>34650</v>
      </c>
      <c r="O452" s="47">
        <v>0</v>
      </c>
    </row>
    <row r="453" spans="1:15" x14ac:dyDescent="0.3">
      <c r="A453" s="58" t="str">
        <f t="shared" si="255"/>
        <v>I55S</v>
      </c>
      <c r="B453" s="116" t="s">
        <v>4</v>
      </c>
      <c r="C453" s="118">
        <v>233614</v>
      </c>
      <c r="D453" s="118">
        <f t="shared" si="256"/>
        <v>0</v>
      </c>
      <c r="E453" s="118">
        <f>+N453</f>
        <v>0</v>
      </c>
      <c r="F453" s="118">
        <f t="shared" si="258"/>
        <v>0</v>
      </c>
      <c r="G453" s="118">
        <f t="shared" si="254"/>
        <v>0</v>
      </c>
      <c r="H453" s="118">
        <v>233614</v>
      </c>
      <c r="I453" s="118">
        <f>+C453+D453-E453-F453+G453</f>
        <v>233614</v>
      </c>
      <c r="J453" s="9">
        <f t="shared" si="259"/>
        <v>0</v>
      </c>
      <c r="K453" s="45" t="s">
        <v>84</v>
      </c>
      <c r="L453" s="47">
        <v>0</v>
      </c>
      <c r="M453" s="47">
        <v>0</v>
      </c>
      <c r="N453" s="47">
        <v>0</v>
      </c>
      <c r="O453" s="47">
        <v>0</v>
      </c>
    </row>
    <row r="454" spans="1:15" x14ac:dyDescent="0.3">
      <c r="A454" s="58" t="str">
        <f t="shared" si="255"/>
        <v>I73X</v>
      </c>
      <c r="B454" s="116" t="s">
        <v>4</v>
      </c>
      <c r="C454" s="118">
        <v>249769</v>
      </c>
      <c r="D454" s="118">
        <f t="shared" si="256"/>
        <v>0</v>
      </c>
      <c r="E454" s="118">
        <f>+N454</f>
        <v>0</v>
      </c>
      <c r="F454" s="118">
        <f t="shared" si="258"/>
        <v>0</v>
      </c>
      <c r="G454" s="118">
        <f t="shared" si="254"/>
        <v>0</v>
      </c>
      <c r="H454" s="118">
        <v>249769</v>
      </c>
      <c r="I454" s="118">
        <f t="shared" ref="I454:I457" si="261">+C454+D454-E454-F454+G454</f>
        <v>249769</v>
      </c>
      <c r="J454" s="9">
        <f t="shared" si="259"/>
        <v>0</v>
      </c>
      <c r="K454" s="45" t="s">
        <v>83</v>
      </c>
      <c r="L454" s="47">
        <v>0</v>
      </c>
      <c r="M454" s="47">
        <v>0</v>
      </c>
      <c r="N454" s="47">
        <v>0</v>
      </c>
      <c r="O454" s="47">
        <v>0</v>
      </c>
    </row>
    <row r="455" spans="1:15" x14ac:dyDescent="0.3">
      <c r="A455" s="58" t="str">
        <f t="shared" si="255"/>
        <v>Hurielle</v>
      </c>
      <c r="B455" s="98" t="s">
        <v>154</v>
      </c>
      <c r="C455" s="61">
        <v>41200</v>
      </c>
      <c r="D455" s="61">
        <f t="shared" si="256"/>
        <v>294000</v>
      </c>
      <c r="E455" s="61">
        <f>+N455</f>
        <v>258300</v>
      </c>
      <c r="F455" s="61">
        <f>+M455</f>
        <v>30000</v>
      </c>
      <c r="G455" s="61">
        <f t="shared" si="254"/>
        <v>0</v>
      </c>
      <c r="H455" s="61">
        <v>46900</v>
      </c>
      <c r="I455" s="61">
        <f t="shared" si="261"/>
        <v>46900</v>
      </c>
      <c r="J455" s="9">
        <f t="shared" si="259"/>
        <v>0</v>
      </c>
      <c r="K455" s="45" t="s">
        <v>197</v>
      </c>
      <c r="L455" s="47">
        <v>294000</v>
      </c>
      <c r="M455" s="47">
        <v>30000</v>
      </c>
      <c r="N455" s="47">
        <v>258300</v>
      </c>
      <c r="O455" s="47">
        <v>0</v>
      </c>
    </row>
    <row r="456" spans="1:15" s="188" customFormat="1" ht="15.6" x14ac:dyDescent="0.3">
      <c r="A456" s="58" t="str">
        <f t="shared" si="255"/>
        <v>Merveille</v>
      </c>
      <c r="B456" s="183" t="s">
        <v>2</v>
      </c>
      <c r="C456" s="184">
        <v>98100</v>
      </c>
      <c r="D456" s="61">
        <f t="shared" si="256"/>
        <v>0</v>
      </c>
      <c r="E456" s="61">
        <f t="shared" ref="E456:E460" si="262">+N456</f>
        <v>24000</v>
      </c>
      <c r="F456" s="61">
        <f t="shared" ref="F456:F460" si="263">+M456</f>
        <v>60000</v>
      </c>
      <c r="G456" s="61">
        <f t="shared" si="254"/>
        <v>0</v>
      </c>
      <c r="H456" s="184">
        <v>14100</v>
      </c>
      <c r="I456" s="184">
        <f t="shared" si="261"/>
        <v>14100</v>
      </c>
      <c r="J456" s="185">
        <f>I456-H456</f>
        <v>0</v>
      </c>
      <c r="K456" s="186" t="s">
        <v>93</v>
      </c>
      <c r="L456" s="187">
        <v>0</v>
      </c>
      <c r="M456" s="187">
        <v>60000</v>
      </c>
      <c r="N456" s="47">
        <v>24000</v>
      </c>
      <c r="O456" s="187">
        <v>0</v>
      </c>
    </row>
    <row r="457" spans="1:15" x14ac:dyDescent="0.3">
      <c r="A457" s="58" t="str">
        <f t="shared" si="255"/>
        <v>P10</v>
      </c>
      <c r="B457" s="59" t="s">
        <v>4</v>
      </c>
      <c r="C457" s="61">
        <v>0</v>
      </c>
      <c r="D457" s="61">
        <f t="shared" si="256"/>
        <v>105000</v>
      </c>
      <c r="E457" s="61">
        <f t="shared" si="262"/>
        <v>98000</v>
      </c>
      <c r="F457" s="61">
        <f t="shared" si="263"/>
        <v>10000</v>
      </c>
      <c r="G457" s="61">
        <f t="shared" si="254"/>
        <v>0</v>
      </c>
      <c r="H457" s="61">
        <v>-3000</v>
      </c>
      <c r="I457" s="61">
        <f t="shared" si="261"/>
        <v>-3000</v>
      </c>
      <c r="J457" s="9">
        <f t="shared" ref="J457:J458" si="264">I457-H457</f>
        <v>0</v>
      </c>
      <c r="K457" s="45" t="s">
        <v>255</v>
      </c>
      <c r="L457" s="47">
        <v>105000</v>
      </c>
      <c r="M457" s="47">
        <v>10000</v>
      </c>
      <c r="N457" s="47">
        <v>98000</v>
      </c>
      <c r="O457" s="47">
        <v>0</v>
      </c>
    </row>
    <row r="458" spans="1:15" ht="15.6" x14ac:dyDescent="0.3">
      <c r="A458" s="58" t="str">
        <f t="shared" si="255"/>
        <v>P29</v>
      </c>
      <c r="B458" s="59" t="s">
        <v>4</v>
      </c>
      <c r="C458" s="61">
        <v>60950</v>
      </c>
      <c r="D458" s="61">
        <f>+L458</f>
        <v>315000</v>
      </c>
      <c r="E458" s="61">
        <f t="shared" si="262"/>
        <v>259000</v>
      </c>
      <c r="F458" s="61">
        <f t="shared" si="263"/>
        <v>60950</v>
      </c>
      <c r="G458" s="61">
        <f t="shared" si="254"/>
        <v>0</v>
      </c>
      <c r="H458" s="61">
        <v>56000</v>
      </c>
      <c r="I458" s="61">
        <f>+C458+D458-E458-F458+G458</f>
        <v>56000</v>
      </c>
      <c r="J458" s="9">
        <f t="shared" si="264"/>
        <v>0</v>
      </c>
      <c r="K458" s="45" t="s">
        <v>29</v>
      </c>
      <c r="L458" s="47">
        <v>315000</v>
      </c>
      <c r="M458" s="47">
        <v>60950</v>
      </c>
      <c r="N458" s="187">
        <v>259000</v>
      </c>
      <c r="O458" s="47">
        <v>0</v>
      </c>
    </row>
    <row r="459" spans="1:15" x14ac:dyDescent="0.3">
      <c r="A459" s="58" t="str">
        <f t="shared" si="255"/>
        <v>Tiffany</v>
      </c>
      <c r="B459" s="59" t="s">
        <v>2</v>
      </c>
      <c r="C459" s="61">
        <v>26298</v>
      </c>
      <c r="D459" s="61">
        <f t="shared" si="256"/>
        <v>150000</v>
      </c>
      <c r="E459" s="61">
        <f t="shared" si="262"/>
        <v>158000</v>
      </c>
      <c r="F459" s="61">
        <f t="shared" si="263"/>
        <v>0</v>
      </c>
      <c r="G459" s="61">
        <f t="shared" si="254"/>
        <v>0</v>
      </c>
      <c r="H459" s="61">
        <v>18298</v>
      </c>
      <c r="I459" s="61">
        <f>+C459+D459-E459-F459+G459</f>
        <v>18298</v>
      </c>
      <c r="J459" s="9">
        <f>I459-H459</f>
        <v>0</v>
      </c>
      <c r="K459" s="45" t="s">
        <v>113</v>
      </c>
      <c r="L459" s="47">
        <v>150000</v>
      </c>
      <c r="M459" s="47">
        <v>0</v>
      </c>
      <c r="N459" s="47">
        <v>158000</v>
      </c>
      <c r="O459" s="47">
        <v>0</v>
      </c>
    </row>
    <row r="460" spans="1:15" x14ac:dyDescent="0.3">
      <c r="A460" s="58" t="str">
        <f t="shared" si="255"/>
        <v>Yan</v>
      </c>
      <c r="B460" s="59" t="s">
        <v>154</v>
      </c>
      <c r="C460" s="61">
        <v>-1700</v>
      </c>
      <c r="D460" s="61">
        <f t="shared" si="256"/>
        <v>24200</v>
      </c>
      <c r="E460" s="61">
        <f t="shared" si="262"/>
        <v>22500</v>
      </c>
      <c r="F460" s="61">
        <f t="shared" si="263"/>
        <v>0</v>
      </c>
      <c r="G460" s="61">
        <f t="shared" si="254"/>
        <v>0</v>
      </c>
      <c r="H460" s="61">
        <v>0</v>
      </c>
      <c r="I460" s="61">
        <f t="shared" ref="I460" si="265">+C460+D460-E460-F460+G460</f>
        <v>0</v>
      </c>
      <c r="J460" s="9">
        <f t="shared" ref="J460" si="266">I460-H460</f>
        <v>0</v>
      </c>
      <c r="K460" s="45" t="s">
        <v>212</v>
      </c>
      <c r="L460" s="47">
        <v>24200</v>
      </c>
      <c r="M460" s="47">
        <v>0</v>
      </c>
      <c r="N460" s="47">
        <v>22500</v>
      </c>
      <c r="O460" s="47">
        <v>0</v>
      </c>
    </row>
    <row r="461" spans="1:15" x14ac:dyDescent="0.3">
      <c r="A461" s="10" t="s">
        <v>50</v>
      </c>
      <c r="B461" s="11"/>
      <c r="C461" s="12">
        <f t="shared" ref="C461:G461" si="267">SUM(C447:C460)</f>
        <v>25430796</v>
      </c>
      <c r="D461" s="57">
        <f t="shared" si="267"/>
        <v>6071650</v>
      </c>
      <c r="E461" s="57">
        <f t="shared" si="267"/>
        <v>8855335</v>
      </c>
      <c r="F461" s="57">
        <f t="shared" si="267"/>
        <v>6071650</v>
      </c>
      <c r="G461" s="57">
        <f t="shared" si="267"/>
        <v>5426732</v>
      </c>
      <c r="H461" s="57">
        <f>SUM(H447:H460)</f>
        <v>22002193</v>
      </c>
      <c r="I461" s="57">
        <f t="shared" ref="I461" si="268">SUM(I447:I460)</f>
        <v>22002193</v>
      </c>
      <c r="J461" s="9">
        <f>I461-H461</f>
        <v>0</v>
      </c>
      <c r="K461" s="3"/>
      <c r="L461" s="47">
        <f>+SUM(L447:L460)</f>
        <v>6071650</v>
      </c>
      <c r="M461" s="47">
        <f>+SUM(M447:M460)</f>
        <v>6071650</v>
      </c>
      <c r="N461" s="47">
        <f>+SUM(N447:N460)</f>
        <v>8855335</v>
      </c>
      <c r="O461" s="47">
        <f>+SUM(O447:O460)</f>
        <v>5426732</v>
      </c>
    </row>
    <row r="462" spans="1:15" x14ac:dyDescent="0.3">
      <c r="A462" s="10"/>
      <c r="B462" s="11"/>
      <c r="C462" s="12"/>
      <c r="D462" s="13"/>
      <c r="E462" s="12"/>
      <c r="F462" s="13"/>
      <c r="G462" s="12"/>
      <c r="H462" s="12"/>
      <c r="I462" s="134" t="b">
        <f>I461=D464</f>
        <v>1</v>
      </c>
      <c r="J462" s="9">
        <f>H461-I461</f>
        <v>0</v>
      </c>
      <c r="L462" s="5"/>
      <c r="M462" s="5"/>
      <c r="N462" s="5"/>
      <c r="O462" s="5"/>
    </row>
    <row r="463" spans="1:15" x14ac:dyDescent="0.3">
      <c r="A463" s="10" t="s">
        <v>248</v>
      </c>
      <c r="B463" s="11" t="s">
        <v>249</v>
      </c>
      <c r="C463" s="12" t="s">
        <v>250</v>
      </c>
      <c r="D463" s="12" t="s">
        <v>251</v>
      </c>
      <c r="E463" s="12" t="s">
        <v>51</v>
      </c>
      <c r="F463" s="12"/>
      <c r="G463" s="12">
        <f>+D461-F461</f>
        <v>0</v>
      </c>
      <c r="H463" s="12"/>
      <c r="I463" s="12"/>
    </row>
    <row r="464" spans="1:15" x14ac:dyDescent="0.3">
      <c r="A464" s="14">
        <f>C461</f>
        <v>25430796</v>
      </c>
      <c r="B464" s="15">
        <f>G461</f>
        <v>5426732</v>
      </c>
      <c r="C464" s="12">
        <f>E461</f>
        <v>8855335</v>
      </c>
      <c r="D464" s="12">
        <f>A464+B464-C464</f>
        <v>22002193</v>
      </c>
      <c r="E464" s="13">
        <f>I461-D464</f>
        <v>0</v>
      </c>
      <c r="F464" s="12"/>
      <c r="G464" s="12"/>
      <c r="H464" s="12"/>
      <c r="I464" s="12"/>
    </row>
    <row r="465" spans="1:11" x14ac:dyDescent="0.3">
      <c r="A465" s="14"/>
      <c r="B465" s="15"/>
      <c r="C465" s="12"/>
      <c r="D465" s="12"/>
      <c r="E465" s="13"/>
      <c r="F465" s="12"/>
      <c r="G465" s="12"/>
      <c r="H465" s="12"/>
      <c r="I465" s="12"/>
    </row>
    <row r="466" spans="1:11" x14ac:dyDescent="0.3">
      <c r="A466" s="16" t="s">
        <v>52</v>
      </c>
      <c r="B466" s="16"/>
      <c r="C466" s="16"/>
      <c r="D466" s="17"/>
      <c r="E466" s="17"/>
      <c r="F466" s="17"/>
      <c r="G466" s="17"/>
      <c r="H466" s="17"/>
      <c r="I466" s="17"/>
    </row>
    <row r="467" spans="1:11" x14ac:dyDescent="0.3">
      <c r="A467" s="18" t="s">
        <v>254</v>
      </c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1" x14ac:dyDescent="0.3">
      <c r="A468" s="19"/>
      <c r="B468" s="17"/>
      <c r="C468" s="20"/>
      <c r="D468" s="20"/>
      <c r="E468" s="20"/>
      <c r="F468" s="20"/>
      <c r="G468" s="20"/>
      <c r="H468" s="17"/>
      <c r="I468" s="17"/>
    </row>
    <row r="469" spans="1:11" ht="45" customHeight="1" x14ac:dyDescent="0.3">
      <c r="A469" s="169" t="s">
        <v>53</v>
      </c>
      <c r="B469" s="171" t="s">
        <v>54</v>
      </c>
      <c r="C469" s="173" t="s">
        <v>252</v>
      </c>
      <c r="D469" s="174" t="s">
        <v>55</v>
      </c>
      <c r="E469" s="175"/>
      <c r="F469" s="175"/>
      <c r="G469" s="176"/>
      <c r="H469" s="177" t="s">
        <v>56</v>
      </c>
      <c r="I469" s="165" t="s">
        <v>57</v>
      </c>
      <c r="J469" s="17"/>
    </row>
    <row r="470" spans="1:11" ht="28.5" customHeight="1" x14ac:dyDescent="0.3">
      <c r="A470" s="170"/>
      <c r="B470" s="172"/>
      <c r="C470" s="22"/>
      <c r="D470" s="21" t="s">
        <v>24</v>
      </c>
      <c r="E470" s="21" t="s">
        <v>25</v>
      </c>
      <c r="F470" s="22" t="s">
        <v>123</v>
      </c>
      <c r="G470" s="21" t="s">
        <v>58</v>
      </c>
      <c r="H470" s="178"/>
      <c r="I470" s="166"/>
      <c r="J470" s="167" t="s">
        <v>253</v>
      </c>
      <c r="K470" s="143"/>
    </row>
    <row r="471" spans="1:11" x14ac:dyDescent="0.3">
      <c r="A471" s="23"/>
      <c r="B471" s="24" t="s">
        <v>59</v>
      </c>
      <c r="C471" s="25"/>
      <c r="D471" s="25"/>
      <c r="E471" s="25"/>
      <c r="F471" s="25"/>
      <c r="G471" s="25"/>
      <c r="H471" s="25"/>
      <c r="I471" s="26"/>
      <c r="J471" s="168"/>
      <c r="K471" s="143"/>
    </row>
    <row r="472" spans="1:11" x14ac:dyDescent="0.3">
      <c r="A472" s="122" t="s">
        <v>90</v>
      </c>
      <c r="B472" s="127" t="s">
        <v>47</v>
      </c>
      <c r="C472" s="32">
        <f>+C450</f>
        <v>483330</v>
      </c>
      <c r="D472" s="31"/>
      <c r="E472" s="32">
        <f>+D450</f>
        <v>552500</v>
      </c>
      <c r="F472" s="32"/>
      <c r="G472" s="32"/>
      <c r="H472" s="55">
        <f>+F450</f>
        <v>400000</v>
      </c>
      <c r="I472" s="32">
        <f>+E450</f>
        <v>521900</v>
      </c>
      <c r="J472" s="30">
        <f t="shared" ref="J472" si="269">+SUM(C472:G472)-(H472+I472)</f>
        <v>113930</v>
      </c>
      <c r="K472" s="144" t="b">
        <f>J472=I450</f>
        <v>1</v>
      </c>
    </row>
    <row r="473" spans="1:11" x14ac:dyDescent="0.3">
      <c r="A473" s="122" t="str">
        <f>+A472</f>
        <v>OCTOBRE</v>
      </c>
      <c r="B473" s="127" t="s">
        <v>256</v>
      </c>
      <c r="C473" s="32">
        <f>+C451</f>
        <v>0</v>
      </c>
      <c r="D473" s="31"/>
      <c r="E473" s="32">
        <f>+D451</f>
        <v>20000</v>
      </c>
      <c r="F473" s="32"/>
      <c r="G473" s="32"/>
      <c r="H473" s="55">
        <f>+F451</f>
        <v>0</v>
      </c>
      <c r="I473" s="32">
        <f>+E451</f>
        <v>7000</v>
      </c>
      <c r="J473" s="101">
        <f>+SUM(C473:G473)-(H473+I473)</f>
        <v>13000</v>
      </c>
      <c r="K473" s="144" t="b">
        <f>J473=I451</f>
        <v>1</v>
      </c>
    </row>
    <row r="474" spans="1:11" x14ac:dyDescent="0.3">
      <c r="A474" s="122" t="str">
        <f t="shared" ref="A474:A478" si="270">+A473</f>
        <v>OCTOBRE</v>
      </c>
      <c r="B474" s="129" t="s">
        <v>84</v>
      </c>
      <c r="C474" s="120">
        <f t="shared" ref="C474:C475" si="271">+C453</f>
        <v>233614</v>
      </c>
      <c r="D474" s="123"/>
      <c r="E474" s="120">
        <f t="shared" ref="E474:E475" si="272">+D453</f>
        <v>0</v>
      </c>
      <c r="F474" s="137"/>
      <c r="G474" s="137"/>
      <c r="H474" s="155">
        <f t="shared" ref="H474:H475" si="273">+F453</f>
        <v>0</v>
      </c>
      <c r="I474" s="120">
        <f t="shared" ref="I474:I475" si="274">+E453</f>
        <v>0</v>
      </c>
      <c r="J474" s="121">
        <f>+SUM(C474:G474)-(H474+I474)</f>
        <v>233614</v>
      </c>
      <c r="K474" s="144" t="b">
        <f t="shared" ref="K474:K475" si="275">J474=I453</f>
        <v>1</v>
      </c>
    </row>
    <row r="475" spans="1:11" x14ac:dyDescent="0.3">
      <c r="A475" s="122" t="str">
        <f t="shared" si="270"/>
        <v>OCTOBRE</v>
      </c>
      <c r="B475" s="129" t="s">
        <v>83</v>
      </c>
      <c r="C475" s="120">
        <f t="shared" si="271"/>
        <v>249769</v>
      </c>
      <c r="D475" s="123"/>
      <c r="E475" s="120">
        <f t="shared" si="272"/>
        <v>0</v>
      </c>
      <c r="F475" s="137"/>
      <c r="G475" s="137"/>
      <c r="H475" s="155">
        <f t="shared" si="273"/>
        <v>0</v>
      </c>
      <c r="I475" s="120">
        <f t="shared" si="274"/>
        <v>0</v>
      </c>
      <c r="J475" s="121">
        <f t="shared" ref="J475:J482" si="276">+SUM(C475:G475)-(H475+I475)</f>
        <v>249769</v>
      </c>
      <c r="K475" s="144" t="b">
        <f t="shared" si="275"/>
        <v>1</v>
      </c>
    </row>
    <row r="476" spans="1:11" x14ac:dyDescent="0.3">
      <c r="A476" s="122" t="str">
        <f t="shared" si="270"/>
        <v>OCTOBRE</v>
      </c>
      <c r="B476" s="127" t="s">
        <v>31</v>
      </c>
      <c r="C476" s="32">
        <f>C452</f>
        <v>76225</v>
      </c>
      <c r="D476" s="31"/>
      <c r="E476" s="32">
        <f>+D452</f>
        <v>15000</v>
      </c>
      <c r="F476" s="32"/>
      <c r="G476" s="104"/>
      <c r="H476" s="55">
        <f>+F452</f>
        <v>45000</v>
      </c>
      <c r="I476" s="32">
        <f>+E452</f>
        <v>34650</v>
      </c>
      <c r="J476" s="30">
        <f t="shared" si="276"/>
        <v>11575</v>
      </c>
      <c r="K476" s="144" t="b">
        <f>J476=I452</f>
        <v>1</v>
      </c>
    </row>
    <row r="477" spans="1:11" x14ac:dyDescent="0.3">
      <c r="A477" s="122" t="str">
        <f t="shared" si="270"/>
        <v>OCTOBRE</v>
      </c>
      <c r="B477" s="127" t="s">
        <v>197</v>
      </c>
      <c r="C477" s="32">
        <f>C455</f>
        <v>41200</v>
      </c>
      <c r="D477" s="31"/>
      <c r="E477" s="32">
        <f>+D455</f>
        <v>294000</v>
      </c>
      <c r="F477" s="32"/>
      <c r="G477" s="104"/>
      <c r="H477" s="55">
        <f>+F455</f>
        <v>30000</v>
      </c>
      <c r="I477" s="32">
        <f>+E455</f>
        <v>258300</v>
      </c>
      <c r="J477" s="30">
        <f t="shared" si="276"/>
        <v>46900</v>
      </c>
      <c r="K477" s="144" t="b">
        <f>J477=I455</f>
        <v>1</v>
      </c>
    </row>
    <row r="478" spans="1:11" x14ac:dyDescent="0.3">
      <c r="A478" s="122" t="str">
        <f t="shared" si="270"/>
        <v>OCTOBRE</v>
      </c>
      <c r="B478" s="127" t="s">
        <v>93</v>
      </c>
      <c r="C478" s="32">
        <f t="shared" ref="C478:C482" si="277">C456</f>
        <v>98100</v>
      </c>
      <c r="D478" s="31"/>
      <c r="E478" s="32">
        <f t="shared" ref="E478:E482" si="278">+D456</f>
        <v>0</v>
      </c>
      <c r="F478" s="32"/>
      <c r="G478" s="104"/>
      <c r="H478" s="55">
        <f t="shared" ref="H478:H482" si="279">+F456</f>
        <v>60000</v>
      </c>
      <c r="I478" s="32">
        <f t="shared" ref="I478:I482" si="280">+E456</f>
        <v>24000</v>
      </c>
      <c r="J478" s="30">
        <f t="shared" si="276"/>
        <v>14100</v>
      </c>
      <c r="K478" s="144" t="b">
        <f t="shared" ref="K478:K482" si="281">J478=I456</f>
        <v>1</v>
      </c>
    </row>
    <row r="479" spans="1:11" x14ac:dyDescent="0.3">
      <c r="A479" s="122" t="str">
        <f>+A477</f>
        <v>OCTOBRE</v>
      </c>
      <c r="B479" s="127" t="s">
        <v>255</v>
      </c>
      <c r="C479" s="32">
        <f t="shared" si="277"/>
        <v>0</v>
      </c>
      <c r="D479" s="31"/>
      <c r="E479" s="32">
        <f t="shared" si="278"/>
        <v>105000</v>
      </c>
      <c r="F479" s="32"/>
      <c r="G479" s="104"/>
      <c r="H479" s="55">
        <f t="shared" si="279"/>
        <v>10000</v>
      </c>
      <c r="I479" s="32">
        <f t="shared" si="280"/>
        <v>98000</v>
      </c>
      <c r="J479" s="30">
        <f t="shared" si="276"/>
        <v>-3000</v>
      </c>
      <c r="K479" s="144" t="b">
        <f t="shared" si="281"/>
        <v>1</v>
      </c>
    </row>
    <row r="480" spans="1:11" x14ac:dyDescent="0.3">
      <c r="A480" s="122" t="str">
        <f t="shared" ref="A480:A482" si="282">+A478</f>
        <v>OCTOBRE</v>
      </c>
      <c r="B480" s="127" t="s">
        <v>29</v>
      </c>
      <c r="C480" s="32">
        <f t="shared" si="277"/>
        <v>60950</v>
      </c>
      <c r="D480" s="31"/>
      <c r="E480" s="32">
        <f t="shared" si="278"/>
        <v>315000</v>
      </c>
      <c r="F480" s="32"/>
      <c r="G480" s="104"/>
      <c r="H480" s="55">
        <f t="shared" si="279"/>
        <v>60950</v>
      </c>
      <c r="I480" s="32">
        <f t="shared" si="280"/>
        <v>259000</v>
      </c>
      <c r="J480" s="30">
        <f t="shared" si="276"/>
        <v>56000</v>
      </c>
      <c r="K480" s="144" t="b">
        <f t="shared" si="281"/>
        <v>1</v>
      </c>
    </row>
    <row r="481" spans="1:16" x14ac:dyDescent="0.3">
      <c r="A481" s="122" t="str">
        <f t="shared" si="282"/>
        <v>OCTOBRE</v>
      </c>
      <c r="B481" s="128" t="s">
        <v>113</v>
      </c>
      <c r="C481" s="32">
        <f t="shared" si="277"/>
        <v>26298</v>
      </c>
      <c r="D481" s="119"/>
      <c r="E481" s="32">
        <f t="shared" si="278"/>
        <v>150000</v>
      </c>
      <c r="F481" s="51"/>
      <c r="G481" s="138"/>
      <c r="H481" s="55">
        <f t="shared" si="279"/>
        <v>0</v>
      </c>
      <c r="I481" s="32">
        <f t="shared" si="280"/>
        <v>158000</v>
      </c>
      <c r="J481" s="30">
        <f t="shared" si="276"/>
        <v>18298</v>
      </c>
      <c r="K481" s="144" t="b">
        <f t="shared" si="281"/>
        <v>1</v>
      </c>
    </row>
    <row r="482" spans="1:16" x14ac:dyDescent="0.3">
      <c r="A482" s="122" t="str">
        <f t="shared" si="282"/>
        <v>OCTOBRE</v>
      </c>
      <c r="B482" s="128" t="s">
        <v>212</v>
      </c>
      <c r="C482" s="32">
        <f t="shared" si="277"/>
        <v>-1700</v>
      </c>
      <c r="D482" s="119"/>
      <c r="E482" s="32">
        <f t="shared" si="278"/>
        <v>24200</v>
      </c>
      <c r="F482" s="51"/>
      <c r="G482" s="138"/>
      <c r="H482" s="55">
        <f t="shared" si="279"/>
        <v>0</v>
      </c>
      <c r="I482" s="32">
        <f t="shared" si="280"/>
        <v>22500</v>
      </c>
      <c r="J482" s="30">
        <f t="shared" si="276"/>
        <v>0</v>
      </c>
      <c r="K482" s="144" t="b">
        <f t="shared" si="281"/>
        <v>1</v>
      </c>
    </row>
    <row r="483" spans="1:16" x14ac:dyDescent="0.3">
      <c r="A483" s="34" t="s">
        <v>60</v>
      </c>
      <c r="B483" s="35"/>
      <c r="C483" s="35"/>
      <c r="D483" s="35"/>
      <c r="E483" s="35"/>
      <c r="F483" s="35"/>
      <c r="G483" s="35"/>
      <c r="H483" s="35"/>
      <c r="I483" s="35"/>
      <c r="J483" s="36"/>
      <c r="K483" s="143"/>
    </row>
    <row r="484" spans="1:16" x14ac:dyDescent="0.3">
      <c r="A484" s="122" t="str">
        <f>A482</f>
        <v>OCTOBRE</v>
      </c>
      <c r="B484" s="37" t="s">
        <v>61</v>
      </c>
      <c r="C484" s="38">
        <f>+C449</f>
        <v>1081474</v>
      </c>
      <c r="D484" s="49"/>
      <c r="E484" s="49">
        <f>D449</f>
        <v>4595950</v>
      </c>
      <c r="F484" s="49"/>
      <c r="G484" s="125"/>
      <c r="H484" s="51">
        <f>+F449</f>
        <v>1465700</v>
      </c>
      <c r="I484" s="126">
        <f>+E449</f>
        <v>2106393</v>
      </c>
      <c r="J484" s="30">
        <f>+SUM(C484:G484)-(H484+I484)</f>
        <v>2105331</v>
      </c>
      <c r="K484" s="144" t="b">
        <f>J484=I449</f>
        <v>1</v>
      </c>
    </row>
    <row r="485" spans="1:16" x14ac:dyDescent="0.3">
      <c r="A485" s="43" t="s">
        <v>62</v>
      </c>
      <c r="B485" s="24"/>
      <c r="C485" s="35"/>
      <c r="D485" s="24"/>
      <c r="E485" s="24"/>
      <c r="F485" s="24"/>
      <c r="G485" s="24"/>
      <c r="H485" s="24"/>
      <c r="I485" s="24"/>
      <c r="J485" s="36"/>
      <c r="K485" s="143"/>
    </row>
    <row r="486" spans="1:16" x14ac:dyDescent="0.3">
      <c r="A486" s="122" t="str">
        <f>+A484</f>
        <v>OCTOBRE</v>
      </c>
      <c r="B486" s="37" t="s">
        <v>156</v>
      </c>
      <c r="C486" s="125">
        <f>+C447</f>
        <v>14237475</v>
      </c>
      <c r="D486" s="132">
        <f>+G447</f>
        <v>0</v>
      </c>
      <c r="E486" s="49"/>
      <c r="F486" s="49"/>
      <c r="G486" s="49"/>
      <c r="H486" s="51">
        <f>+F447</f>
        <v>4000000</v>
      </c>
      <c r="I486" s="53">
        <f>+E447</f>
        <v>633748</v>
      </c>
      <c r="J486" s="30">
        <f>+SUM(C486:G486)-(H486+I486)</f>
        <v>9603727</v>
      </c>
      <c r="K486" s="144" t="b">
        <f>+J486=I447</f>
        <v>1</v>
      </c>
    </row>
    <row r="487" spans="1:16" x14ac:dyDescent="0.3">
      <c r="A487" s="122" t="str">
        <f t="shared" ref="A487" si="283">+A486</f>
        <v>OCTOBRE</v>
      </c>
      <c r="B487" s="37" t="s">
        <v>64</v>
      </c>
      <c r="C487" s="125">
        <f>+C448</f>
        <v>8844061</v>
      </c>
      <c r="D487" s="49">
        <f>+G448</f>
        <v>5426732</v>
      </c>
      <c r="E487" s="48"/>
      <c r="F487" s="48"/>
      <c r="G487" s="48"/>
      <c r="H487" s="32">
        <f>+F448</f>
        <v>0</v>
      </c>
      <c r="I487" s="50">
        <f>+E448</f>
        <v>4731844</v>
      </c>
      <c r="J487" s="30">
        <f>SUM(C487:G487)-(H487+I487)</f>
        <v>9538949</v>
      </c>
      <c r="K487" s="144" t="b">
        <f>+J487=I448</f>
        <v>1</v>
      </c>
    </row>
    <row r="488" spans="1:16" ht="15.6" x14ac:dyDescent="0.3">
      <c r="C488" s="141">
        <f>SUM(C472:C487)</f>
        <v>25430796</v>
      </c>
      <c r="I488" s="140">
        <f>SUM(I472:I487)</f>
        <v>8855335</v>
      </c>
      <c r="J488" s="105">
        <f>+SUM(J472:J487)</f>
        <v>22002193</v>
      </c>
      <c r="K488" s="5" t="b">
        <f>J488=I461</f>
        <v>1</v>
      </c>
    </row>
    <row r="489" spans="1:16" ht="15.6" x14ac:dyDescent="0.3">
      <c r="A489" s="160"/>
      <c r="B489" s="160"/>
      <c r="C489" s="161"/>
      <c r="D489" s="160"/>
      <c r="E489" s="160"/>
      <c r="F489" s="160"/>
      <c r="G489" s="160"/>
      <c r="H489" s="160"/>
      <c r="I489" s="162"/>
      <c r="J489" s="163"/>
      <c r="K489" s="160"/>
      <c r="L489" s="164"/>
      <c r="M489" s="164"/>
      <c r="N489" s="164"/>
      <c r="O489" s="164"/>
      <c r="P489" s="160"/>
    </row>
    <row r="490" spans="1:16" ht="15.6" x14ac:dyDescent="0.3">
      <c r="C490" s="141"/>
      <c r="I490" s="140"/>
      <c r="J490" s="105"/>
    </row>
    <row r="493" spans="1:16" ht="15.6" x14ac:dyDescent="0.3">
      <c r="A493" s="6" t="s">
        <v>36</v>
      </c>
      <c r="B493" s="6" t="s">
        <v>1</v>
      </c>
      <c r="C493" s="6">
        <v>44805</v>
      </c>
      <c r="D493" s="7" t="s">
        <v>37</v>
      </c>
      <c r="E493" s="7" t="s">
        <v>38</v>
      </c>
      <c r="F493" s="7" t="s">
        <v>39</v>
      </c>
      <c r="G493" s="7" t="s">
        <v>40</v>
      </c>
      <c r="H493" s="6" t="s">
        <v>240</v>
      </c>
      <c r="I493" s="7" t="s">
        <v>41</v>
      </c>
      <c r="K493" s="45"/>
      <c r="L493" s="45" t="s">
        <v>42</v>
      </c>
      <c r="M493" s="45" t="s">
        <v>43</v>
      </c>
      <c r="N493" s="45" t="s">
        <v>44</v>
      </c>
      <c r="O493" s="45" t="s">
        <v>45</v>
      </c>
    </row>
    <row r="494" spans="1:16" x14ac:dyDescent="0.3">
      <c r="A494" s="58" t="str">
        <f>K494</f>
        <v>BCI</v>
      </c>
      <c r="B494" s="59" t="s">
        <v>46</v>
      </c>
      <c r="C494" s="61">
        <v>23820820</v>
      </c>
      <c r="D494" s="61">
        <f>+L494</f>
        <v>0</v>
      </c>
      <c r="E494" s="61">
        <f>+N494</f>
        <v>583345</v>
      </c>
      <c r="F494" s="61">
        <f>+M494</f>
        <v>9000000</v>
      </c>
      <c r="G494" s="61">
        <f t="shared" ref="G494:G506" si="284">+O494</f>
        <v>0</v>
      </c>
      <c r="H494" s="61">
        <v>14237475</v>
      </c>
      <c r="I494" s="61">
        <f>+C494+D494-E494-F494+G494</f>
        <v>14237475</v>
      </c>
      <c r="J494" s="9">
        <f>I494-H494</f>
        <v>0</v>
      </c>
      <c r="K494" s="45" t="s">
        <v>24</v>
      </c>
      <c r="L494" s="47">
        <v>0</v>
      </c>
      <c r="M494" s="47">
        <v>9000000</v>
      </c>
      <c r="N494" s="47">
        <v>583345</v>
      </c>
      <c r="O494" s="47">
        <v>0</v>
      </c>
    </row>
    <row r="495" spans="1:16" x14ac:dyDescent="0.3">
      <c r="A495" s="58" t="str">
        <f t="shared" ref="A495:A506" si="285">K495</f>
        <v>BCI-Sous Compte</v>
      </c>
      <c r="B495" s="59" t="s">
        <v>46</v>
      </c>
      <c r="C495" s="61">
        <v>14424581</v>
      </c>
      <c r="D495" s="61">
        <f t="shared" ref="D495:D506" si="286">+L495</f>
        <v>0</v>
      </c>
      <c r="E495" s="61">
        <f t="shared" ref="E495:E506" si="287">+N495</f>
        <v>5580520</v>
      </c>
      <c r="F495" s="61">
        <f t="shared" ref="F495:F506" si="288">+M495</f>
        <v>0</v>
      </c>
      <c r="G495" s="61">
        <f t="shared" si="284"/>
        <v>0</v>
      </c>
      <c r="H495" s="61">
        <v>8844061</v>
      </c>
      <c r="I495" s="61">
        <f>+C495+D495-E495-F495+G495</f>
        <v>8844061</v>
      </c>
      <c r="J495" s="9">
        <f t="shared" ref="J495:J501" si="289">I495-H495</f>
        <v>0</v>
      </c>
      <c r="K495" s="45" t="s">
        <v>148</v>
      </c>
      <c r="L495" s="46">
        <v>0</v>
      </c>
      <c r="M495" s="47">
        <v>0</v>
      </c>
      <c r="N495" s="47">
        <v>5580520</v>
      </c>
      <c r="O495" s="47">
        <v>0</v>
      </c>
    </row>
    <row r="496" spans="1:16" x14ac:dyDescent="0.3">
      <c r="A496" s="58" t="str">
        <f t="shared" si="285"/>
        <v>Caisse</v>
      </c>
      <c r="B496" s="59" t="s">
        <v>25</v>
      </c>
      <c r="C496" s="61">
        <v>980042</v>
      </c>
      <c r="D496" s="61">
        <f t="shared" si="286"/>
        <v>9476115</v>
      </c>
      <c r="E496" s="61">
        <f t="shared" si="287"/>
        <v>2448183</v>
      </c>
      <c r="F496" s="61">
        <f t="shared" si="288"/>
        <v>6926500</v>
      </c>
      <c r="G496" s="61">
        <f t="shared" si="284"/>
        <v>0</v>
      </c>
      <c r="H496" s="61">
        <v>1081474</v>
      </c>
      <c r="I496" s="61">
        <f>+C496+D496-E496-F496+G496</f>
        <v>1081474</v>
      </c>
      <c r="J496" s="102">
        <f t="shared" si="289"/>
        <v>0</v>
      </c>
      <c r="K496" s="45" t="s">
        <v>25</v>
      </c>
      <c r="L496" s="47">
        <v>9476115</v>
      </c>
      <c r="M496" s="47">
        <v>6926500</v>
      </c>
      <c r="N496" s="47">
        <v>2448183</v>
      </c>
      <c r="O496" s="47">
        <v>0</v>
      </c>
    </row>
    <row r="497" spans="1:15" x14ac:dyDescent="0.3">
      <c r="A497" s="58" t="str">
        <f t="shared" si="285"/>
        <v>Crépin</v>
      </c>
      <c r="B497" s="59" t="s">
        <v>154</v>
      </c>
      <c r="C497" s="61">
        <v>65910</v>
      </c>
      <c r="D497" s="61">
        <f t="shared" si="286"/>
        <v>2886000</v>
      </c>
      <c r="E497" s="61">
        <f t="shared" si="287"/>
        <v>1968580</v>
      </c>
      <c r="F497" s="61">
        <f t="shared" si="288"/>
        <v>500000</v>
      </c>
      <c r="G497" s="61">
        <f t="shared" si="284"/>
        <v>0</v>
      </c>
      <c r="H497" s="61">
        <v>483330</v>
      </c>
      <c r="I497" s="61">
        <f>+C497+D497-E497-F497+G497</f>
        <v>483330</v>
      </c>
      <c r="J497" s="9">
        <f t="shared" si="289"/>
        <v>0</v>
      </c>
      <c r="K497" s="45" t="s">
        <v>47</v>
      </c>
      <c r="L497" s="47">
        <v>2886000</v>
      </c>
      <c r="M497" s="47">
        <v>500000</v>
      </c>
      <c r="N497" s="47">
        <v>1968580</v>
      </c>
      <c r="O497" s="47">
        <v>0</v>
      </c>
    </row>
    <row r="498" spans="1:15" x14ac:dyDescent="0.3">
      <c r="A498" s="58" t="str">
        <f t="shared" si="285"/>
        <v>Evariste</v>
      </c>
      <c r="B498" s="59" t="s">
        <v>155</v>
      </c>
      <c r="C498" s="61">
        <v>4795</v>
      </c>
      <c r="D498" s="61">
        <f t="shared" si="286"/>
        <v>782000</v>
      </c>
      <c r="E498" s="61">
        <f t="shared" si="287"/>
        <v>710570</v>
      </c>
      <c r="F498" s="61">
        <f t="shared" si="288"/>
        <v>0</v>
      </c>
      <c r="G498" s="61">
        <f t="shared" si="284"/>
        <v>0</v>
      </c>
      <c r="H498" s="61">
        <v>76225</v>
      </c>
      <c r="I498" s="61">
        <f t="shared" ref="I498" si="290">+C498+D498-E498-F498+G498</f>
        <v>76225</v>
      </c>
      <c r="J498" s="9">
        <f t="shared" si="289"/>
        <v>0</v>
      </c>
      <c r="K498" s="45" t="s">
        <v>31</v>
      </c>
      <c r="L498" s="47">
        <v>782000</v>
      </c>
      <c r="M498" s="47">
        <v>0</v>
      </c>
      <c r="N498" s="47">
        <v>710570</v>
      </c>
      <c r="O498" s="47">
        <v>0</v>
      </c>
    </row>
    <row r="499" spans="1:15" x14ac:dyDescent="0.3">
      <c r="A499" s="58" t="str">
        <f t="shared" si="285"/>
        <v>I55S</v>
      </c>
      <c r="B499" s="116" t="s">
        <v>4</v>
      </c>
      <c r="C499" s="118">
        <v>233614</v>
      </c>
      <c r="D499" s="118">
        <f t="shared" si="286"/>
        <v>0</v>
      </c>
      <c r="E499" s="118">
        <f t="shared" si="287"/>
        <v>0</v>
      </c>
      <c r="F499" s="118">
        <f t="shared" si="288"/>
        <v>0</v>
      </c>
      <c r="G499" s="118">
        <f t="shared" si="284"/>
        <v>0</v>
      </c>
      <c r="H499" s="118">
        <v>233614</v>
      </c>
      <c r="I499" s="118">
        <f>+C499+D499-E499-F499+G499</f>
        <v>233614</v>
      </c>
      <c r="J499" s="9">
        <f t="shared" si="289"/>
        <v>0</v>
      </c>
      <c r="K499" s="45" t="s">
        <v>84</v>
      </c>
      <c r="L499" s="47">
        <v>0</v>
      </c>
      <c r="M499" s="47">
        <v>0</v>
      </c>
      <c r="N499" s="47">
        <v>0</v>
      </c>
      <c r="O499" s="47">
        <v>0</v>
      </c>
    </row>
    <row r="500" spans="1:15" x14ac:dyDescent="0.3">
      <c r="A500" s="58" t="str">
        <f t="shared" si="285"/>
        <v>I73X</v>
      </c>
      <c r="B500" s="116" t="s">
        <v>4</v>
      </c>
      <c r="C500" s="118">
        <v>249769</v>
      </c>
      <c r="D500" s="118">
        <f t="shared" si="286"/>
        <v>0</v>
      </c>
      <c r="E500" s="118">
        <f t="shared" si="287"/>
        <v>0</v>
      </c>
      <c r="F500" s="118">
        <f t="shared" si="288"/>
        <v>0</v>
      </c>
      <c r="G500" s="118">
        <f t="shared" si="284"/>
        <v>0</v>
      </c>
      <c r="H500" s="118">
        <v>249769</v>
      </c>
      <c r="I500" s="118">
        <f t="shared" ref="I500:I503" si="291">+C500+D500-E500-F500+G500</f>
        <v>249769</v>
      </c>
      <c r="J500" s="9">
        <f t="shared" si="289"/>
        <v>0</v>
      </c>
      <c r="K500" s="45" t="s">
        <v>83</v>
      </c>
      <c r="L500" s="47">
        <v>0</v>
      </c>
      <c r="M500" s="47">
        <v>0</v>
      </c>
      <c r="N500" s="47">
        <v>0</v>
      </c>
      <c r="O500" s="47">
        <v>0</v>
      </c>
    </row>
    <row r="501" spans="1:15" x14ac:dyDescent="0.3">
      <c r="A501" s="58" t="str">
        <f t="shared" si="285"/>
        <v>Grace</v>
      </c>
      <c r="B501" s="98" t="s">
        <v>2</v>
      </c>
      <c r="C501" s="61">
        <v>116815</v>
      </c>
      <c r="D501" s="61">
        <f t="shared" si="286"/>
        <v>1388000</v>
      </c>
      <c r="E501" s="61">
        <f t="shared" si="287"/>
        <v>228700</v>
      </c>
      <c r="F501" s="61">
        <f t="shared" si="288"/>
        <v>1276115</v>
      </c>
      <c r="G501" s="61">
        <f t="shared" si="284"/>
        <v>0</v>
      </c>
      <c r="H501" s="61">
        <v>0</v>
      </c>
      <c r="I501" s="61">
        <f t="shared" si="291"/>
        <v>0</v>
      </c>
      <c r="J501" s="9">
        <f t="shared" si="289"/>
        <v>0</v>
      </c>
      <c r="K501" s="45" t="s">
        <v>143</v>
      </c>
      <c r="L501" s="47">
        <v>1388000</v>
      </c>
      <c r="M501" s="47">
        <v>1276115</v>
      </c>
      <c r="N501" s="47">
        <v>228700</v>
      </c>
      <c r="O501" s="47">
        <v>0</v>
      </c>
    </row>
    <row r="502" spans="1:15" s="188" customFormat="1" ht="15.6" x14ac:dyDescent="0.3">
      <c r="A502" s="58" t="str">
        <f t="shared" si="285"/>
        <v>Hurielle</v>
      </c>
      <c r="B502" s="183" t="s">
        <v>154</v>
      </c>
      <c r="C502" s="184">
        <v>700</v>
      </c>
      <c r="D502" s="61">
        <f t="shared" si="286"/>
        <v>629000</v>
      </c>
      <c r="E502" s="61">
        <f t="shared" si="287"/>
        <v>513500</v>
      </c>
      <c r="F502" s="61">
        <f t="shared" si="288"/>
        <v>75000</v>
      </c>
      <c r="G502" s="61">
        <f t="shared" si="284"/>
        <v>0</v>
      </c>
      <c r="H502" s="184">
        <f>5000+36200</f>
        <v>41200</v>
      </c>
      <c r="I502" s="184">
        <f t="shared" si="291"/>
        <v>41200</v>
      </c>
      <c r="J502" s="185">
        <f>I502-H502</f>
        <v>0</v>
      </c>
      <c r="K502" s="186" t="s">
        <v>197</v>
      </c>
      <c r="L502" s="187">
        <v>629000</v>
      </c>
      <c r="M502" s="187">
        <v>75000</v>
      </c>
      <c r="N502" s="187">
        <v>513500</v>
      </c>
      <c r="O502" s="187">
        <v>0</v>
      </c>
    </row>
    <row r="503" spans="1:15" x14ac:dyDescent="0.3">
      <c r="A503" s="58" t="str">
        <f t="shared" si="285"/>
        <v>Merveille</v>
      </c>
      <c r="B503" s="98" t="s">
        <v>2</v>
      </c>
      <c r="C503" s="61">
        <v>6900</v>
      </c>
      <c r="D503" s="61">
        <f t="shared" si="286"/>
        <v>521000</v>
      </c>
      <c r="E503" s="61">
        <f>+N503</f>
        <v>394800</v>
      </c>
      <c r="F503" s="61">
        <f t="shared" si="288"/>
        <v>35000</v>
      </c>
      <c r="G503" s="61">
        <f t="shared" si="284"/>
        <v>0</v>
      </c>
      <c r="H503" s="61">
        <f>97600+500</f>
        <v>98100</v>
      </c>
      <c r="I503" s="61">
        <f t="shared" si="291"/>
        <v>98100</v>
      </c>
      <c r="J503" s="9">
        <f t="shared" ref="J503:J504" si="292">I503-H503</f>
        <v>0</v>
      </c>
      <c r="K503" s="45" t="s">
        <v>93</v>
      </c>
      <c r="L503" s="47">
        <v>521000</v>
      </c>
      <c r="M503" s="47">
        <v>35000</v>
      </c>
      <c r="N503" s="47">
        <f>395300-500</f>
        <v>394800</v>
      </c>
      <c r="O503" s="47">
        <v>0</v>
      </c>
    </row>
    <row r="504" spans="1:15" x14ac:dyDescent="0.3">
      <c r="A504" s="58" t="str">
        <f t="shared" si="285"/>
        <v>P29</v>
      </c>
      <c r="B504" s="59" t="s">
        <v>4</v>
      </c>
      <c r="C504" s="61">
        <v>24050</v>
      </c>
      <c r="D504" s="61">
        <f t="shared" si="286"/>
        <v>885000</v>
      </c>
      <c r="E504" s="61">
        <f t="shared" si="287"/>
        <v>798100</v>
      </c>
      <c r="F504" s="61">
        <f t="shared" si="288"/>
        <v>50000</v>
      </c>
      <c r="G504" s="61">
        <f t="shared" si="284"/>
        <v>0</v>
      </c>
      <c r="H504" s="61">
        <v>60950</v>
      </c>
      <c r="I504" s="61">
        <f>+C504+D504-E504-F504+G504</f>
        <v>60950</v>
      </c>
      <c r="J504" s="9">
        <f t="shared" si="292"/>
        <v>0</v>
      </c>
      <c r="K504" s="45" t="s">
        <v>29</v>
      </c>
      <c r="L504" s="47">
        <v>885000</v>
      </c>
      <c r="M504" s="47">
        <v>50000</v>
      </c>
      <c r="N504" s="47">
        <v>798100</v>
      </c>
      <c r="O504" s="47">
        <v>0</v>
      </c>
    </row>
    <row r="505" spans="1:15" x14ac:dyDescent="0.3">
      <c r="A505" s="58" t="str">
        <f t="shared" si="285"/>
        <v>Tiffany</v>
      </c>
      <c r="B505" s="59" t="s">
        <v>2</v>
      </c>
      <c r="C505" s="61">
        <v>-653702</v>
      </c>
      <c r="D505" s="61">
        <f t="shared" si="286"/>
        <v>731000</v>
      </c>
      <c r="E505" s="61">
        <f t="shared" si="287"/>
        <v>51000</v>
      </c>
      <c r="F505" s="61">
        <f t="shared" si="288"/>
        <v>0</v>
      </c>
      <c r="G505" s="61">
        <f t="shared" si="284"/>
        <v>0</v>
      </c>
      <c r="H505" s="61">
        <v>26298</v>
      </c>
      <c r="I505" s="61">
        <f>+C505+D505-E505-F505+G505</f>
        <v>26298</v>
      </c>
      <c r="J505" s="9">
        <f>I505-H505</f>
        <v>0</v>
      </c>
      <c r="K505" s="45" t="s">
        <v>113</v>
      </c>
      <c r="L505" s="47">
        <v>731000</v>
      </c>
      <c r="M505" s="47">
        <v>0</v>
      </c>
      <c r="N505" s="47">
        <v>51000</v>
      </c>
      <c r="O505" s="47">
        <v>0</v>
      </c>
    </row>
    <row r="506" spans="1:15" x14ac:dyDescent="0.3">
      <c r="A506" s="58" t="str">
        <f t="shared" si="285"/>
        <v>Yan</v>
      </c>
      <c r="B506" s="59" t="s">
        <v>154</v>
      </c>
      <c r="C506" s="61">
        <v>0</v>
      </c>
      <c r="D506" s="61">
        <f t="shared" si="286"/>
        <v>599500</v>
      </c>
      <c r="E506" s="61">
        <f t="shared" si="287"/>
        <v>566200</v>
      </c>
      <c r="F506" s="61">
        <f t="shared" si="288"/>
        <v>35000</v>
      </c>
      <c r="G506" s="61">
        <f t="shared" si="284"/>
        <v>0</v>
      </c>
      <c r="H506" s="61">
        <v>-1700</v>
      </c>
      <c r="I506" s="61">
        <f t="shared" ref="I506" si="293">+C506+D506-E506-F506+G506</f>
        <v>-1700</v>
      </c>
      <c r="J506" s="9">
        <f t="shared" ref="J506" si="294">I506-H506</f>
        <v>0</v>
      </c>
      <c r="K506" s="45" t="s">
        <v>212</v>
      </c>
      <c r="L506" s="47">
        <v>599500</v>
      </c>
      <c r="M506" s="47">
        <v>35000</v>
      </c>
      <c r="N506" s="47">
        <v>566200</v>
      </c>
      <c r="O506" s="47">
        <v>0</v>
      </c>
    </row>
    <row r="507" spans="1:15" x14ac:dyDescent="0.3">
      <c r="A507" s="10" t="s">
        <v>50</v>
      </c>
      <c r="B507" s="11"/>
      <c r="C507" s="12">
        <f t="shared" ref="C507:I507" si="295">SUM(C494:C506)</f>
        <v>39274294</v>
      </c>
      <c r="D507" s="57">
        <f t="shared" si="295"/>
        <v>17897615</v>
      </c>
      <c r="E507" s="57">
        <f t="shared" si="295"/>
        <v>13843498</v>
      </c>
      <c r="F507" s="57">
        <f t="shared" si="295"/>
        <v>17897615</v>
      </c>
      <c r="G507" s="57">
        <f t="shared" si="295"/>
        <v>0</v>
      </c>
      <c r="H507" s="57">
        <f>SUM(H494:H506)</f>
        <v>25430796</v>
      </c>
      <c r="I507" s="57">
        <f t="shared" si="295"/>
        <v>25430796</v>
      </c>
      <c r="J507" s="9">
        <f>I507-H507</f>
        <v>0</v>
      </c>
      <c r="K507" s="3"/>
      <c r="L507" s="47">
        <f>+SUM(L494:L506)</f>
        <v>17897615</v>
      </c>
      <c r="M507" s="47">
        <f>+SUM(M494:M506)</f>
        <v>17897615</v>
      </c>
      <c r="N507" s="47">
        <f>+SUM(N494:N506)</f>
        <v>13843498</v>
      </c>
      <c r="O507" s="47">
        <f>+SUM(O494:O506)</f>
        <v>0</v>
      </c>
    </row>
    <row r="508" spans="1:15" x14ac:dyDescent="0.3">
      <c r="A508" s="10"/>
      <c r="B508" s="11"/>
      <c r="C508" s="12"/>
      <c r="D508" s="13"/>
      <c r="E508" s="12"/>
      <c r="F508" s="13"/>
      <c r="G508" s="12"/>
      <c r="H508" s="12"/>
      <c r="I508" s="134" t="b">
        <f>I507=D510</f>
        <v>1</v>
      </c>
      <c r="J508" s="9">
        <f>H507-I507</f>
        <v>0</v>
      </c>
      <c r="L508" s="5"/>
      <c r="M508" s="5"/>
      <c r="N508" s="5"/>
      <c r="O508" s="5"/>
    </row>
    <row r="509" spans="1:15" x14ac:dyDescent="0.3">
      <c r="A509" s="10" t="s">
        <v>244</v>
      </c>
      <c r="B509" s="11" t="s">
        <v>243</v>
      </c>
      <c r="C509" s="12" t="s">
        <v>242</v>
      </c>
      <c r="D509" s="12" t="s">
        <v>241</v>
      </c>
      <c r="E509" s="12" t="s">
        <v>51</v>
      </c>
      <c r="F509" s="12"/>
      <c r="G509" s="12">
        <f>+D507-F507</f>
        <v>0</v>
      </c>
      <c r="H509" s="12"/>
      <c r="I509" s="12"/>
    </row>
    <row r="510" spans="1:15" x14ac:dyDescent="0.3">
      <c r="A510" s="14">
        <f>C507</f>
        <v>39274294</v>
      </c>
      <c r="B510" s="15">
        <f>G507</f>
        <v>0</v>
      </c>
      <c r="C510" s="12">
        <f>E507</f>
        <v>13843498</v>
      </c>
      <c r="D510" s="12">
        <f>A510+B510-C510</f>
        <v>25430796</v>
      </c>
      <c r="E510" s="13">
        <f>I507-D510</f>
        <v>0</v>
      </c>
      <c r="F510" s="12"/>
      <c r="G510" s="12"/>
      <c r="H510" s="12"/>
      <c r="I510" s="12"/>
    </row>
    <row r="511" spans="1:15" x14ac:dyDescent="0.3">
      <c r="A511" s="14"/>
      <c r="B511" s="15"/>
      <c r="C511" s="12"/>
      <c r="D511" s="12"/>
      <c r="E511" s="13"/>
      <c r="F511" s="12"/>
      <c r="G511" s="12"/>
      <c r="H511" s="12"/>
      <c r="I511" s="12"/>
    </row>
    <row r="512" spans="1:15" x14ac:dyDescent="0.3">
      <c r="A512" s="16" t="s">
        <v>52</v>
      </c>
      <c r="B512" s="16"/>
      <c r="C512" s="16"/>
      <c r="D512" s="17"/>
      <c r="E512" s="17"/>
      <c r="F512" s="17"/>
      <c r="G512" s="17"/>
      <c r="H512" s="17"/>
      <c r="I512" s="17"/>
    </row>
    <row r="513" spans="1:11" x14ac:dyDescent="0.3">
      <c r="A513" s="18" t="s">
        <v>245</v>
      </c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1" x14ac:dyDescent="0.3">
      <c r="A514" s="19"/>
      <c r="B514" s="17"/>
      <c r="C514" s="20"/>
      <c r="D514" s="20"/>
      <c r="E514" s="20"/>
      <c r="F514" s="20"/>
      <c r="G514" s="20"/>
      <c r="H514" s="17"/>
      <c r="I514" s="17"/>
    </row>
    <row r="515" spans="1:11" ht="45" customHeight="1" x14ac:dyDescent="0.3">
      <c r="A515" s="169" t="s">
        <v>53</v>
      </c>
      <c r="B515" s="171" t="s">
        <v>54</v>
      </c>
      <c r="C515" s="173" t="s">
        <v>246</v>
      </c>
      <c r="D515" s="174" t="s">
        <v>55</v>
      </c>
      <c r="E515" s="175"/>
      <c r="F515" s="175"/>
      <c r="G515" s="176"/>
      <c r="H515" s="177" t="s">
        <v>56</v>
      </c>
      <c r="I515" s="165" t="s">
        <v>57</v>
      </c>
      <c r="J515" s="17"/>
    </row>
    <row r="516" spans="1:11" ht="28.5" customHeight="1" x14ac:dyDescent="0.3">
      <c r="A516" s="170"/>
      <c r="B516" s="172"/>
      <c r="C516" s="22"/>
      <c r="D516" s="21" t="s">
        <v>24</v>
      </c>
      <c r="E516" s="21" t="s">
        <v>25</v>
      </c>
      <c r="F516" s="22" t="s">
        <v>123</v>
      </c>
      <c r="G516" s="21" t="s">
        <v>58</v>
      </c>
      <c r="H516" s="178"/>
      <c r="I516" s="166"/>
      <c r="J516" s="167" t="s">
        <v>247</v>
      </c>
      <c r="K516" s="143"/>
    </row>
    <row r="517" spans="1:11" x14ac:dyDescent="0.3">
      <c r="A517" s="23"/>
      <c r="B517" s="24" t="s">
        <v>59</v>
      </c>
      <c r="C517" s="25"/>
      <c r="D517" s="25"/>
      <c r="E517" s="25"/>
      <c r="F517" s="25"/>
      <c r="G517" s="25"/>
      <c r="H517" s="25"/>
      <c r="I517" s="26"/>
      <c r="J517" s="168"/>
      <c r="K517" s="143"/>
    </row>
    <row r="518" spans="1:11" x14ac:dyDescent="0.3">
      <c r="A518" s="122" t="s">
        <v>79</v>
      </c>
      <c r="B518" s="127" t="s">
        <v>47</v>
      </c>
      <c r="C518" s="32">
        <f t="shared" ref="C518:C527" si="296">+C497</f>
        <v>65910</v>
      </c>
      <c r="D518" s="31"/>
      <c r="E518" s="32">
        <f t="shared" ref="E518:E527" si="297">+D497</f>
        <v>2886000</v>
      </c>
      <c r="F518" s="32"/>
      <c r="G518" s="32"/>
      <c r="H518" s="55">
        <f t="shared" ref="H518:H527" si="298">+F497</f>
        <v>500000</v>
      </c>
      <c r="I518" s="32">
        <f t="shared" ref="I518:I527" si="299">+E497</f>
        <v>1968580</v>
      </c>
      <c r="J518" s="30">
        <f t="shared" ref="J518:J519" si="300">+SUM(C518:G518)-(H518+I518)</f>
        <v>483330</v>
      </c>
      <c r="K518" s="144" t="b">
        <f t="shared" ref="K518:K527" si="301">J518=I497</f>
        <v>1</v>
      </c>
    </row>
    <row r="519" spans="1:11" x14ac:dyDescent="0.3">
      <c r="A519" s="122" t="str">
        <f>+A518</f>
        <v>SEPTEMBRE</v>
      </c>
      <c r="B519" s="127" t="s">
        <v>31</v>
      </c>
      <c r="C519" s="32">
        <f t="shared" si="296"/>
        <v>4795</v>
      </c>
      <c r="D519" s="31"/>
      <c r="E519" s="32">
        <f t="shared" si="297"/>
        <v>782000</v>
      </c>
      <c r="F519" s="32"/>
      <c r="G519" s="32"/>
      <c r="H519" s="55">
        <f t="shared" si="298"/>
        <v>0</v>
      </c>
      <c r="I519" s="32">
        <f t="shared" si="299"/>
        <v>710570</v>
      </c>
      <c r="J519" s="101">
        <f t="shared" si="300"/>
        <v>76225</v>
      </c>
      <c r="K519" s="144" t="b">
        <f t="shared" si="301"/>
        <v>1</v>
      </c>
    </row>
    <row r="520" spans="1:11" x14ac:dyDescent="0.3">
      <c r="A520" s="122" t="str">
        <f t="shared" ref="A520:A524" si="302">+A519</f>
        <v>SEPTEMBRE</v>
      </c>
      <c r="B520" s="129" t="s">
        <v>84</v>
      </c>
      <c r="C520" s="120">
        <f t="shared" si="296"/>
        <v>233614</v>
      </c>
      <c r="D520" s="123"/>
      <c r="E520" s="120">
        <f t="shared" si="297"/>
        <v>0</v>
      </c>
      <c r="F520" s="137"/>
      <c r="G520" s="137"/>
      <c r="H520" s="155">
        <f t="shared" si="298"/>
        <v>0</v>
      </c>
      <c r="I520" s="120">
        <f t="shared" si="299"/>
        <v>0</v>
      </c>
      <c r="J520" s="121">
        <f>+SUM(C520:G520)-(H520+I520)</f>
        <v>233614</v>
      </c>
      <c r="K520" s="144" t="b">
        <f t="shared" si="301"/>
        <v>1</v>
      </c>
    </row>
    <row r="521" spans="1:11" x14ac:dyDescent="0.3">
      <c r="A521" s="122" t="str">
        <f t="shared" si="302"/>
        <v>SEPTEMBRE</v>
      </c>
      <c r="B521" s="129" t="s">
        <v>83</v>
      </c>
      <c r="C521" s="120">
        <f t="shared" si="296"/>
        <v>249769</v>
      </c>
      <c r="D521" s="123"/>
      <c r="E521" s="120">
        <f t="shared" si="297"/>
        <v>0</v>
      </c>
      <c r="F521" s="137"/>
      <c r="G521" s="137"/>
      <c r="H521" s="155">
        <f t="shared" si="298"/>
        <v>0</v>
      </c>
      <c r="I521" s="120">
        <f t="shared" si="299"/>
        <v>0</v>
      </c>
      <c r="J521" s="121">
        <f t="shared" ref="J521:J527" si="303">+SUM(C521:G521)-(H521+I521)</f>
        <v>249769</v>
      </c>
      <c r="K521" s="144" t="b">
        <f t="shared" si="301"/>
        <v>1</v>
      </c>
    </row>
    <row r="522" spans="1:11" x14ac:dyDescent="0.3">
      <c r="A522" s="122" t="str">
        <f t="shared" si="302"/>
        <v>SEPTEMBRE</v>
      </c>
      <c r="B522" s="127" t="s">
        <v>143</v>
      </c>
      <c r="C522" s="32">
        <f t="shared" si="296"/>
        <v>116815</v>
      </c>
      <c r="D522" s="31"/>
      <c r="E522" s="32">
        <f t="shared" si="297"/>
        <v>1388000</v>
      </c>
      <c r="F522" s="32"/>
      <c r="G522" s="104"/>
      <c r="H522" s="55">
        <f t="shared" si="298"/>
        <v>1276115</v>
      </c>
      <c r="I522" s="32">
        <f t="shared" si="299"/>
        <v>228700</v>
      </c>
      <c r="J522" s="30">
        <f t="shared" si="303"/>
        <v>0</v>
      </c>
      <c r="K522" s="144" t="b">
        <f t="shared" si="301"/>
        <v>1</v>
      </c>
    </row>
    <row r="523" spans="1:11" x14ac:dyDescent="0.3">
      <c r="A523" s="122" t="str">
        <f t="shared" si="302"/>
        <v>SEPTEMBRE</v>
      </c>
      <c r="B523" s="127" t="s">
        <v>197</v>
      </c>
      <c r="C523" s="32">
        <f t="shared" si="296"/>
        <v>700</v>
      </c>
      <c r="D523" s="31"/>
      <c r="E523" s="32">
        <f t="shared" si="297"/>
        <v>629000</v>
      </c>
      <c r="F523" s="32"/>
      <c r="G523" s="104"/>
      <c r="H523" s="55">
        <f t="shared" si="298"/>
        <v>75000</v>
      </c>
      <c r="I523" s="32">
        <f t="shared" si="299"/>
        <v>513500</v>
      </c>
      <c r="J523" s="30">
        <f t="shared" si="303"/>
        <v>41200</v>
      </c>
      <c r="K523" s="144" t="b">
        <f t="shared" si="301"/>
        <v>1</v>
      </c>
    </row>
    <row r="524" spans="1:11" x14ac:dyDescent="0.3">
      <c r="A524" s="122" t="str">
        <f t="shared" si="302"/>
        <v>SEPTEMBRE</v>
      </c>
      <c r="B524" s="127" t="s">
        <v>93</v>
      </c>
      <c r="C524" s="32">
        <f t="shared" si="296"/>
        <v>6900</v>
      </c>
      <c r="D524" s="31"/>
      <c r="E524" s="32">
        <f t="shared" si="297"/>
        <v>521000</v>
      </c>
      <c r="F524" s="32"/>
      <c r="G524" s="104"/>
      <c r="H524" s="55">
        <f t="shared" si="298"/>
        <v>35000</v>
      </c>
      <c r="I524" s="32">
        <f t="shared" si="299"/>
        <v>394800</v>
      </c>
      <c r="J524" s="30">
        <f t="shared" si="303"/>
        <v>98100</v>
      </c>
      <c r="K524" s="144" t="b">
        <f t="shared" si="301"/>
        <v>1</v>
      </c>
    </row>
    <row r="525" spans="1:11" x14ac:dyDescent="0.3">
      <c r="A525" s="122" t="str">
        <f>+A523</f>
        <v>SEPTEMBRE</v>
      </c>
      <c r="B525" s="127" t="s">
        <v>29</v>
      </c>
      <c r="C525" s="32">
        <f t="shared" si="296"/>
        <v>24050</v>
      </c>
      <c r="D525" s="31"/>
      <c r="E525" s="32">
        <f t="shared" si="297"/>
        <v>885000</v>
      </c>
      <c r="F525" s="32"/>
      <c r="G525" s="104"/>
      <c r="H525" s="55">
        <f t="shared" si="298"/>
        <v>50000</v>
      </c>
      <c r="I525" s="32">
        <f t="shared" si="299"/>
        <v>798100</v>
      </c>
      <c r="J525" s="30">
        <f t="shared" si="303"/>
        <v>60950</v>
      </c>
      <c r="K525" s="144" t="b">
        <f t="shared" si="301"/>
        <v>1</v>
      </c>
    </row>
    <row r="526" spans="1:11" x14ac:dyDescent="0.3">
      <c r="A526" s="122" t="str">
        <f>+A524</f>
        <v>SEPTEMBRE</v>
      </c>
      <c r="B526" s="127" t="s">
        <v>113</v>
      </c>
      <c r="C526" s="32">
        <f t="shared" si="296"/>
        <v>-653702</v>
      </c>
      <c r="D526" s="31"/>
      <c r="E526" s="32">
        <f t="shared" si="297"/>
        <v>731000</v>
      </c>
      <c r="F526" s="32"/>
      <c r="G526" s="104"/>
      <c r="H526" s="55">
        <f t="shared" si="298"/>
        <v>0</v>
      </c>
      <c r="I526" s="32">
        <f t="shared" si="299"/>
        <v>51000</v>
      </c>
      <c r="J526" s="30">
        <f t="shared" si="303"/>
        <v>26298</v>
      </c>
      <c r="K526" s="144" t="b">
        <f t="shared" si="301"/>
        <v>1</v>
      </c>
    </row>
    <row r="527" spans="1:11" x14ac:dyDescent="0.3">
      <c r="A527" s="122" t="str">
        <f>+A525</f>
        <v>SEPTEMBRE</v>
      </c>
      <c r="B527" s="128" t="s">
        <v>212</v>
      </c>
      <c r="C527" s="32">
        <f t="shared" si="296"/>
        <v>0</v>
      </c>
      <c r="D527" s="119"/>
      <c r="E527" s="32">
        <f t="shared" si="297"/>
        <v>599500</v>
      </c>
      <c r="F527" s="51"/>
      <c r="G527" s="138"/>
      <c r="H527" s="55">
        <f t="shared" si="298"/>
        <v>35000</v>
      </c>
      <c r="I527" s="32">
        <f t="shared" si="299"/>
        <v>566200</v>
      </c>
      <c r="J527" s="30">
        <f t="shared" si="303"/>
        <v>-1700</v>
      </c>
      <c r="K527" s="144" t="b">
        <f t="shared" si="301"/>
        <v>1</v>
      </c>
    </row>
    <row r="528" spans="1:11" x14ac:dyDescent="0.3">
      <c r="A528" s="34" t="s">
        <v>60</v>
      </c>
      <c r="B528" s="35"/>
      <c r="C528" s="35"/>
      <c r="D528" s="35"/>
      <c r="E528" s="35"/>
      <c r="F528" s="35"/>
      <c r="G528" s="35"/>
      <c r="H528" s="35"/>
      <c r="I528" s="35"/>
      <c r="J528" s="36"/>
      <c r="K528" s="143"/>
    </row>
    <row r="529" spans="1:16" x14ac:dyDescent="0.3">
      <c r="A529" s="122" t="str">
        <f>A527</f>
        <v>SEPTEMBRE</v>
      </c>
      <c r="B529" s="37" t="s">
        <v>61</v>
      </c>
      <c r="C529" s="38">
        <f>+C496</f>
        <v>980042</v>
      </c>
      <c r="D529" s="49"/>
      <c r="E529" s="49">
        <f>D496</f>
        <v>9476115</v>
      </c>
      <c r="F529" s="49"/>
      <c r="G529" s="125"/>
      <c r="H529" s="51">
        <f>+F496</f>
        <v>6926500</v>
      </c>
      <c r="I529" s="126">
        <f>+E496</f>
        <v>2448183</v>
      </c>
      <c r="J529" s="30">
        <f>+SUM(C529:G529)-(H529+I529)</f>
        <v>1081474</v>
      </c>
      <c r="K529" s="144" t="b">
        <f>J529=I496</f>
        <v>1</v>
      </c>
    </row>
    <row r="530" spans="1:16" x14ac:dyDescent="0.3">
      <c r="A530" s="43" t="s">
        <v>62</v>
      </c>
      <c r="B530" s="24"/>
      <c r="C530" s="35"/>
      <c r="D530" s="24"/>
      <c r="E530" s="24"/>
      <c r="F530" s="24"/>
      <c r="G530" s="24"/>
      <c r="H530" s="24"/>
      <c r="I530" s="24"/>
      <c r="J530" s="36"/>
      <c r="K530" s="143"/>
    </row>
    <row r="531" spans="1:16" x14ac:dyDescent="0.3">
      <c r="A531" s="122" t="str">
        <f>+A529</f>
        <v>SEPTEMBRE</v>
      </c>
      <c r="B531" s="37" t="s">
        <v>156</v>
      </c>
      <c r="C531" s="125">
        <f>+C494</f>
        <v>23820820</v>
      </c>
      <c r="D531" s="132">
        <f>+G494</f>
        <v>0</v>
      </c>
      <c r="E531" s="49"/>
      <c r="F531" s="49"/>
      <c r="G531" s="49"/>
      <c r="H531" s="51">
        <f>+F494</f>
        <v>9000000</v>
      </c>
      <c r="I531" s="53">
        <f>+E494</f>
        <v>583345</v>
      </c>
      <c r="J531" s="30">
        <f>+SUM(C531:G531)-(H531+I531)</f>
        <v>14237475</v>
      </c>
      <c r="K531" s="144" t="b">
        <f>+J531=I494</f>
        <v>1</v>
      </c>
    </row>
    <row r="532" spans="1:16" x14ac:dyDescent="0.3">
      <c r="A532" s="122" t="str">
        <f t="shared" ref="A532" si="304">+A531</f>
        <v>SEPTEMBRE</v>
      </c>
      <c r="B532" s="37" t="s">
        <v>64</v>
      </c>
      <c r="C532" s="125">
        <f>+C495</f>
        <v>14424581</v>
      </c>
      <c r="D532" s="49">
        <f>+G495</f>
        <v>0</v>
      </c>
      <c r="E532" s="48"/>
      <c r="F532" s="48"/>
      <c r="G532" s="48"/>
      <c r="H532" s="32">
        <f>+F495</f>
        <v>0</v>
      </c>
      <c r="I532" s="50">
        <f>+E495</f>
        <v>5580520</v>
      </c>
      <c r="J532" s="30">
        <f>SUM(C532:G532)-(H532+I532)</f>
        <v>8844061</v>
      </c>
      <c r="K532" s="144" t="b">
        <f>+J532=I495</f>
        <v>1</v>
      </c>
    </row>
    <row r="533" spans="1:16" ht="15.6" x14ac:dyDescent="0.3">
      <c r="C533" s="141">
        <f>SUM(C518:C532)</f>
        <v>39274294</v>
      </c>
      <c r="I533" s="140">
        <f>SUM(I518:I532)</f>
        <v>13843498</v>
      </c>
      <c r="J533" s="105">
        <f>+SUM(J518:J532)</f>
        <v>25430796</v>
      </c>
      <c r="K533" s="5" t="b">
        <f>J533=I507</f>
        <v>1</v>
      </c>
    </row>
    <row r="534" spans="1:16" ht="15.6" x14ac:dyDescent="0.3">
      <c r="A534" s="160"/>
      <c r="B534" s="160"/>
      <c r="C534" s="161"/>
      <c r="D534" s="160"/>
      <c r="E534" s="160"/>
      <c r="F534" s="160"/>
      <c r="G534" s="160"/>
      <c r="H534" s="160"/>
      <c r="I534" s="162"/>
      <c r="J534" s="163"/>
      <c r="K534" s="160"/>
      <c r="L534" s="164"/>
      <c r="M534" s="164"/>
      <c r="N534" s="164"/>
      <c r="O534" s="164"/>
      <c r="P534" s="160"/>
    </row>
    <row r="535" spans="1:16" ht="15.6" x14ac:dyDescent="0.3">
      <c r="C535" s="141"/>
      <c r="I535" s="140"/>
      <c r="J535" s="105"/>
    </row>
    <row r="536" spans="1:16" ht="15.6" x14ac:dyDescent="0.3">
      <c r="C536" s="141"/>
      <c r="I536" s="140"/>
      <c r="J536" s="105"/>
    </row>
    <row r="537" spans="1:16" ht="15.6" x14ac:dyDescent="0.3">
      <c r="A537" s="6" t="s">
        <v>36</v>
      </c>
      <c r="B537" s="6" t="s">
        <v>1</v>
      </c>
      <c r="C537" s="6">
        <v>44774</v>
      </c>
      <c r="D537" s="7" t="s">
        <v>37</v>
      </c>
      <c r="E537" s="7" t="s">
        <v>38</v>
      </c>
      <c r="F537" s="7" t="s">
        <v>39</v>
      </c>
      <c r="G537" s="7" t="s">
        <v>40</v>
      </c>
      <c r="H537" s="6">
        <v>44804</v>
      </c>
      <c r="I537" s="7" t="s">
        <v>41</v>
      </c>
      <c r="K537" s="45"/>
      <c r="L537" s="45" t="s">
        <v>42</v>
      </c>
      <c r="M537" s="45" t="s">
        <v>43</v>
      </c>
      <c r="N537" s="45" t="s">
        <v>44</v>
      </c>
      <c r="O537" s="45" t="s">
        <v>45</v>
      </c>
    </row>
    <row r="538" spans="1:16" x14ac:dyDescent="0.3">
      <c r="A538" s="58" t="str">
        <f>K538</f>
        <v>BCI</v>
      </c>
      <c r="B538" s="59" t="s">
        <v>46</v>
      </c>
      <c r="C538" s="61">
        <v>168348</v>
      </c>
      <c r="D538" s="61">
        <f>+L538</f>
        <v>0</v>
      </c>
      <c r="E538" s="61">
        <f>+N538</f>
        <v>286008</v>
      </c>
      <c r="F538" s="61">
        <f>+M538</f>
        <v>1000000</v>
      </c>
      <c r="G538" s="61">
        <f t="shared" ref="G538:G548" si="305">+O538</f>
        <v>24938480</v>
      </c>
      <c r="H538" s="61">
        <v>23820820</v>
      </c>
      <c r="I538" s="61">
        <f>+C538+D538-E538-F538+G538</f>
        <v>23820820</v>
      </c>
      <c r="J538" s="9">
        <f>I538-H538</f>
        <v>0</v>
      </c>
      <c r="K538" s="45" t="s">
        <v>24</v>
      </c>
      <c r="L538" s="47">
        <v>0</v>
      </c>
      <c r="M538" s="47">
        <v>1000000</v>
      </c>
      <c r="N538" s="47">
        <v>286008</v>
      </c>
      <c r="O538" s="47">
        <v>24938480</v>
      </c>
    </row>
    <row r="539" spans="1:16" x14ac:dyDescent="0.3">
      <c r="A539" s="58" t="str">
        <f t="shared" ref="A539:A550" si="306">K539</f>
        <v>BCI-Sous Compte</v>
      </c>
      <c r="B539" s="59" t="s">
        <v>46</v>
      </c>
      <c r="C539" s="61">
        <v>21477810</v>
      </c>
      <c r="D539" s="61">
        <f t="shared" ref="D539:D550" si="307">+L539</f>
        <v>0</v>
      </c>
      <c r="E539" s="61">
        <f t="shared" ref="E539:E550" si="308">+N539</f>
        <v>4453229</v>
      </c>
      <c r="F539" s="61">
        <f t="shared" ref="F539:F550" si="309">+M539</f>
        <v>2600000</v>
      </c>
      <c r="G539" s="61">
        <f t="shared" si="305"/>
        <v>0</v>
      </c>
      <c r="H539" s="61">
        <v>14424581</v>
      </c>
      <c r="I539" s="61">
        <f>+C539+D539-E539-F539+G539</f>
        <v>14424581</v>
      </c>
      <c r="J539" s="9">
        <f t="shared" ref="J539:J545" si="310">I539-H539</f>
        <v>0</v>
      </c>
      <c r="K539" s="45" t="s">
        <v>148</v>
      </c>
      <c r="L539" s="46">
        <v>0</v>
      </c>
      <c r="M539" s="47">
        <v>2600000</v>
      </c>
      <c r="N539" s="47">
        <v>4453229</v>
      </c>
      <c r="O539" s="47">
        <v>0</v>
      </c>
    </row>
    <row r="540" spans="1:16" x14ac:dyDescent="0.3">
      <c r="A540" s="58" t="str">
        <f t="shared" si="306"/>
        <v>Caisse</v>
      </c>
      <c r="B540" s="59" t="s">
        <v>25</v>
      </c>
      <c r="C540" s="61">
        <v>103032</v>
      </c>
      <c r="D540" s="61">
        <f t="shared" si="307"/>
        <v>3946550</v>
      </c>
      <c r="E540" s="61">
        <f t="shared" si="308"/>
        <v>994290</v>
      </c>
      <c r="F540" s="61">
        <f t="shared" si="309"/>
        <v>2075250</v>
      </c>
      <c r="G540" s="61">
        <f t="shared" si="305"/>
        <v>0</v>
      </c>
      <c r="H540" s="61">
        <v>980042</v>
      </c>
      <c r="I540" s="61">
        <f>+C540+D540-E540-F540+G540</f>
        <v>980042</v>
      </c>
      <c r="J540" s="102">
        <f t="shared" si="310"/>
        <v>0</v>
      </c>
      <c r="K540" s="45" t="s">
        <v>25</v>
      </c>
      <c r="L540" s="47">
        <v>3946550</v>
      </c>
      <c r="M540" s="47">
        <v>2075250</v>
      </c>
      <c r="N540" s="47">
        <v>994290</v>
      </c>
      <c r="O540" s="47">
        <v>0</v>
      </c>
    </row>
    <row r="541" spans="1:16" x14ac:dyDescent="0.3">
      <c r="A541" s="58" t="str">
        <f t="shared" si="306"/>
        <v>Crépin</v>
      </c>
      <c r="B541" s="59" t="s">
        <v>154</v>
      </c>
      <c r="C541" s="61">
        <v>-5640</v>
      </c>
      <c r="D541" s="61">
        <f t="shared" si="307"/>
        <v>600250</v>
      </c>
      <c r="E541" s="61">
        <f t="shared" si="308"/>
        <v>421700</v>
      </c>
      <c r="F541" s="61">
        <f t="shared" si="309"/>
        <v>107000</v>
      </c>
      <c r="G541" s="61">
        <f t="shared" si="305"/>
        <v>0</v>
      </c>
      <c r="H541" s="61">
        <v>65910</v>
      </c>
      <c r="I541" s="61">
        <f>+C541+D541-E541-F541+G541</f>
        <v>65910</v>
      </c>
      <c r="J541" s="9">
        <f t="shared" si="310"/>
        <v>0</v>
      </c>
      <c r="K541" s="45" t="s">
        <v>47</v>
      </c>
      <c r="L541" s="47">
        <v>600250</v>
      </c>
      <c r="M541" s="47">
        <v>107000</v>
      </c>
      <c r="N541" s="47">
        <v>421700</v>
      </c>
      <c r="O541" s="47">
        <v>0</v>
      </c>
    </row>
    <row r="542" spans="1:16" x14ac:dyDescent="0.3">
      <c r="A542" s="58" t="str">
        <f t="shared" si="306"/>
        <v>Evariste</v>
      </c>
      <c r="B542" s="59" t="s">
        <v>155</v>
      </c>
      <c r="C542" s="61">
        <v>4795</v>
      </c>
      <c r="D542" s="61">
        <f t="shared" si="307"/>
        <v>0</v>
      </c>
      <c r="E542" s="61">
        <f t="shared" si="308"/>
        <v>0</v>
      </c>
      <c r="F542" s="61">
        <f t="shared" si="309"/>
        <v>0</v>
      </c>
      <c r="G542" s="61">
        <f t="shared" si="305"/>
        <v>0</v>
      </c>
      <c r="H542" s="61">
        <v>4795</v>
      </c>
      <c r="I542" s="61">
        <f t="shared" ref="I542" si="311">+C542+D542-E542-F542+G542</f>
        <v>4795</v>
      </c>
      <c r="J542" s="9">
        <f t="shared" si="310"/>
        <v>0</v>
      </c>
      <c r="K542" s="45" t="s">
        <v>31</v>
      </c>
      <c r="L542" s="47">
        <v>0</v>
      </c>
      <c r="M542" s="47">
        <v>0</v>
      </c>
      <c r="N542" s="47">
        <v>0</v>
      </c>
      <c r="O542" s="47">
        <v>0</v>
      </c>
    </row>
    <row r="543" spans="1:16" x14ac:dyDescent="0.3">
      <c r="A543" s="58" t="str">
        <f t="shared" si="306"/>
        <v>I55S</v>
      </c>
      <c r="B543" s="116" t="s">
        <v>4</v>
      </c>
      <c r="C543" s="118">
        <v>233614</v>
      </c>
      <c r="D543" s="118">
        <f t="shared" si="307"/>
        <v>0</v>
      </c>
      <c r="E543" s="118">
        <f t="shared" si="308"/>
        <v>0</v>
      </c>
      <c r="F543" s="118">
        <f t="shared" si="309"/>
        <v>0</v>
      </c>
      <c r="G543" s="118">
        <f t="shared" si="305"/>
        <v>0</v>
      </c>
      <c r="H543" s="118">
        <v>233614</v>
      </c>
      <c r="I543" s="118">
        <f>+C543+D543-E543-F543+G543</f>
        <v>233614</v>
      </c>
      <c r="J543" s="9">
        <f t="shared" si="310"/>
        <v>0</v>
      </c>
      <c r="K543" s="45" t="s">
        <v>84</v>
      </c>
      <c r="L543" s="47">
        <v>0</v>
      </c>
      <c r="M543" s="47">
        <v>0</v>
      </c>
      <c r="N543" s="47">
        <v>0</v>
      </c>
      <c r="O543" s="47">
        <v>0</v>
      </c>
    </row>
    <row r="544" spans="1:16" x14ac:dyDescent="0.3">
      <c r="A544" s="58" t="str">
        <f t="shared" si="306"/>
        <v>I73X</v>
      </c>
      <c r="B544" s="116" t="s">
        <v>4</v>
      </c>
      <c r="C544" s="118">
        <v>249769</v>
      </c>
      <c r="D544" s="118">
        <f t="shared" si="307"/>
        <v>0</v>
      </c>
      <c r="E544" s="118">
        <f t="shared" si="308"/>
        <v>0</v>
      </c>
      <c r="F544" s="118">
        <f t="shared" si="309"/>
        <v>0</v>
      </c>
      <c r="G544" s="118">
        <f t="shared" si="305"/>
        <v>0</v>
      </c>
      <c r="H544" s="118">
        <v>249769</v>
      </c>
      <c r="I544" s="118">
        <f t="shared" ref="I544:I547" si="312">+C544+D544-E544-F544+G544</f>
        <v>249769</v>
      </c>
      <c r="J544" s="9">
        <f t="shared" si="310"/>
        <v>0</v>
      </c>
      <c r="K544" s="45" t="s">
        <v>83</v>
      </c>
      <c r="L544" s="47">
        <v>0</v>
      </c>
      <c r="M544" s="47">
        <v>0</v>
      </c>
      <c r="N544" s="47">
        <v>0</v>
      </c>
      <c r="O544" s="47">
        <v>0</v>
      </c>
    </row>
    <row r="545" spans="1:15" x14ac:dyDescent="0.3">
      <c r="A545" s="58" t="str">
        <f t="shared" si="306"/>
        <v>Grace</v>
      </c>
      <c r="B545" s="98" t="s">
        <v>2</v>
      </c>
      <c r="C545" s="61">
        <v>18815</v>
      </c>
      <c r="D545" s="61">
        <f t="shared" si="307"/>
        <v>105000</v>
      </c>
      <c r="E545" s="61">
        <f t="shared" si="308"/>
        <v>7000</v>
      </c>
      <c r="F545" s="61">
        <f t="shared" si="309"/>
        <v>0</v>
      </c>
      <c r="G545" s="61">
        <f t="shared" si="305"/>
        <v>0</v>
      </c>
      <c r="H545" s="61">
        <v>116815</v>
      </c>
      <c r="I545" s="61">
        <f t="shared" si="312"/>
        <v>116815</v>
      </c>
      <c r="J545" s="9">
        <f t="shared" si="310"/>
        <v>0</v>
      </c>
      <c r="K545" s="45" t="s">
        <v>143</v>
      </c>
      <c r="L545" s="47">
        <v>105000</v>
      </c>
      <c r="M545" s="47">
        <v>0</v>
      </c>
      <c r="N545" s="47">
        <v>7000</v>
      </c>
      <c r="O545" s="47">
        <v>0</v>
      </c>
    </row>
    <row r="546" spans="1:15" s="188" customFormat="1" ht="15.6" x14ac:dyDescent="0.3">
      <c r="A546" s="182" t="str">
        <f t="shared" si="306"/>
        <v>Hurielle</v>
      </c>
      <c r="B546" s="183" t="s">
        <v>154</v>
      </c>
      <c r="C546" s="184">
        <v>36500</v>
      </c>
      <c r="D546" s="184">
        <f t="shared" si="307"/>
        <v>266000</v>
      </c>
      <c r="E546" s="184">
        <f t="shared" si="308"/>
        <v>213800</v>
      </c>
      <c r="F546" s="184">
        <f t="shared" si="309"/>
        <v>88000</v>
      </c>
      <c r="G546" s="184">
        <f t="shared" si="305"/>
        <v>0</v>
      </c>
      <c r="H546" s="184">
        <v>700</v>
      </c>
      <c r="I546" s="184">
        <f t="shared" si="312"/>
        <v>700</v>
      </c>
      <c r="J546" s="185">
        <f>I546-H546</f>
        <v>0</v>
      </c>
      <c r="K546" s="186" t="s">
        <v>197</v>
      </c>
      <c r="L546" s="187">
        <v>266000</v>
      </c>
      <c r="M546" s="187">
        <v>88000</v>
      </c>
      <c r="N546" s="187">
        <v>213800</v>
      </c>
      <c r="O546" s="187">
        <v>0</v>
      </c>
    </row>
    <row r="547" spans="1:15" x14ac:dyDescent="0.3">
      <c r="A547" s="58" t="str">
        <f t="shared" si="306"/>
        <v>I23C</v>
      </c>
      <c r="B547" s="98" t="s">
        <v>4</v>
      </c>
      <c r="C547" s="61">
        <v>79550</v>
      </c>
      <c r="D547" s="61">
        <f t="shared" si="307"/>
        <v>506000</v>
      </c>
      <c r="E547" s="61">
        <f t="shared" si="308"/>
        <v>484000</v>
      </c>
      <c r="F547" s="61">
        <f t="shared" si="309"/>
        <v>101550</v>
      </c>
      <c r="G547" s="61">
        <f t="shared" si="305"/>
        <v>0</v>
      </c>
      <c r="H547" s="61">
        <v>0</v>
      </c>
      <c r="I547" s="61">
        <f t="shared" si="312"/>
        <v>0</v>
      </c>
      <c r="J547" s="9">
        <f t="shared" ref="J547:J548" si="313">I547-H547</f>
        <v>0</v>
      </c>
      <c r="K547" s="45" t="s">
        <v>30</v>
      </c>
      <c r="L547" s="47">
        <v>506000</v>
      </c>
      <c r="M547" s="47">
        <v>101550</v>
      </c>
      <c r="N547" s="47">
        <v>484000</v>
      </c>
      <c r="O547" s="47">
        <v>0</v>
      </c>
    </row>
    <row r="548" spans="1:15" x14ac:dyDescent="0.3">
      <c r="A548" s="58" t="str">
        <f t="shared" si="306"/>
        <v>Merveille</v>
      </c>
      <c r="B548" s="59" t="s">
        <v>2</v>
      </c>
      <c r="C548" s="61">
        <v>5900</v>
      </c>
      <c r="D548" s="61">
        <f t="shared" si="307"/>
        <v>20000</v>
      </c>
      <c r="E548" s="61">
        <f t="shared" si="308"/>
        <v>19000</v>
      </c>
      <c r="F548" s="61">
        <f t="shared" si="309"/>
        <v>0</v>
      </c>
      <c r="G548" s="61">
        <f t="shared" si="305"/>
        <v>0</v>
      </c>
      <c r="H548" s="61">
        <v>6900</v>
      </c>
      <c r="I548" s="61">
        <f>+C548+D548-E548-F548+G548</f>
        <v>6900</v>
      </c>
      <c r="J548" s="9">
        <f t="shared" si="313"/>
        <v>0</v>
      </c>
      <c r="K548" s="45" t="s">
        <v>93</v>
      </c>
      <c r="L548" s="47">
        <v>20000</v>
      </c>
      <c r="M548" s="47">
        <v>0</v>
      </c>
      <c r="N548" s="47">
        <v>19000</v>
      </c>
      <c r="O548" s="47">
        <v>0</v>
      </c>
    </row>
    <row r="549" spans="1:15" x14ac:dyDescent="0.3">
      <c r="A549" s="58" t="str">
        <f t="shared" si="306"/>
        <v>P29</v>
      </c>
      <c r="B549" s="59" t="s">
        <v>4</v>
      </c>
      <c r="C549" s="61">
        <v>29850</v>
      </c>
      <c r="D549" s="61">
        <f t="shared" si="307"/>
        <v>578000</v>
      </c>
      <c r="E549" s="61">
        <f t="shared" si="308"/>
        <v>533800</v>
      </c>
      <c r="F549" s="61">
        <f t="shared" si="309"/>
        <v>50000</v>
      </c>
      <c r="G549" s="61">
        <f>+O549</f>
        <v>0</v>
      </c>
      <c r="H549" s="61">
        <v>24050</v>
      </c>
      <c r="I549" s="61">
        <f>+C549+D549-E549-F549+G549</f>
        <v>24050</v>
      </c>
      <c r="J549" s="9">
        <f>I549-H549</f>
        <v>0</v>
      </c>
      <c r="K549" s="45" t="s">
        <v>29</v>
      </c>
      <c r="L549" s="47">
        <v>578000</v>
      </c>
      <c r="M549" s="47">
        <v>50000</v>
      </c>
      <c r="N549" s="47">
        <v>533800</v>
      </c>
      <c r="O549" s="47">
        <v>0</v>
      </c>
    </row>
    <row r="550" spans="1:15" x14ac:dyDescent="0.3">
      <c r="A550" s="58" t="str">
        <f t="shared" si="306"/>
        <v>Tiffany</v>
      </c>
      <c r="B550" s="59" t="s">
        <v>2</v>
      </c>
      <c r="C550" s="61">
        <v>1123541</v>
      </c>
      <c r="D550" s="61">
        <f t="shared" si="307"/>
        <v>0</v>
      </c>
      <c r="E550" s="61">
        <f t="shared" si="308"/>
        <v>1777243</v>
      </c>
      <c r="F550" s="61">
        <f t="shared" si="309"/>
        <v>0</v>
      </c>
      <c r="G550" s="61">
        <f t="shared" ref="G550" si="314">+O550</f>
        <v>0</v>
      </c>
      <c r="H550" s="61">
        <v>-653702</v>
      </c>
      <c r="I550" s="61">
        <f t="shared" ref="I550" si="315">+C550+D550-E550-F550+G550</f>
        <v>-653702</v>
      </c>
      <c r="J550" s="9">
        <f t="shared" ref="J550" si="316">I550-H550</f>
        <v>0</v>
      </c>
      <c r="K550" s="45" t="s">
        <v>113</v>
      </c>
      <c r="L550" s="47">
        <v>0</v>
      </c>
      <c r="M550" s="47">
        <v>0</v>
      </c>
      <c r="N550" s="47">
        <v>1777243</v>
      </c>
      <c r="O550" s="47">
        <v>0</v>
      </c>
    </row>
    <row r="551" spans="1:15" x14ac:dyDescent="0.3">
      <c r="A551" s="10" t="s">
        <v>50</v>
      </c>
      <c r="B551" s="11"/>
      <c r="C551" s="12">
        <f t="shared" ref="C551:I551" si="317">SUM(C538:C550)</f>
        <v>23525884</v>
      </c>
      <c r="D551" s="57">
        <f t="shared" si="317"/>
        <v>6021800</v>
      </c>
      <c r="E551" s="57">
        <f t="shared" si="317"/>
        <v>9190070</v>
      </c>
      <c r="F551" s="57">
        <f t="shared" si="317"/>
        <v>6021800</v>
      </c>
      <c r="G551" s="57">
        <f t="shared" si="317"/>
        <v>24938480</v>
      </c>
      <c r="H551" s="57">
        <f t="shared" si="317"/>
        <v>39274294</v>
      </c>
      <c r="I551" s="57">
        <f t="shared" si="317"/>
        <v>39274294</v>
      </c>
      <c r="J551" s="9">
        <f>I551-H551</f>
        <v>0</v>
      </c>
      <c r="K551" s="3"/>
      <c r="L551" s="47">
        <f>+SUM(L538:L550)</f>
        <v>6021800</v>
      </c>
      <c r="M551" s="47">
        <f>+SUM(M538:M550)</f>
        <v>6021800</v>
      </c>
      <c r="N551" s="47">
        <f>+SUM(N538:N550)</f>
        <v>9190070</v>
      </c>
      <c r="O551" s="47">
        <f>+SUM(O538:O550)</f>
        <v>24938480</v>
      </c>
    </row>
    <row r="552" spans="1:15" x14ac:dyDescent="0.3">
      <c r="A552" s="10"/>
      <c r="B552" s="11"/>
      <c r="C552" s="12"/>
      <c r="D552" s="13"/>
      <c r="E552" s="12"/>
      <c r="F552" s="13"/>
      <c r="G552" s="12"/>
      <c r="H552" s="12"/>
      <c r="I552" s="134" t="b">
        <f>I551=D554</f>
        <v>1</v>
      </c>
      <c r="L552" s="5"/>
      <c r="M552" s="5"/>
      <c r="N552" s="5"/>
      <c r="O552" s="5"/>
    </row>
    <row r="553" spans="1:15" x14ac:dyDescent="0.3">
      <c r="A553" s="10" t="s">
        <v>231</v>
      </c>
      <c r="B553" s="11" t="s">
        <v>232</v>
      </c>
      <c r="C553" s="12" t="s">
        <v>233</v>
      </c>
      <c r="D553" s="12" t="s">
        <v>234</v>
      </c>
      <c r="E553" s="12" t="s">
        <v>51</v>
      </c>
      <c r="F553" s="12"/>
      <c r="G553" s="12">
        <f>+D551-F551</f>
        <v>0</v>
      </c>
      <c r="H553" s="12"/>
      <c r="I553" s="12"/>
    </row>
    <row r="554" spans="1:15" x14ac:dyDescent="0.3">
      <c r="A554" s="14">
        <f>C551</f>
        <v>23525884</v>
      </c>
      <c r="B554" s="15">
        <f>G551</f>
        <v>24938480</v>
      </c>
      <c r="C554" s="12">
        <f>E551</f>
        <v>9190070</v>
      </c>
      <c r="D554" s="12">
        <f>A554+B554-C554</f>
        <v>39274294</v>
      </c>
      <c r="E554" s="13">
        <f>I551-D554</f>
        <v>0</v>
      </c>
      <c r="F554" s="12"/>
      <c r="G554" s="12"/>
      <c r="H554" s="12"/>
      <c r="I554" s="12"/>
    </row>
    <row r="555" spans="1:15" x14ac:dyDescent="0.3">
      <c r="A555" s="14"/>
      <c r="B555" s="15"/>
      <c r="C555" s="12"/>
      <c r="D555" s="12"/>
      <c r="E555" s="13"/>
      <c r="F555" s="12"/>
      <c r="G555" s="12"/>
      <c r="H555" s="12"/>
      <c r="I555" s="12"/>
    </row>
    <row r="556" spans="1:15" x14ac:dyDescent="0.3">
      <c r="A556" s="16" t="s">
        <v>52</v>
      </c>
      <c r="B556" s="16"/>
      <c r="C556" s="16"/>
      <c r="D556" s="17"/>
      <c r="E556" s="17"/>
      <c r="F556" s="17"/>
      <c r="G556" s="17"/>
      <c r="H556" s="17"/>
      <c r="I556" s="17"/>
    </row>
    <row r="557" spans="1:15" x14ac:dyDescent="0.3">
      <c r="A557" s="18" t="s">
        <v>236</v>
      </c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5" x14ac:dyDescent="0.3">
      <c r="A558" s="19"/>
      <c r="B558" s="17"/>
      <c r="C558" s="20"/>
      <c r="D558" s="20"/>
      <c r="E558" s="20"/>
      <c r="F558" s="20"/>
      <c r="G558" s="20"/>
      <c r="H558" s="17"/>
      <c r="I558" s="17"/>
    </row>
    <row r="559" spans="1:15" x14ac:dyDescent="0.3">
      <c r="A559" s="169" t="s">
        <v>53</v>
      </c>
      <c r="B559" s="171" t="s">
        <v>54</v>
      </c>
      <c r="C559" s="173" t="s">
        <v>237</v>
      </c>
      <c r="D559" s="174" t="s">
        <v>55</v>
      </c>
      <c r="E559" s="175"/>
      <c r="F559" s="175"/>
      <c r="G559" s="176"/>
      <c r="H559" s="177" t="s">
        <v>56</v>
      </c>
      <c r="I559" s="165" t="s">
        <v>57</v>
      </c>
      <c r="J559" s="17"/>
    </row>
    <row r="560" spans="1:15" ht="28.5" customHeight="1" x14ac:dyDescent="0.3">
      <c r="A560" s="170"/>
      <c r="B560" s="172"/>
      <c r="C560" s="22"/>
      <c r="D560" s="21" t="s">
        <v>24</v>
      </c>
      <c r="E560" s="21" t="s">
        <v>25</v>
      </c>
      <c r="F560" s="22" t="s">
        <v>123</v>
      </c>
      <c r="G560" s="21" t="s">
        <v>58</v>
      </c>
      <c r="H560" s="178"/>
      <c r="I560" s="166"/>
      <c r="J560" s="167" t="s">
        <v>238</v>
      </c>
      <c r="K560" s="143"/>
    </row>
    <row r="561" spans="1:11" x14ac:dyDescent="0.3">
      <c r="A561" s="23"/>
      <c r="B561" s="24" t="s">
        <v>59</v>
      </c>
      <c r="C561" s="25"/>
      <c r="D561" s="25"/>
      <c r="E561" s="25"/>
      <c r="F561" s="25"/>
      <c r="G561" s="25"/>
      <c r="H561" s="25"/>
      <c r="I561" s="26"/>
      <c r="J561" s="168"/>
      <c r="K561" s="143"/>
    </row>
    <row r="562" spans="1:11" x14ac:dyDescent="0.3">
      <c r="A562" s="122" t="s">
        <v>139</v>
      </c>
      <c r="B562" s="127" t="s">
        <v>47</v>
      </c>
      <c r="C562" s="32">
        <f t="shared" ref="C562:C571" si="318">+C541</f>
        <v>-5640</v>
      </c>
      <c r="D562" s="31"/>
      <c r="E562" s="32">
        <f t="shared" ref="E562:E571" si="319">+D541</f>
        <v>600250</v>
      </c>
      <c r="F562" s="32"/>
      <c r="G562" s="32"/>
      <c r="H562" s="55">
        <f t="shared" ref="H562:H571" si="320">+F541</f>
        <v>107000</v>
      </c>
      <c r="I562" s="32">
        <f t="shared" ref="I562:I571" si="321">+E541</f>
        <v>421700</v>
      </c>
      <c r="J562" s="30">
        <f t="shared" ref="J562:J563" si="322">+SUM(C562:G562)-(H562+I562)</f>
        <v>65910</v>
      </c>
      <c r="K562" s="144" t="b">
        <f t="shared" ref="K562:K571" si="323">J562=I541</f>
        <v>1</v>
      </c>
    </row>
    <row r="563" spans="1:11" x14ac:dyDescent="0.3">
      <c r="A563" s="122" t="str">
        <f>+A562</f>
        <v>AOUT</v>
      </c>
      <c r="B563" s="127" t="s">
        <v>31</v>
      </c>
      <c r="C563" s="32">
        <f t="shared" si="318"/>
        <v>4795</v>
      </c>
      <c r="D563" s="31"/>
      <c r="E563" s="32">
        <f t="shared" si="319"/>
        <v>0</v>
      </c>
      <c r="F563" s="32"/>
      <c r="G563" s="32"/>
      <c r="H563" s="55">
        <f t="shared" si="320"/>
        <v>0</v>
      </c>
      <c r="I563" s="32">
        <f t="shared" si="321"/>
        <v>0</v>
      </c>
      <c r="J563" s="101">
        <f t="shared" si="322"/>
        <v>4795</v>
      </c>
      <c r="K563" s="144" t="b">
        <f t="shared" si="323"/>
        <v>1</v>
      </c>
    </row>
    <row r="564" spans="1:11" x14ac:dyDescent="0.3">
      <c r="A564" s="122" t="str">
        <f t="shared" ref="A564:A568" si="324">+A563</f>
        <v>AOUT</v>
      </c>
      <c r="B564" s="129" t="s">
        <v>84</v>
      </c>
      <c r="C564" s="120">
        <f t="shared" si="318"/>
        <v>233614</v>
      </c>
      <c r="D564" s="123"/>
      <c r="E564" s="120">
        <f t="shared" si="319"/>
        <v>0</v>
      </c>
      <c r="F564" s="137"/>
      <c r="G564" s="137"/>
      <c r="H564" s="155">
        <f t="shared" si="320"/>
        <v>0</v>
      </c>
      <c r="I564" s="120">
        <f t="shared" si="321"/>
        <v>0</v>
      </c>
      <c r="J564" s="121">
        <f>+SUM(C564:G564)-(H564+I564)</f>
        <v>233614</v>
      </c>
      <c r="K564" s="144" t="b">
        <f t="shared" si="323"/>
        <v>1</v>
      </c>
    </row>
    <row r="565" spans="1:11" x14ac:dyDescent="0.3">
      <c r="A565" s="122" t="str">
        <f t="shared" si="324"/>
        <v>AOUT</v>
      </c>
      <c r="B565" s="129" t="s">
        <v>83</v>
      </c>
      <c r="C565" s="120">
        <f t="shared" si="318"/>
        <v>249769</v>
      </c>
      <c r="D565" s="123"/>
      <c r="E565" s="120">
        <f t="shared" si="319"/>
        <v>0</v>
      </c>
      <c r="F565" s="137"/>
      <c r="G565" s="137"/>
      <c r="H565" s="155">
        <f t="shared" si="320"/>
        <v>0</v>
      </c>
      <c r="I565" s="120">
        <f t="shared" si="321"/>
        <v>0</v>
      </c>
      <c r="J565" s="121">
        <f t="shared" ref="J565:J571" si="325">+SUM(C565:G565)-(H565+I565)</f>
        <v>249769</v>
      </c>
      <c r="K565" s="144" t="b">
        <f t="shared" si="323"/>
        <v>1</v>
      </c>
    </row>
    <row r="566" spans="1:11" x14ac:dyDescent="0.3">
      <c r="A566" s="122" t="str">
        <f t="shared" si="324"/>
        <v>AOUT</v>
      </c>
      <c r="B566" s="127" t="s">
        <v>143</v>
      </c>
      <c r="C566" s="32">
        <f t="shared" si="318"/>
        <v>18815</v>
      </c>
      <c r="D566" s="31"/>
      <c r="E566" s="32">
        <f t="shared" si="319"/>
        <v>105000</v>
      </c>
      <c r="F566" s="32"/>
      <c r="G566" s="104"/>
      <c r="H566" s="55">
        <f t="shared" si="320"/>
        <v>0</v>
      </c>
      <c r="I566" s="32">
        <f t="shared" si="321"/>
        <v>7000</v>
      </c>
      <c r="J566" s="30">
        <f t="shared" si="325"/>
        <v>116815</v>
      </c>
      <c r="K566" s="144" t="b">
        <f t="shared" si="323"/>
        <v>1</v>
      </c>
    </row>
    <row r="567" spans="1:11" x14ac:dyDescent="0.3">
      <c r="A567" s="122" t="str">
        <f t="shared" si="324"/>
        <v>AOUT</v>
      </c>
      <c r="B567" s="127" t="s">
        <v>197</v>
      </c>
      <c r="C567" s="32">
        <f t="shared" si="318"/>
        <v>36500</v>
      </c>
      <c r="D567" s="31"/>
      <c r="E567" s="32">
        <f t="shared" si="319"/>
        <v>266000</v>
      </c>
      <c r="F567" s="32"/>
      <c r="G567" s="104"/>
      <c r="H567" s="55">
        <f t="shared" si="320"/>
        <v>88000</v>
      </c>
      <c r="I567" s="32">
        <f t="shared" si="321"/>
        <v>213800</v>
      </c>
      <c r="J567" s="30">
        <f t="shared" si="325"/>
        <v>700</v>
      </c>
      <c r="K567" s="144" t="b">
        <f t="shared" si="323"/>
        <v>1</v>
      </c>
    </row>
    <row r="568" spans="1:11" x14ac:dyDescent="0.3">
      <c r="A568" s="122" t="str">
        <f t="shared" si="324"/>
        <v>AOUT</v>
      </c>
      <c r="B568" s="127" t="s">
        <v>30</v>
      </c>
      <c r="C568" s="32">
        <f t="shared" si="318"/>
        <v>79550</v>
      </c>
      <c r="D568" s="31"/>
      <c r="E568" s="32">
        <f t="shared" si="319"/>
        <v>506000</v>
      </c>
      <c r="F568" s="32"/>
      <c r="G568" s="104"/>
      <c r="H568" s="55">
        <f t="shared" si="320"/>
        <v>101550</v>
      </c>
      <c r="I568" s="32">
        <f t="shared" si="321"/>
        <v>484000</v>
      </c>
      <c r="J568" s="30">
        <f t="shared" si="325"/>
        <v>0</v>
      </c>
      <c r="K568" s="144" t="b">
        <f t="shared" si="323"/>
        <v>1</v>
      </c>
    </row>
    <row r="569" spans="1:11" x14ac:dyDescent="0.3">
      <c r="A569" s="122" t="str">
        <f>+A567</f>
        <v>AOUT</v>
      </c>
      <c r="B569" s="127" t="s">
        <v>93</v>
      </c>
      <c r="C569" s="32">
        <f t="shared" si="318"/>
        <v>5900</v>
      </c>
      <c r="D569" s="31"/>
      <c r="E569" s="32">
        <f t="shared" si="319"/>
        <v>20000</v>
      </c>
      <c r="F569" s="32"/>
      <c r="G569" s="104"/>
      <c r="H569" s="55">
        <f t="shared" si="320"/>
        <v>0</v>
      </c>
      <c r="I569" s="32">
        <f t="shared" si="321"/>
        <v>19000</v>
      </c>
      <c r="J569" s="30">
        <f t="shared" si="325"/>
        <v>6900</v>
      </c>
      <c r="K569" s="144" t="b">
        <f t="shared" si="323"/>
        <v>1</v>
      </c>
    </row>
    <row r="570" spans="1:11" x14ac:dyDescent="0.3">
      <c r="A570" s="122" t="str">
        <f>+A568</f>
        <v>AOUT</v>
      </c>
      <c r="B570" s="127" t="s">
        <v>29</v>
      </c>
      <c r="C570" s="32">
        <f t="shared" si="318"/>
        <v>29850</v>
      </c>
      <c r="D570" s="31"/>
      <c r="E570" s="32">
        <f t="shared" si="319"/>
        <v>578000</v>
      </c>
      <c r="F570" s="32"/>
      <c r="G570" s="104"/>
      <c r="H570" s="55">
        <f t="shared" si="320"/>
        <v>50000</v>
      </c>
      <c r="I570" s="32">
        <f t="shared" si="321"/>
        <v>533800</v>
      </c>
      <c r="J570" s="30">
        <f t="shared" si="325"/>
        <v>24050</v>
      </c>
      <c r="K570" s="144" t="b">
        <f t="shared" si="323"/>
        <v>1</v>
      </c>
    </row>
    <row r="571" spans="1:11" x14ac:dyDescent="0.3">
      <c r="A571" s="122" t="str">
        <f>+A569</f>
        <v>AOUT</v>
      </c>
      <c r="B571" s="128" t="s">
        <v>113</v>
      </c>
      <c r="C571" s="32">
        <f t="shared" si="318"/>
        <v>1123541</v>
      </c>
      <c r="D571" s="119"/>
      <c r="E571" s="32">
        <f t="shared" si="319"/>
        <v>0</v>
      </c>
      <c r="F571" s="51"/>
      <c r="G571" s="138"/>
      <c r="H571" s="55">
        <f t="shared" si="320"/>
        <v>0</v>
      </c>
      <c r="I571" s="32">
        <f t="shared" si="321"/>
        <v>1777243</v>
      </c>
      <c r="J571" s="30">
        <f t="shared" si="325"/>
        <v>-653702</v>
      </c>
      <c r="K571" s="144" t="b">
        <f t="shared" si="323"/>
        <v>1</v>
      </c>
    </row>
    <row r="572" spans="1:11" x14ac:dyDescent="0.3">
      <c r="A572" s="34" t="s">
        <v>60</v>
      </c>
      <c r="B572" s="35"/>
      <c r="C572" s="35"/>
      <c r="D572" s="35"/>
      <c r="E572" s="35"/>
      <c r="F572" s="35"/>
      <c r="G572" s="35"/>
      <c r="H572" s="35"/>
      <c r="I572" s="35"/>
      <c r="J572" s="36"/>
      <c r="K572" s="143"/>
    </row>
    <row r="573" spans="1:11" x14ac:dyDescent="0.3">
      <c r="A573" s="122" t="str">
        <f>A571</f>
        <v>AOUT</v>
      </c>
      <c r="B573" s="37" t="s">
        <v>61</v>
      </c>
      <c r="C573" s="38">
        <f>+C540</f>
        <v>103032</v>
      </c>
      <c r="D573" s="49"/>
      <c r="E573" s="49">
        <f>D540</f>
        <v>3946550</v>
      </c>
      <c r="F573" s="49"/>
      <c r="G573" s="125"/>
      <c r="H573" s="51">
        <f>+F540</f>
        <v>2075250</v>
      </c>
      <c r="I573" s="126">
        <f>+E540</f>
        <v>994290</v>
      </c>
      <c r="J573" s="30">
        <f>+SUM(C573:G573)-(H573+I573)</f>
        <v>980042</v>
      </c>
      <c r="K573" s="144" t="b">
        <f>J573=I540</f>
        <v>1</v>
      </c>
    </row>
    <row r="574" spans="1:11" x14ac:dyDescent="0.3">
      <c r="A574" s="43" t="s">
        <v>62</v>
      </c>
      <c r="B574" s="24"/>
      <c r="C574" s="35"/>
      <c r="D574" s="24"/>
      <c r="E574" s="24"/>
      <c r="F574" s="24"/>
      <c r="G574" s="24"/>
      <c r="H574" s="24"/>
      <c r="I574" s="24"/>
      <c r="J574" s="36"/>
      <c r="K574" s="143"/>
    </row>
    <row r="575" spans="1:11" x14ac:dyDescent="0.3">
      <c r="A575" s="122" t="str">
        <f>+A573</f>
        <v>AOUT</v>
      </c>
      <c r="B575" s="37" t="s">
        <v>156</v>
      </c>
      <c r="C575" s="125">
        <f>+C538</f>
        <v>168348</v>
      </c>
      <c r="D575" s="132">
        <f>+G538</f>
        <v>24938480</v>
      </c>
      <c r="E575" s="49"/>
      <c r="F575" s="49"/>
      <c r="G575" s="49"/>
      <c r="H575" s="51">
        <f>+F538</f>
        <v>1000000</v>
      </c>
      <c r="I575" s="53">
        <f>+E538</f>
        <v>286008</v>
      </c>
      <c r="J575" s="30">
        <f>+SUM(C575:G575)-(H575+I575)</f>
        <v>23820820</v>
      </c>
      <c r="K575" s="144" t="b">
        <f>+J575=I538</f>
        <v>1</v>
      </c>
    </row>
    <row r="576" spans="1:11" x14ac:dyDescent="0.3">
      <c r="A576" s="122" t="str">
        <f t="shared" ref="A576" si="326">+A575</f>
        <v>AOUT</v>
      </c>
      <c r="B576" s="37" t="s">
        <v>64</v>
      </c>
      <c r="C576" s="125">
        <f>+C539</f>
        <v>21477810</v>
      </c>
      <c r="D576" s="49">
        <f>+G539</f>
        <v>0</v>
      </c>
      <c r="E576" s="48"/>
      <c r="F576" s="48"/>
      <c r="G576" s="48"/>
      <c r="H576" s="32">
        <f>+F539</f>
        <v>2600000</v>
      </c>
      <c r="I576" s="50">
        <f>+E539</f>
        <v>4453229</v>
      </c>
      <c r="J576" s="30">
        <f>SUM(C576:G576)-(H576+I576)</f>
        <v>14424581</v>
      </c>
      <c r="K576" s="144" t="b">
        <f>+J576=I539</f>
        <v>1</v>
      </c>
    </row>
    <row r="577" spans="1:16" ht="15.6" x14ac:dyDescent="0.3">
      <c r="C577" s="141">
        <f>SUM(C562:C576)</f>
        <v>23525884</v>
      </c>
      <c r="I577" s="140">
        <f>SUM(I562:I576)</f>
        <v>9190070</v>
      </c>
      <c r="J577" s="105">
        <f>+SUM(J562:J576)</f>
        <v>39274294</v>
      </c>
      <c r="K577" s="5" t="b">
        <f>J577=I551</f>
        <v>1</v>
      </c>
    </row>
    <row r="578" spans="1:16" ht="15.6" x14ac:dyDescent="0.3">
      <c r="A578" s="160"/>
      <c r="B578" s="160"/>
      <c r="C578" s="161"/>
      <c r="D578" s="160"/>
      <c r="E578" s="160"/>
      <c r="F578" s="160"/>
      <c r="G578" s="160"/>
      <c r="H578" s="160"/>
      <c r="I578" s="162"/>
      <c r="J578" s="163"/>
      <c r="K578" s="160"/>
      <c r="L578" s="164"/>
      <c r="M578" s="164"/>
      <c r="N578" s="164"/>
      <c r="O578" s="164"/>
      <c r="P578" s="160"/>
    </row>
    <row r="580" spans="1:16" ht="15.6" x14ac:dyDescent="0.3">
      <c r="A580" s="6" t="s">
        <v>36</v>
      </c>
      <c r="B580" s="6" t="s">
        <v>1</v>
      </c>
      <c r="C580" s="6">
        <v>44743</v>
      </c>
      <c r="D580" s="7" t="s">
        <v>37</v>
      </c>
      <c r="E580" s="7" t="s">
        <v>38</v>
      </c>
      <c r="F580" s="7" t="s">
        <v>39</v>
      </c>
      <c r="G580" s="7" t="s">
        <v>40</v>
      </c>
      <c r="H580" s="6">
        <v>44773</v>
      </c>
      <c r="I580" s="7" t="s">
        <v>41</v>
      </c>
      <c r="K580" s="45"/>
      <c r="L580" s="45" t="s">
        <v>42</v>
      </c>
      <c r="M580" s="45" t="s">
        <v>43</v>
      </c>
      <c r="N580" s="45" t="s">
        <v>44</v>
      </c>
      <c r="O580" s="45" t="s">
        <v>45</v>
      </c>
    </row>
    <row r="581" spans="1:16" x14ac:dyDescent="0.3">
      <c r="A581" s="58" t="str">
        <f>K581</f>
        <v>BCI</v>
      </c>
      <c r="B581" s="59" t="s">
        <v>46</v>
      </c>
      <c r="C581" s="61">
        <v>4291693</v>
      </c>
      <c r="D581" s="61">
        <f>+L581</f>
        <v>0</v>
      </c>
      <c r="E581" s="61">
        <f>+N581</f>
        <v>23345</v>
      </c>
      <c r="F581" s="61">
        <f>+M581</f>
        <v>4100000</v>
      </c>
      <c r="G581" s="61">
        <f t="shared" ref="G581:G591" si="327">+O581</f>
        <v>0</v>
      </c>
      <c r="H581" s="61">
        <v>168348</v>
      </c>
      <c r="I581" s="61">
        <f>+C581+D581-E581-F581+G581</f>
        <v>168348</v>
      </c>
      <c r="J581" s="9">
        <f>I581-H581</f>
        <v>0</v>
      </c>
      <c r="K581" s="45" t="s">
        <v>24</v>
      </c>
      <c r="L581" s="47">
        <v>0</v>
      </c>
      <c r="M581" s="47">
        <v>4100000</v>
      </c>
      <c r="N581" s="47">
        <v>23345</v>
      </c>
      <c r="O581" s="47">
        <v>0</v>
      </c>
    </row>
    <row r="582" spans="1:16" x14ac:dyDescent="0.3">
      <c r="A582" s="58" t="str">
        <f t="shared" ref="A582:A594" si="328">K582</f>
        <v>BCI-Sous Compte</v>
      </c>
      <c r="B582" s="59" t="s">
        <v>46</v>
      </c>
      <c r="C582" s="61">
        <v>4852627</v>
      </c>
      <c r="D582" s="61">
        <f t="shared" ref="D582:D585" si="329">+L582</f>
        <v>0</v>
      </c>
      <c r="E582" s="61">
        <f t="shared" ref="E582:E594" si="330">+N582</f>
        <v>3777704</v>
      </c>
      <c r="F582" s="61">
        <f t="shared" ref="F582:F594" si="331">+M582</f>
        <v>0</v>
      </c>
      <c r="G582" s="61">
        <f t="shared" si="327"/>
        <v>20402887</v>
      </c>
      <c r="H582" s="61">
        <v>21477810</v>
      </c>
      <c r="I582" s="61">
        <f>+C582+D582-E582-F582+G582</f>
        <v>21477810</v>
      </c>
      <c r="J582" s="9">
        <f t="shared" ref="J582:J588" si="332">I582-H582</f>
        <v>0</v>
      </c>
      <c r="K582" s="45" t="s">
        <v>148</v>
      </c>
      <c r="L582" s="46">
        <v>0</v>
      </c>
      <c r="M582" s="47">
        <v>0</v>
      </c>
      <c r="N582" s="47">
        <v>3777704</v>
      </c>
      <c r="O582" s="47">
        <v>20402887</v>
      </c>
    </row>
    <row r="583" spans="1:16" x14ac:dyDescent="0.3">
      <c r="A583" s="58" t="str">
        <f t="shared" si="328"/>
        <v>Caisse</v>
      </c>
      <c r="B583" s="59" t="s">
        <v>25</v>
      </c>
      <c r="C583" s="61">
        <v>1696326</v>
      </c>
      <c r="D583" s="61">
        <f t="shared" si="329"/>
        <v>4430000</v>
      </c>
      <c r="E583" s="61">
        <f t="shared" si="330"/>
        <v>1453294</v>
      </c>
      <c r="F583" s="61">
        <f t="shared" si="331"/>
        <v>4570000</v>
      </c>
      <c r="G583" s="61">
        <f t="shared" si="327"/>
        <v>0</v>
      </c>
      <c r="H583" s="61">
        <v>103032</v>
      </c>
      <c r="I583" s="61">
        <f>+C583+D583-E583-F583+G583</f>
        <v>103032</v>
      </c>
      <c r="J583" s="102">
        <f t="shared" si="332"/>
        <v>0</v>
      </c>
      <c r="K583" s="45" t="s">
        <v>25</v>
      </c>
      <c r="L583" s="47">
        <v>4430000</v>
      </c>
      <c r="M583" s="47">
        <v>4570000</v>
      </c>
      <c r="N583" s="47">
        <v>1453294</v>
      </c>
      <c r="O583" s="47">
        <v>0</v>
      </c>
    </row>
    <row r="584" spans="1:16" x14ac:dyDescent="0.3">
      <c r="A584" s="58" t="str">
        <f t="shared" si="328"/>
        <v>Crépin</v>
      </c>
      <c r="B584" s="59" t="s">
        <v>154</v>
      </c>
      <c r="C584" s="61">
        <v>9800</v>
      </c>
      <c r="D584" s="61">
        <f t="shared" si="329"/>
        <v>1043000</v>
      </c>
      <c r="E584" s="61">
        <f t="shared" si="330"/>
        <v>975940</v>
      </c>
      <c r="F584" s="61">
        <f t="shared" si="331"/>
        <v>82500</v>
      </c>
      <c r="G584" s="61">
        <f t="shared" si="327"/>
        <v>0</v>
      </c>
      <c r="H584" s="61">
        <v>-5640</v>
      </c>
      <c r="I584" s="61">
        <f>+C584+D584-E584-F584+G584</f>
        <v>-5640</v>
      </c>
      <c r="J584" s="9">
        <f t="shared" si="332"/>
        <v>0</v>
      </c>
      <c r="K584" s="45" t="s">
        <v>47</v>
      </c>
      <c r="L584" s="47">
        <v>1043000</v>
      </c>
      <c r="M584" s="47">
        <v>82500</v>
      </c>
      <c r="N584" s="47">
        <v>975940</v>
      </c>
      <c r="O584" s="47">
        <v>0</v>
      </c>
    </row>
    <row r="585" spans="1:16" x14ac:dyDescent="0.3">
      <c r="A585" s="58" t="str">
        <f t="shared" si="328"/>
        <v>Evariste</v>
      </c>
      <c r="B585" s="59" t="s">
        <v>155</v>
      </c>
      <c r="C585" s="61">
        <v>2295</v>
      </c>
      <c r="D585" s="61">
        <f t="shared" si="329"/>
        <v>242500</v>
      </c>
      <c r="E585" s="61">
        <f t="shared" si="330"/>
        <v>240000</v>
      </c>
      <c r="F585" s="61">
        <f t="shared" si="331"/>
        <v>0</v>
      </c>
      <c r="G585" s="61">
        <f t="shared" si="327"/>
        <v>0</v>
      </c>
      <c r="H585" s="61">
        <v>4795</v>
      </c>
      <c r="I585" s="61">
        <f t="shared" ref="I585" si="333">+C585+D585-E585-F585+G585</f>
        <v>4795</v>
      </c>
      <c r="J585" s="9">
        <f t="shared" si="332"/>
        <v>0</v>
      </c>
      <c r="K585" s="45" t="s">
        <v>31</v>
      </c>
      <c r="L585" s="47">
        <v>242500</v>
      </c>
      <c r="M585" s="47">
        <v>0</v>
      </c>
      <c r="N585" s="47">
        <v>240000</v>
      </c>
      <c r="O585" s="47">
        <v>0</v>
      </c>
    </row>
    <row r="586" spans="1:16" x14ac:dyDescent="0.3">
      <c r="A586" s="58" t="str">
        <f t="shared" si="328"/>
        <v>I55S</v>
      </c>
      <c r="B586" s="116" t="s">
        <v>4</v>
      </c>
      <c r="C586" s="118">
        <v>233614</v>
      </c>
      <c r="D586" s="118">
        <f t="shared" ref="D586:D594" si="334">+L586</f>
        <v>0</v>
      </c>
      <c r="E586" s="118">
        <f t="shared" si="330"/>
        <v>0</v>
      </c>
      <c r="F586" s="118">
        <f t="shared" si="331"/>
        <v>0</v>
      </c>
      <c r="G586" s="118">
        <f t="shared" si="327"/>
        <v>0</v>
      </c>
      <c r="H586" s="118">
        <v>233614</v>
      </c>
      <c r="I586" s="118">
        <f>+C586+D586-E586-F586+G586</f>
        <v>233614</v>
      </c>
      <c r="J586" s="9">
        <f t="shared" si="332"/>
        <v>0</v>
      </c>
      <c r="K586" s="45" t="s">
        <v>84</v>
      </c>
      <c r="L586" s="47">
        <v>0</v>
      </c>
      <c r="M586" s="47">
        <v>0</v>
      </c>
      <c r="N586" s="47">
        <v>0</v>
      </c>
      <c r="O586" s="47">
        <v>0</v>
      </c>
    </row>
    <row r="587" spans="1:16" x14ac:dyDescent="0.3">
      <c r="A587" s="58" t="str">
        <f t="shared" si="328"/>
        <v>I73X</v>
      </c>
      <c r="B587" s="116" t="s">
        <v>4</v>
      </c>
      <c r="C587" s="118">
        <v>249769</v>
      </c>
      <c r="D587" s="118">
        <f t="shared" si="334"/>
        <v>0</v>
      </c>
      <c r="E587" s="118">
        <f t="shared" si="330"/>
        <v>0</v>
      </c>
      <c r="F587" s="118">
        <f t="shared" si="331"/>
        <v>0</v>
      </c>
      <c r="G587" s="118">
        <f t="shared" si="327"/>
        <v>0</v>
      </c>
      <c r="H587" s="118">
        <v>249769</v>
      </c>
      <c r="I587" s="118">
        <f t="shared" ref="I587:I590" si="335">+C587+D587-E587-F587+G587</f>
        <v>249769</v>
      </c>
      <c r="J587" s="9">
        <f t="shared" si="332"/>
        <v>0</v>
      </c>
      <c r="K587" s="45" t="s">
        <v>83</v>
      </c>
      <c r="L587" s="47">
        <v>0</v>
      </c>
      <c r="M587" s="47">
        <v>0</v>
      </c>
      <c r="N587" s="47">
        <v>0</v>
      </c>
      <c r="O587" s="47">
        <v>0</v>
      </c>
    </row>
    <row r="588" spans="1:16" x14ac:dyDescent="0.3">
      <c r="A588" s="58" t="str">
        <f t="shared" si="328"/>
        <v>Grace</v>
      </c>
      <c r="B588" s="98" t="s">
        <v>2</v>
      </c>
      <c r="C588" s="61">
        <v>28600</v>
      </c>
      <c r="D588" s="61">
        <f t="shared" si="334"/>
        <v>389000</v>
      </c>
      <c r="E588" s="61">
        <f t="shared" si="330"/>
        <v>87785</v>
      </c>
      <c r="F588" s="61">
        <f t="shared" si="331"/>
        <v>311000</v>
      </c>
      <c r="G588" s="61">
        <f t="shared" si="327"/>
        <v>0</v>
      </c>
      <c r="H588" s="61">
        <v>18815</v>
      </c>
      <c r="I588" s="61">
        <f t="shared" si="335"/>
        <v>18815</v>
      </c>
      <c r="J588" s="9">
        <f t="shared" si="332"/>
        <v>0</v>
      </c>
      <c r="K588" s="45" t="s">
        <v>143</v>
      </c>
      <c r="L588" s="47">
        <v>389000</v>
      </c>
      <c r="M588" s="47">
        <v>311000</v>
      </c>
      <c r="N588" s="47">
        <v>87785</v>
      </c>
      <c r="O588" s="47">
        <v>0</v>
      </c>
    </row>
    <row r="589" spans="1:16" x14ac:dyDescent="0.3">
      <c r="A589" s="58" t="str">
        <f t="shared" si="328"/>
        <v>Hurielle</v>
      </c>
      <c r="B589" s="59" t="s">
        <v>154</v>
      </c>
      <c r="C589" s="61">
        <v>18000</v>
      </c>
      <c r="D589" s="61">
        <f t="shared" si="334"/>
        <v>354000</v>
      </c>
      <c r="E589" s="61">
        <f t="shared" si="330"/>
        <v>335500</v>
      </c>
      <c r="F589" s="61">
        <f t="shared" si="331"/>
        <v>0</v>
      </c>
      <c r="G589" s="61">
        <f t="shared" si="327"/>
        <v>0</v>
      </c>
      <c r="H589" s="61">
        <v>36500</v>
      </c>
      <c r="I589" s="61">
        <f t="shared" si="335"/>
        <v>36500</v>
      </c>
      <c r="J589" s="9">
        <f>I589-H589</f>
        <v>0</v>
      </c>
      <c r="K589" s="45" t="s">
        <v>197</v>
      </c>
      <c r="L589" s="47">
        <v>354000</v>
      </c>
      <c r="M589" s="47">
        <v>0</v>
      </c>
      <c r="N589" s="47">
        <v>335500</v>
      </c>
      <c r="O589" s="47">
        <v>0</v>
      </c>
    </row>
    <row r="590" spans="1:16" x14ac:dyDescent="0.3">
      <c r="A590" s="58" t="str">
        <f t="shared" si="328"/>
        <v>I23C</v>
      </c>
      <c r="B590" s="98" t="s">
        <v>4</v>
      </c>
      <c r="C590" s="61">
        <v>262050</v>
      </c>
      <c r="D590" s="61">
        <f t="shared" si="334"/>
        <v>602000</v>
      </c>
      <c r="E590" s="61">
        <f t="shared" si="330"/>
        <v>784500</v>
      </c>
      <c r="F590" s="61">
        <f t="shared" si="331"/>
        <v>0</v>
      </c>
      <c r="G590" s="61">
        <f t="shared" si="327"/>
        <v>0</v>
      </c>
      <c r="H590" s="61">
        <v>79550</v>
      </c>
      <c r="I590" s="61">
        <f t="shared" si="335"/>
        <v>79550</v>
      </c>
      <c r="J590" s="9">
        <f t="shared" ref="J590:J591" si="336">I590-H590</f>
        <v>0</v>
      </c>
      <c r="K590" s="45" t="s">
        <v>30</v>
      </c>
      <c r="L590" s="47">
        <v>602000</v>
      </c>
      <c r="M590" s="47">
        <v>0</v>
      </c>
      <c r="N590" s="47">
        <v>784500</v>
      </c>
      <c r="O590" s="47">
        <v>0</v>
      </c>
    </row>
    <row r="591" spans="1:16" x14ac:dyDescent="0.3">
      <c r="A591" s="58" t="str">
        <f t="shared" si="328"/>
        <v>Merveille</v>
      </c>
      <c r="B591" s="59" t="s">
        <v>2</v>
      </c>
      <c r="C591" s="61">
        <v>11900</v>
      </c>
      <c r="D591" s="61">
        <f t="shared" si="334"/>
        <v>96000</v>
      </c>
      <c r="E591" s="61">
        <f t="shared" si="330"/>
        <v>72000</v>
      </c>
      <c r="F591" s="61">
        <f t="shared" si="331"/>
        <v>30000</v>
      </c>
      <c r="G591" s="61">
        <f t="shared" si="327"/>
        <v>0</v>
      </c>
      <c r="H591" s="61">
        <v>5900</v>
      </c>
      <c r="I591" s="61">
        <f>+C591+D591-E591-F591+G591</f>
        <v>5900</v>
      </c>
      <c r="J591" s="9">
        <f t="shared" si="336"/>
        <v>0</v>
      </c>
      <c r="K591" s="45" t="s">
        <v>93</v>
      </c>
      <c r="L591" s="47">
        <v>96000</v>
      </c>
      <c r="M591" s="47">
        <v>30000</v>
      </c>
      <c r="N591" s="47">
        <v>72000</v>
      </c>
      <c r="O591" s="47">
        <v>0</v>
      </c>
    </row>
    <row r="592" spans="1:16" x14ac:dyDescent="0.3">
      <c r="A592" s="58" t="str">
        <f t="shared" si="328"/>
        <v>P29</v>
      </c>
      <c r="B592" s="59" t="s">
        <v>4</v>
      </c>
      <c r="C592" s="61">
        <v>221050</v>
      </c>
      <c r="D592" s="61">
        <f t="shared" si="334"/>
        <v>608500</v>
      </c>
      <c r="E592" s="61">
        <f t="shared" si="330"/>
        <v>799700</v>
      </c>
      <c r="F592" s="61">
        <f t="shared" si="331"/>
        <v>0</v>
      </c>
      <c r="G592" s="61">
        <f>+O592</f>
        <v>0</v>
      </c>
      <c r="H592" s="61">
        <v>29850</v>
      </c>
      <c r="I592" s="61">
        <f>+C592+D592-E592-F592+G592</f>
        <v>29850</v>
      </c>
      <c r="J592" s="9">
        <f>I592-H592</f>
        <v>0</v>
      </c>
      <c r="K592" s="45" t="s">
        <v>29</v>
      </c>
      <c r="L592" s="47">
        <v>608500</v>
      </c>
      <c r="M592" s="47">
        <v>0</v>
      </c>
      <c r="N592" s="47">
        <v>799700</v>
      </c>
      <c r="O592" s="47">
        <v>0</v>
      </c>
    </row>
    <row r="593" spans="1:15" x14ac:dyDescent="0.3">
      <c r="A593" s="58" t="str">
        <f t="shared" si="328"/>
        <v>Tiffany</v>
      </c>
      <c r="B593" s="59" t="s">
        <v>2</v>
      </c>
      <c r="C593" s="61">
        <v>-3959</v>
      </c>
      <c r="D593" s="61">
        <f t="shared" si="334"/>
        <v>1340000</v>
      </c>
      <c r="E593" s="61">
        <f t="shared" si="330"/>
        <v>12500</v>
      </c>
      <c r="F593" s="61">
        <f t="shared" si="331"/>
        <v>200000</v>
      </c>
      <c r="G593" s="61">
        <f t="shared" ref="G593:G594" si="337">+O593</f>
        <v>0</v>
      </c>
      <c r="H593" s="61">
        <v>1123541</v>
      </c>
      <c r="I593" s="61">
        <f t="shared" ref="I593" si="338">+C593+D593-E593-F593+G593</f>
        <v>1123541</v>
      </c>
      <c r="J593" s="9">
        <f t="shared" ref="J593" si="339">I593-H593</f>
        <v>0</v>
      </c>
      <c r="K593" s="45" t="s">
        <v>113</v>
      </c>
      <c r="L593" s="47">
        <v>1340000</v>
      </c>
      <c r="M593" s="47">
        <v>200000</v>
      </c>
      <c r="N593" s="47">
        <v>12500</v>
      </c>
      <c r="O593" s="47">
        <v>0</v>
      </c>
    </row>
    <row r="594" spans="1:15" x14ac:dyDescent="0.3">
      <c r="A594" s="58" t="str">
        <f t="shared" si="328"/>
        <v>Yan</v>
      </c>
      <c r="B594" s="59" t="s">
        <v>154</v>
      </c>
      <c r="C594" s="61">
        <v>95000</v>
      </c>
      <c r="D594" s="61">
        <f t="shared" si="334"/>
        <v>248500</v>
      </c>
      <c r="E594" s="61">
        <f t="shared" si="330"/>
        <v>283500</v>
      </c>
      <c r="F594" s="61">
        <f t="shared" si="331"/>
        <v>60000</v>
      </c>
      <c r="G594" s="61">
        <f t="shared" si="337"/>
        <v>0</v>
      </c>
      <c r="H594" s="61">
        <v>0</v>
      </c>
      <c r="I594" s="61">
        <f>+C594+D594-E594-F594+G594</f>
        <v>0</v>
      </c>
      <c r="J594" s="9">
        <f>I594-H594</f>
        <v>0</v>
      </c>
      <c r="K594" s="45" t="s">
        <v>212</v>
      </c>
      <c r="L594" s="47">
        <v>248500</v>
      </c>
      <c r="M594" s="47">
        <v>60000</v>
      </c>
      <c r="N594" s="47">
        <v>283500</v>
      </c>
      <c r="O594" s="47">
        <v>0</v>
      </c>
    </row>
    <row r="595" spans="1:15" x14ac:dyDescent="0.3">
      <c r="A595" s="10" t="s">
        <v>50</v>
      </c>
      <c r="B595" s="11"/>
      <c r="C595" s="12">
        <f t="shared" ref="C595:I595" si="340">SUM(C581:C594)</f>
        <v>11968765</v>
      </c>
      <c r="D595" s="57">
        <f t="shared" si="340"/>
        <v>9353500</v>
      </c>
      <c r="E595" s="57">
        <f t="shared" si="340"/>
        <v>8845768</v>
      </c>
      <c r="F595" s="57">
        <f t="shared" si="340"/>
        <v>9353500</v>
      </c>
      <c r="G595" s="57">
        <f t="shared" si="340"/>
        <v>20402887</v>
      </c>
      <c r="H595" s="57">
        <f t="shared" si="340"/>
        <v>23525884</v>
      </c>
      <c r="I595" s="57">
        <f t="shared" si="340"/>
        <v>23525884</v>
      </c>
      <c r="J595" s="9">
        <f>I595-H595</f>
        <v>0</v>
      </c>
      <c r="K595" s="3"/>
      <c r="L595" s="47">
        <f>+SUM(L581:L594)</f>
        <v>9353500</v>
      </c>
      <c r="M595" s="47">
        <f>+SUM(M581:M594)</f>
        <v>9353500</v>
      </c>
      <c r="N595" s="47">
        <f>+SUM(N581:N594)</f>
        <v>8845768</v>
      </c>
      <c r="O595" s="47">
        <f>+SUM(O581:O593)</f>
        <v>20402887</v>
      </c>
    </row>
    <row r="596" spans="1:15" x14ac:dyDescent="0.3">
      <c r="A596" s="10"/>
      <c r="B596" s="11"/>
      <c r="C596" s="12"/>
      <c r="D596" s="13"/>
      <c r="E596" s="12"/>
      <c r="F596" s="13"/>
      <c r="G596" s="12"/>
      <c r="H596" s="12"/>
      <c r="I596" s="134" t="b">
        <f>I595=D598</f>
        <v>1</v>
      </c>
      <c r="L596" s="5"/>
      <c r="M596" s="5"/>
      <c r="N596" s="5"/>
      <c r="O596" s="5"/>
    </row>
    <row r="597" spans="1:15" x14ac:dyDescent="0.3">
      <c r="A597" s="10" t="s">
        <v>227</v>
      </c>
      <c r="B597" s="11" t="s">
        <v>235</v>
      </c>
      <c r="C597" s="12" t="s">
        <v>228</v>
      </c>
      <c r="D597" s="12" t="s">
        <v>229</v>
      </c>
      <c r="E597" s="12" t="s">
        <v>51</v>
      </c>
      <c r="F597" s="12"/>
      <c r="G597" s="12">
        <f>+D595-F595</f>
        <v>0</v>
      </c>
      <c r="H597" s="12"/>
      <c r="I597" s="12"/>
    </row>
    <row r="598" spans="1:15" x14ac:dyDescent="0.3">
      <c r="A598" s="14">
        <f>C595</f>
        <v>11968765</v>
      </c>
      <c r="B598" s="15">
        <f>G595</f>
        <v>20402887</v>
      </c>
      <c r="C598" s="12">
        <f>E595</f>
        <v>8845768</v>
      </c>
      <c r="D598" s="12">
        <f>A598+B598-C598</f>
        <v>23525884</v>
      </c>
      <c r="E598" s="13">
        <f>I595-D598</f>
        <v>0</v>
      </c>
      <c r="F598" s="12"/>
      <c r="G598" s="12"/>
      <c r="H598" s="12"/>
      <c r="I598" s="12"/>
    </row>
    <row r="599" spans="1:15" x14ac:dyDescent="0.3">
      <c r="A599" s="14"/>
      <c r="B599" s="15"/>
      <c r="C599" s="12"/>
      <c r="D599" s="12"/>
      <c r="E599" s="13"/>
      <c r="F599" s="12"/>
      <c r="G599" s="12"/>
      <c r="H599" s="12"/>
      <c r="I599" s="12"/>
    </row>
    <row r="600" spans="1:15" x14ac:dyDescent="0.3">
      <c r="A600" s="16" t="s">
        <v>52</v>
      </c>
      <c r="B600" s="16"/>
      <c r="C600" s="16"/>
      <c r="D600" s="17"/>
      <c r="E600" s="17"/>
      <c r="F600" s="17"/>
      <c r="G600" s="17"/>
      <c r="H600" s="17"/>
      <c r="I600" s="17"/>
    </row>
    <row r="601" spans="1:15" x14ac:dyDescent="0.3">
      <c r="A601" s="18" t="s">
        <v>226</v>
      </c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5" x14ac:dyDescent="0.3">
      <c r="A602" s="19"/>
      <c r="B602" s="17"/>
      <c r="C602" s="20"/>
      <c r="D602" s="20"/>
      <c r="E602" s="20"/>
      <c r="F602" s="20"/>
      <c r="G602" s="20"/>
      <c r="H602" s="17"/>
      <c r="I602" s="17"/>
    </row>
    <row r="603" spans="1:15" x14ac:dyDescent="0.3">
      <c r="A603" s="169" t="s">
        <v>53</v>
      </c>
      <c r="B603" s="171" t="s">
        <v>54</v>
      </c>
      <c r="C603" s="173" t="s">
        <v>224</v>
      </c>
      <c r="D603" s="174" t="s">
        <v>55</v>
      </c>
      <c r="E603" s="175"/>
      <c r="F603" s="175"/>
      <c r="G603" s="176"/>
      <c r="H603" s="177" t="s">
        <v>56</v>
      </c>
      <c r="I603" s="165" t="s">
        <v>57</v>
      </c>
      <c r="J603" s="17"/>
    </row>
    <row r="604" spans="1:15" ht="28.5" customHeight="1" x14ac:dyDescent="0.3">
      <c r="A604" s="170"/>
      <c r="B604" s="172"/>
      <c r="C604" s="22"/>
      <c r="D604" s="21" t="s">
        <v>24</v>
      </c>
      <c r="E604" s="21" t="s">
        <v>25</v>
      </c>
      <c r="F604" s="22" t="s">
        <v>123</v>
      </c>
      <c r="G604" s="21" t="s">
        <v>58</v>
      </c>
      <c r="H604" s="178"/>
      <c r="I604" s="166"/>
      <c r="J604" s="167" t="s">
        <v>225</v>
      </c>
      <c r="K604" s="143"/>
    </row>
    <row r="605" spans="1:15" x14ac:dyDescent="0.3">
      <c r="A605" s="23"/>
      <c r="B605" s="24" t="s">
        <v>59</v>
      </c>
      <c r="C605" s="25"/>
      <c r="D605" s="25"/>
      <c r="E605" s="25"/>
      <c r="F605" s="25"/>
      <c r="G605" s="25"/>
      <c r="H605" s="25"/>
      <c r="I605" s="26"/>
      <c r="J605" s="168"/>
      <c r="K605" s="143"/>
    </row>
    <row r="606" spans="1:15" x14ac:dyDescent="0.3">
      <c r="A606" s="122" t="s">
        <v>72</v>
      </c>
      <c r="B606" s="127" t="s">
        <v>47</v>
      </c>
      <c r="C606" s="32">
        <f>+C584</f>
        <v>9800</v>
      </c>
      <c r="D606" s="31"/>
      <c r="E606" s="32">
        <f t="shared" ref="E606:E616" si="341">+D584</f>
        <v>1043000</v>
      </c>
      <c r="F606" s="32"/>
      <c r="G606" s="32"/>
      <c r="H606" s="55">
        <f t="shared" ref="H606:H616" si="342">+F584</f>
        <v>82500</v>
      </c>
      <c r="I606" s="32">
        <f t="shared" ref="I606:I616" si="343">+E584</f>
        <v>975940</v>
      </c>
      <c r="J606" s="30">
        <f t="shared" ref="J606:J607" si="344">+SUM(C606:G606)-(H606+I606)</f>
        <v>-5640</v>
      </c>
      <c r="K606" s="144" t="b">
        <f t="shared" ref="K606:K616" si="345">J606=I584</f>
        <v>1</v>
      </c>
    </row>
    <row r="607" spans="1:15" x14ac:dyDescent="0.3">
      <c r="A607" s="122" t="str">
        <f>+A606</f>
        <v>JUILLET</v>
      </c>
      <c r="B607" s="127" t="s">
        <v>31</v>
      </c>
      <c r="C607" s="32">
        <f>+C585</f>
        <v>2295</v>
      </c>
      <c r="D607" s="31"/>
      <c r="E607" s="32">
        <f t="shared" si="341"/>
        <v>242500</v>
      </c>
      <c r="F607" s="32"/>
      <c r="G607" s="32"/>
      <c r="H607" s="55">
        <f t="shared" si="342"/>
        <v>0</v>
      </c>
      <c r="I607" s="32">
        <f t="shared" si="343"/>
        <v>240000</v>
      </c>
      <c r="J607" s="101">
        <f t="shared" si="344"/>
        <v>4795</v>
      </c>
      <c r="K607" s="144" t="b">
        <f t="shared" si="345"/>
        <v>1</v>
      </c>
    </row>
    <row r="608" spans="1:15" x14ac:dyDescent="0.3">
      <c r="A608" s="122" t="str">
        <f t="shared" ref="A608:A612" si="346">+A607</f>
        <v>JUILLET</v>
      </c>
      <c r="B608" s="129" t="s">
        <v>84</v>
      </c>
      <c r="C608" s="120">
        <f>+C586</f>
        <v>233614</v>
      </c>
      <c r="D608" s="123"/>
      <c r="E608" s="120">
        <f t="shared" si="341"/>
        <v>0</v>
      </c>
      <c r="F608" s="137"/>
      <c r="G608" s="137"/>
      <c r="H608" s="155">
        <f t="shared" si="342"/>
        <v>0</v>
      </c>
      <c r="I608" s="120">
        <f t="shared" si="343"/>
        <v>0</v>
      </c>
      <c r="J608" s="121">
        <f>+SUM(C608:G608)-(H608+I608)</f>
        <v>233614</v>
      </c>
      <c r="K608" s="144" t="b">
        <f t="shared" si="345"/>
        <v>1</v>
      </c>
    </row>
    <row r="609" spans="1:16" x14ac:dyDescent="0.3">
      <c r="A609" s="122" t="str">
        <f t="shared" si="346"/>
        <v>JUILLET</v>
      </c>
      <c r="B609" s="129" t="s">
        <v>83</v>
      </c>
      <c r="C609" s="120">
        <f>+C587</f>
        <v>249769</v>
      </c>
      <c r="D609" s="123"/>
      <c r="E609" s="120">
        <f t="shared" si="341"/>
        <v>0</v>
      </c>
      <c r="F609" s="137"/>
      <c r="G609" s="137"/>
      <c r="H609" s="155">
        <f t="shared" si="342"/>
        <v>0</v>
      </c>
      <c r="I609" s="120">
        <f t="shared" si="343"/>
        <v>0</v>
      </c>
      <c r="J609" s="121">
        <f t="shared" ref="J609:J616" si="347">+SUM(C609:G609)-(H609+I609)</f>
        <v>249769</v>
      </c>
      <c r="K609" s="144" t="b">
        <f t="shared" si="345"/>
        <v>1</v>
      </c>
    </row>
    <row r="610" spans="1:16" x14ac:dyDescent="0.3">
      <c r="A610" s="122" t="str">
        <f t="shared" si="346"/>
        <v>JUILLET</v>
      </c>
      <c r="B610" s="127" t="s">
        <v>143</v>
      </c>
      <c r="C610" s="32">
        <f>+C588</f>
        <v>28600</v>
      </c>
      <c r="D610" s="31"/>
      <c r="E610" s="32">
        <f t="shared" si="341"/>
        <v>389000</v>
      </c>
      <c r="F610" s="32"/>
      <c r="G610" s="104"/>
      <c r="H610" s="55">
        <f t="shared" si="342"/>
        <v>311000</v>
      </c>
      <c r="I610" s="32">
        <f t="shared" si="343"/>
        <v>87785</v>
      </c>
      <c r="J610" s="30">
        <f t="shared" si="347"/>
        <v>18815</v>
      </c>
      <c r="K610" s="144" t="b">
        <f t="shared" si="345"/>
        <v>1</v>
      </c>
    </row>
    <row r="611" spans="1:16" x14ac:dyDescent="0.3">
      <c r="A611" s="122" t="str">
        <f t="shared" si="346"/>
        <v>JUILLET</v>
      </c>
      <c r="B611" s="127" t="s">
        <v>197</v>
      </c>
      <c r="C611" s="32">
        <f t="shared" ref="C611:C616" si="348">+C589</f>
        <v>18000</v>
      </c>
      <c r="D611" s="31"/>
      <c r="E611" s="32">
        <f t="shared" si="341"/>
        <v>354000</v>
      </c>
      <c r="F611" s="32"/>
      <c r="G611" s="104"/>
      <c r="H611" s="55">
        <f t="shared" si="342"/>
        <v>0</v>
      </c>
      <c r="I611" s="32">
        <f t="shared" si="343"/>
        <v>335500</v>
      </c>
      <c r="J611" s="30">
        <f t="shared" si="347"/>
        <v>36500</v>
      </c>
      <c r="K611" s="144" t="b">
        <f t="shared" si="345"/>
        <v>1</v>
      </c>
    </row>
    <row r="612" spans="1:16" x14ac:dyDescent="0.3">
      <c r="A612" s="122" t="str">
        <f t="shared" si="346"/>
        <v>JUILLET</v>
      </c>
      <c r="B612" s="127" t="s">
        <v>30</v>
      </c>
      <c r="C612" s="32">
        <f t="shared" si="348"/>
        <v>262050</v>
      </c>
      <c r="D612" s="31"/>
      <c r="E612" s="32">
        <f t="shared" si="341"/>
        <v>602000</v>
      </c>
      <c r="F612" s="32"/>
      <c r="G612" s="104"/>
      <c r="H612" s="55">
        <f t="shared" si="342"/>
        <v>0</v>
      </c>
      <c r="I612" s="32">
        <f t="shared" si="343"/>
        <v>784500</v>
      </c>
      <c r="J612" s="30">
        <f t="shared" si="347"/>
        <v>79550</v>
      </c>
      <c r="K612" s="144" t="b">
        <f t="shared" si="345"/>
        <v>1</v>
      </c>
    </row>
    <row r="613" spans="1:16" x14ac:dyDescent="0.3">
      <c r="A613" s="122" t="str">
        <f>+A611</f>
        <v>JUILLET</v>
      </c>
      <c r="B613" s="127" t="s">
        <v>93</v>
      </c>
      <c r="C613" s="32">
        <f t="shared" si="348"/>
        <v>11900</v>
      </c>
      <c r="D613" s="31"/>
      <c r="E613" s="32">
        <f t="shared" si="341"/>
        <v>96000</v>
      </c>
      <c r="F613" s="32"/>
      <c r="G613" s="104"/>
      <c r="H613" s="55">
        <f t="shared" si="342"/>
        <v>30000</v>
      </c>
      <c r="I613" s="32">
        <f t="shared" si="343"/>
        <v>72000</v>
      </c>
      <c r="J613" s="30">
        <f t="shared" si="347"/>
        <v>5900</v>
      </c>
      <c r="K613" s="144" t="b">
        <f t="shared" si="345"/>
        <v>1</v>
      </c>
    </row>
    <row r="614" spans="1:16" x14ac:dyDescent="0.3">
      <c r="A614" s="122" t="str">
        <f>+A612</f>
        <v>JUILLET</v>
      </c>
      <c r="B614" s="127" t="s">
        <v>29</v>
      </c>
      <c r="C614" s="32">
        <f t="shared" si="348"/>
        <v>221050</v>
      </c>
      <c r="D614" s="31"/>
      <c r="E614" s="32">
        <f t="shared" si="341"/>
        <v>608500</v>
      </c>
      <c r="F614" s="32"/>
      <c r="G614" s="104"/>
      <c r="H614" s="55">
        <f t="shared" si="342"/>
        <v>0</v>
      </c>
      <c r="I614" s="32">
        <f t="shared" si="343"/>
        <v>799700</v>
      </c>
      <c r="J614" s="30">
        <f t="shared" si="347"/>
        <v>29850</v>
      </c>
      <c r="K614" s="144" t="b">
        <f t="shared" si="345"/>
        <v>1</v>
      </c>
    </row>
    <row r="615" spans="1:16" x14ac:dyDescent="0.3">
      <c r="A615" s="122" t="str">
        <f>+A613</f>
        <v>JUILLET</v>
      </c>
      <c r="B615" s="128" t="s">
        <v>113</v>
      </c>
      <c r="C615" s="32">
        <f t="shared" si="348"/>
        <v>-3959</v>
      </c>
      <c r="D615" s="119"/>
      <c r="E615" s="32">
        <f t="shared" si="341"/>
        <v>1340000</v>
      </c>
      <c r="F615" s="51"/>
      <c r="G615" s="138"/>
      <c r="H615" s="55">
        <f t="shared" si="342"/>
        <v>200000</v>
      </c>
      <c r="I615" s="32">
        <f t="shared" si="343"/>
        <v>12500</v>
      </c>
      <c r="J615" s="30">
        <f t="shared" si="347"/>
        <v>1123541</v>
      </c>
      <c r="K615" s="144" t="b">
        <f t="shared" si="345"/>
        <v>1</v>
      </c>
    </row>
    <row r="616" spans="1:16" x14ac:dyDescent="0.3">
      <c r="A616" s="122" t="str">
        <f>+A614</f>
        <v>JUILLET</v>
      </c>
      <c r="B616" s="128" t="s">
        <v>212</v>
      </c>
      <c r="C616" s="32">
        <f t="shared" si="348"/>
        <v>95000</v>
      </c>
      <c r="D616" s="119"/>
      <c r="E616" s="32">
        <f t="shared" si="341"/>
        <v>248500</v>
      </c>
      <c r="F616" s="51"/>
      <c r="G616" s="138"/>
      <c r="H616" s="55">
        <f t="shared" si="342"/>
        <v>60000</v>
      </c>
      <c r="I616" s="32">
        <f t="shared" si="343"/>
        <v>283500</v>
      </c>
      <c r="J616" s="30">
        <f t="shared" si="347"/>
        <v>0</v>
      </c>
      <c r="K616" s="144" t="b">
        <f t="shared" si="345"/>
        <v>1</v>
      </c>
    </row>
    <row r="617" spans="1:16" x14ac:dyDescent="0.3">
      <c r="A617" s="34" t="s">
        <v>60</v>
      </c>
      <c r="B617" s="35"/>
      <c r="C617" s="35"/>
      <c r="D617" s="35"/>
      <c r="E617" s="35"/>
      <c r="F617" s="35"/>
      <c r="G617" s="35"/>
      <c r="H617" s="35"/>
      <c r="I617" s="35"/>
      <c r="J617" s="36"/>
      <c r="K617" s="143"/>
    </row>
    <row r="618" spans="1:16" x14ac:dyDescent="0.3">
      <c r="A618" s="122" t="str">
        <f>+A616</f>
        <v>JUILLET</v>
      </c>
      <c r="B618" s="37" t="s">
        <v>61</v>
      </c>
      <c r="C618" s="38">
        <f>+C583</f>
        <v>1696326</v>
      </c>
      <c r="D618" s="49"/>
      <c r="E618" s="49">
        <f>D583</f>
        <v>4430000</v>
      </c>
      <c r="F618" s="49"/>
      <c r="G618" s="125"/>
      <c r="H618" s="51">
        <f>+F583</f>
        <v>4570000</v>
      </c>
      <c r="I618" s="126">
        <f>+E583</f>
        <v>1453294</v>
      </c>
      <c r="J618" s="30">
        <f>+SUM(C618:G618)-(H618+I618)</f>
        <v>103032</v>
      </c>
      <c r="K618" s="144" t="b">
        <f>J618=I583</f>
        <v>1</v>
      </c>
    </row>
    <row r="619" spans="1:16" x14ac:dyDescent="0.3">
      <c r="A619" s="43" t="s">
        <v>62</v>
      </c>
      <c r="B619" s="24"/>
      <c r="C619" s="35"/>
      <c r="D619" s="24"/>
      <c r="E619" s="24"/>
      <c r="F619" s="24"/>
      <c r="G619" s="24"/>
      <c r="H619" s="24"/>
      <c r="I619" s="24"/>
      <c r="J619" s="36"/>
      <c r="K619" s="143"/>
    </row>
    <row r="620" spans="1:16" x14ac:dyDescent="0.3">
      <c r="A620" s="122" t="str">
        <f>+A618</f>
        <v>JUILLET</v>
      </c>
      <c r="B620" s="37" t="s">
        <v>156</v>
      </c>
      <c r="C620" s="125">
        <f>+C581</f>
        <v>4291693</v>
      </c>
      <c r="D620" s="132">
        <f>+G581</f>
        <v>0</v>
      </c>
      <c r="E620" s="49"/>
      <c r="F620" s="49"/>
      <c r="G620" s="49"/>
      <c r="H620" s="51">
        <f>+F581</f>
        <v>4100000</v>
      </c>
      <c r="I620" s="53">
        <f>+E581</f>
        <v>23345</v>
      </c>
      <c r="J620" s="30">
        <f>+SUM(C620:G620)-(H620+I620)</f>
        <v>168348</v>
      </c>
      <c r="K620" s="144" t="b">
        <f>+J620=I581</f>
        <v>1</v>
      </c>
    </row>
    <row r="621" spans="1:16" x14ac:dyDescent="0.3">
      <c r="A621" s="122" t="str">
        <f t="shared" ref="A621" si="349">+A620</f>
        <v>JUILLET</v>
      </c>
      <c r="B621" s="37" t="s">
        <v>64</v>
      </c>
      <c r="C621" s="125">
        <f>+C582</f>
        <v>4852627</v>
      </c>
      <c r="D621" s="49">
        <f>+G582</f>
        <v>20402887</v>
      </c>
      <c r="E621" s="48"/>
      <c r="F621" s="48"/>
      <c r="G621" s="48"/>
      <c r="H621" s="32">
        <f>+F582</f>
        <v>0</v>
      </c>
      <c r="I621" s="50">
        <f>+E582</f>
        <v>3777704</v>
      </c>
      <c r="J621" s="30">
        <f>SUM(C621:G621)-(H621+I621)</f>
        <v>21477810</v>
      </c>
      <c r="K621" s="144" t="b">
        <f>+J621=I582</f>
        <v>1</v>
      </c>
    </row>
    <row r="622" spans="1:16" ht="15.6" x14ac:dyDescent="0.3">
      <c r="C622" s="141">
        <f>SUM(C606:C621)</f>
        <v>11968765</v>
      </c>
      <c r="I622" s="140">
        <f>SUM(I606:I621)</f>
        <v>8845768</v>
      </c>
      <c r="J622" s="105">
        <f>+SUM(J606:J621)</f>
        <v>23525884</v>
      </c>
      <c r="K622" s="5" t="b">
        <f>J622=I595</f>
        <v>1</v>
      </c>
    </row>
    <row r="623" spans="1:16" ht="15.6" x14ac:dyDescent="0.3">
      <c r="A623" s="160"/>
      <c r="B623" s="160"/>
      <c r="C623" s="161"/>
      <c r="D623" s="160"/>
      <c r="E623" s="160"/>
      <c r="F623" s="160"/>
      <c r="G623" s="160"/>
      <c r="H623" s="160"/>
      <c r="I623" s="162"/>
      <c r="J623" s="163"/>
      <c r="K623" s="160"/>
      <c r="L623" s="164"/>
      <c r="M623" s="164"/>
      <c r="N623" s="164"/>
      <c r="O623" s="164"/>
      <c r="P623" s="160"/>
    </row>
    <row r="626" spans="1:15" ht="15.6" x14ac:dyDescent="0.3">
      <c r="A626" s="6" t="s">
        <v>36</v>
      </c>
      <c r="B626" s="6" t="s">
        <v>1</v>
      </c>
      <c r="C626" s="6">
        <v>44713</v>
      </c>
      <c r="D626" s="7" t="s">
        <v>37</v>
      </c>
      <c r="E626" s="7" t="s">
        <v>38</v>
      </c>
      <c r="F626" s="7" t="s">
        <v>39</v>
      </c>
      <c r="G626" s="7" t="s">
        <v>40</v>
      </c>
      <c r="H626" s="6">
        <v>44742</v>
      </c>
      <c r="I626" s="7" t="s">
        <v>41</v>
      </c>
      <c r="K626" s="45"/>
      <c r="L626" s="45" t="s">
        <v>42</v>
      </c>
      <c r="M626" s="45" t="s">
        <v>43</v>
      </c>
      <c r="N626" s="45" t="s">
        <v>44</v>
      </c>
      <c r="O626" s="45" t="s">
        <v>45</v>
      </c>
    </row>
    <row r="627" spans="1:15" x14ac:dyDescent="0.3">
      <c r="A627" s="58" t="str">
        <f>K627</f>
        <v>BCI</v>
      </c>
      <c r="B627" s="59" t="s">
        <v>46</v>
      </c>
      <c r="C627" s="61">
        <v>8575038</v>
      </c>
      <c r="D627" s="61">
        <f>+L627</f>
        <v>0</v>
      </c>
      <c r="E627" s="61">
        <f>+N627</f>
        <v>283345</v>
      </c>
      <c r="F627" s="61">
        <f>+M627</f>
        <v>4000000</v>
      </c>
      <c r="G627" s="61">
        <f t="shared" ref="G627:G637" si="350">+O627</f>
        <v>0</v>
      </c>
      <c r="H627" s="61">
        <v>4291693</v>
      </c>
      <c r="I627" s="61">
        <f>+C627+D627-E627-F627+G627</f>
        <v>4291693</v>
      </c>
      <c r="J627" s="9">
        <f>I627-H627</f>
        <v>0</v>
      </c>
      <c r="K627" s="45" t="s">
        <v>24</v>
      </c>
      <c r="L627" s="47">
        <v>0</v>
      </c>
      <c r="M627" s="47">
        <v>4000000</v>
      </c>
      <c r="N627" s="47">
        <v>283345</v>
      </c>
      <c r="O627" s="47">
        <v>0</v>
      </c>
    </row>
    <row r="628" spans="1:15" x14ac:dyDescent="0.3">
      <c r="A628" s="58" t="str">
        <f t="shared" ref="A628:A640" si="351">K628</f>
        <v>BCI-Sous Compte</v>
      </c>
      <c r="B628" s="59" t="s">
        <v>46</v>
      </c>
      <c r="C628" s="61">
        <v>12231533</v>
      </c>
      <c r="D628" s="61">
        <f t="shared" ref="D628:D640" si="352">+L628</f>
        <v>0</v>
      </c>
      <c r="E628" s="61">
        <f t="shared" ref="E628:E640" si="353">+N628</f>
        <v>5378906</v>
      </c>
      <c r="F628" s="61">
        <f t="shared" ref="F628:F640" si="354">+M628</f>
        <v>2000000</v>
      </c>
      <c r="G628" s="61">
        <f t="shared" si="350"/>
        <v>0</v>
      </c>
      <c r="H628" s="61">
        <v>4852627</v>
      </c>
      <c r="I628" s="61">
        <f>+C628+D628-E628-F628+G628</f>
        <v>4852627</v>
      </c>
      <c r="J628" s="9">
        <f t="shared" ref="J628:J634" si="355">I628-H628</f>
        <v>0</v>
      </c>
      <c r="K628" s="45" t="s">
        <v>148</v>
      </c>
      <c r="L628" s="47">
        <v>0</v>
      </c>
      <c r="M628" s="47">
        <v>2000000</v>
      </c>
      <c r="N628" s="47">
        <v>5378906</v>
      </c>
      <c r="O628" s="47">
        <v>0</v>
      </c>
    </row>
    <row r="629" spans="1:15" x14ac:dyDescent="0.3">
      <c r="A629" s="58" t="str">
        <f t="shared" si="351"/>
        <v>Caisse</v>
      </c>
      <c r="B629" s="59" t="s">
        <v>25</v>
      </c>
      <c r="C629" s="61">
        <v>1700406</v>
      </c>
      <c r="D629" s="61">
        <f t="shared" si="352"/>
        <v>6172450</v>
      </c>
      <c r="E629" s="61">
        <f t="shared" si="353"/>
        <v>2587130</v>
      </c>
      <c r="F629" s="61">
        <f t="shared" si="354"/>
        <v>3589400</v>
      </c>
      <c r="G629" s="61">
        <f t="shared" si="350"/>
        <v>0</v>
      </c>
      <c r="H629" s="61">
        <v>1696326</v>
      </c>
      <c r="I629" s="61">
        <f>+C629+D629-E629-F629+G629</f>
        <v>1696326</v>
      </c>
      <c r="J629" s="102">
        <f t="shared" si="355"/>
        <v>0</v>
      </c>
      <c r="K629" s="45" t="s">
        <v>25</v>
      </c>
      <c r="L629" s="47">
        <v>6172450</v>
      </c>
      <c r="M629" s="47">
        <v>3589400</v>
      </c>
      <c r="N629" s="47">
        <v>2587130</v>
      </c>
      <c r="O629" s="47">
        <v>0</v>
      </c>
    </row>
    <row r="630" spans="1:15" x14ac:dyDescent="0.3">
      <c r="A630" s="58" t="str">
        <f t="shared" si="351"/>
        <v>Crépin</v>
      </c>
      <c r="B630" s="59" t="s">
        <v>154</v>
      </c>
      <c r="C630" s="61">
        <v>15750</v>
      </c>
      <c r="D630" s="61">
        <f t="shared" si="352"/>
        <v>1223400</v>
      </c>
      <c r="E630" s="61">
        <f t="shared" si="353"/>
        <v>1184350</v>
      </c>
      <c r="F630" s="61">
        <f t="shared" si="354"/>
        <v>45000</v>
      </c>
      <c r="G630" s="61">
        <f t="shared" si="350"/>
        <v>0</v>
      </c>
      <c r="H630" s="61">
        <v>9800</v>
      </c>
      <c r="I630" s="61">
        <f>+C630+D630-E630-F630+G630</f>
        <v>9800</v>
      </c>
      <c r="J630" s="9">
        <f t="shared" si="355"/>
        <v>0</v>
      </c>
      <c r="K630" s="45" t="s">
        <v>47</v>
      </c>
      <c r="L630" s="47">
        <v>1223400</v>
      </c>
      <c r="M630" s="47">
        <v>45000</v>
      </c>
      <c r="N630" s="47">
        <v>1184350</v>
      </c>
      <c r="O630" s="47">
        <v>0</v>
      </c>
    </row>
    <row r="631" spans="1:15" x14ac:dyDescent="0.3">
      <c r="A631" s="58" t="str">
        <f t="shared" si="351"/>
        <v>Evariste</v>
      </c>
      <c r="B631" s="59" t="s">
        <v>155</v>
      </c>
      <c r="C631" s="61">
        <v>8795</v>
      </c>
      <c r="D631" s="61">
        <f t="shared" si="352"/>
        <v>248000</v>
      </c>
      <c r="E631" s="61">
        <f t="shared" si="353"/>
        <v>254500</v>
      </c>
      <c r="F631" s="61">
        <f t="shared" si="354"/>
        <v>0</v>
      </c>
      <c r="G631" s="61">
        <f t="shared" si="350"/>
        <v>0</v>
      </c>
      <c r="H631" s="61">
        <v>2295</v>
      </c>
      <c r="I631" s="61">
        <f t="shared" ref="I631" si="356">+C631+D631-E631-F631+G631</f>
        <v>2295</v>
      </c>
      <c r="J631" s="9">
        <f t="shared" si="355"/>
        <v>0</v>
      </c>
      <c r="K631" s="45" t="s">
        <v>31</v>
      </c>
      <c r="L631" s="47">
        <v>248000</v>
      </c>
      <c r="M631" s="47">
        <v>0</v>
      </c>
      <c r="N631" s="47">
        <v>254500</v>
      </c>
      <c r="O631" s="47">
        <v>0</v>
      </c>
    </row>
    <row r="632" spans="1:15" x14ac:dyDescent="0.3">
      <c r="A632" s="58" t="str">
        <f t="shared" si="351"/>
        <v>I55S</v>
      </c>
      <c r="B632" s="116" t="s">
        <v>4</v>
      </c>
      <c r="C632" s="118">
        <v>233614</v>
      </c>
      <c r="D632" s="118">
        <f t="shared" si="352"/>
        <v>0</v>
      </c>
      <c r="E632" s="118">
        <f t="shared" si="353"/>
        <v>0</v>
      </c>
      <c r="F632" s="118">
        <f t="shared" si="354"/>
        <v>0</v>
      </c>
      <c r="G632" s="118">
        <f t="shared" si="350"/>
        <v>0</v>
      </c>
      <c r="H632" s="118">
        <v>233614</v>
      </c>
      <c r="I632" s="118">
        <f>+C632+D632-E632-F632+G632</f>
        <v>233614</v>
      </c>
      <c r="J632" s="9">
        <f t="shared" si="355"/>
        <v>0</v>
      </c>
      <c r="K632" s="45" t="s">
        <v>84</v>
      </c>
      <c r="L632" s="47">
        <v>0</v>
      </c>
      <c r="M632" s="47">
        <v>0</v>
      </c>
      <c r="N632" s="47">
        <v>0</v>
      </c>
      <c r="O632" s="47">
        <v>0</v>
      </c>
    </row>
    <row r="633" spans="1:15" x14ac:dyDescent="0.3">
      <c r="A633" s="58" t="str">
        <f t="shared" si="351"/>
        <v>I73X</v>
      </c>
      <c r="B633" s="116" t="s">
        <v>4</v>
      </c>
      <c r="C633" s="118">
        <v>249769</v>
      </c>
      <c r="D633" s="118">
        <f t="shared" si="352"/>
        <v>0</v>
      </c>
      <c r="E633" s="118">
        <f t="shared" si="353"/>
        <v>0</v>
      </c>
      <c r="F633" s="118">
        <f t="shared" si="354"/>
        <v>0</v>
      </c>
      <c r="G633" s="118">
        <f t="shared" si="350"/>
        <v>0</v>
      </c>
      <c r="H633" s="118">
        <v>249769</v>
      </c>
      <c r="I633" s="118">
        <f t="shared" ref="I633:I636" si="357">+C633+D633-E633-F633+G633</f>
        <v>249769</v>
      </c>
      <c r="J633" s="9">
        <f t="shared" si="355"/>
        <v>0</v>
      </c>
      <c r="K633" s="45" t="s">
        <v>83</v>
      </c>
      <c r="L633" s="47">
        <v>0</v>
      </c>
      <c r="M633" s="47">
        <v>0</v>
      </c>
      <c r="N633" s="47">
        <v>0</v>
      </c>
      <c r="O633" s="47">
        <v>0</v>
      </c>
    </row>
    <row r="634" spans="1:15" x14ac:dyDescent="0.3">
      <c r="A634" s="58" t="str">
        <f t="shared" si="351"/>
        <v>Grace</v>
      </c>
      <c r="B634" s="98" t="s">
        <v>2</v>
      </c>
      <c r="C634" s="61">
        <v>14700</v>
      </c>
      <c r="D634" s="61">
        <f t="shared" si="352"/>
        <v>994000</v>
      </c>
      <c r="E634" s="61">
        <f t="shared" si="353"/>
        <v>220100</v>
      </c>
      <c r="F634" s="61">
        <f t="shared" si="354"/>
        <v>760000</v>
      </c>
      <c r="G634" s="61">
        <f t="shared" si="350"/>
        <v>0</v>
      </c>
      <c r="H634" s="61">
        <v>28600</v>
      </c>
      <c r="I634" s="61">
        <f t="shared" si="357"/>
        <v>28600</v>
      </c>
      <c r="J634" s="9">
        <f t="shared" si="355"/>
        <v>0</v>
      </c>
      <c r="K634" s="45" t="s">
        <v>143</v>
      </c>
      <c r="L634" s="47">
        <v>994000</v>
      </c>
      <c r="M634" s="47">
        <v>760000</v>
      </c>
      <c r="N634" s="47">
        <v>220100</v>
      </c>
      <c r="O634" s="47">
        <v>0</v>
      </c>
    </row>
    <row r="635" spans="1:15" x14ac:dyDescent="0.3">
      <c r="A635" s="58" t="str">
        <f t="shared" si="351"/>
        <v>Hurielle</v>
      </c>
      <c r="B635" s="59" t="s">
        <v>154</v>
      </c>
      <c r="C635" s="61">
        <v>46950</v>
      </c>
      <c r="D635" s="61">
        <f t="shared" si="352"/>
        <v>254000</v>
      </c>
      <c r="E635" s="61">
        <f t="shared" si="353"/>
        <v>245500</v>
      </c>
      <c r="F635" s="61">
        <f t="shared" si="354"/>
        <v>37450</v>
      </c>
      <c r="G635" s="61">
        <f t="shared" si="350"/>
        <v>0</v>
      </c>
      <c r="H635" s="61">
        <v>18000</v>
      </c>
      <c r="I635" s="61">
        <f t="shared" si="357"/>
        <v>18000</v>
      </c>
      <c r="J635" s="9">
        <f>I635-H635</f>
        <v>0</v>
      </c>
      <c r="K635" s="45" t="s">
        <v>197</v>
      </c>
      <c r="L635" s="47">
        <v>254000</v>
      </c>
      <c r="M635" s="47">
        <v>37450</v>
      </c>
      <c r="N635" s="47">
        <v>245500</v>
      </c>
      <c r="O635" s="47">
        <v>0</v>
      </c>
    </row>
    <row r="636" spans="1:15" x14ac:dyDescent="0.3">
      <c r="A636" s="58" t="str">
        <f t="shared" si="351"/>
        <v>I23C</v>
      </c>
      <c r="B636" s="98" t="s">
        <v>4</v>
      </c>
      <c r="C636" s="61">
        <v>112050</v>
      </c>
      <c r="D636" s="61">
        <f t="shared" si="352"/>
        <v>584000</v>
      </c>
      <c r="E636" s="61">
        <f t="shared" si="353"/>
        <v>434000</v>
      </c>
      <c r="F636" s="61">
        <f t="shared" si="354"/>
        <v>0</v>
      </c>
      <c r="G636" s="61">
        <f t="shared" si="350"/>
        <v>0</v>
      </c>
      <c r="H636" s="61">
        <v>262050</v>
      </c>
      <c r="I636" s="61">
        <f t="shared" si="357"/>
        <v>262050</v>
      </c>
      <c r="J636" s="9">
        <f t="shared" ref="J636:J637" si="358">I636-H636</f>
        <v>0</v>
      </c>
      <c r="K636" s="45" t="s">
        <v>30</v>
      </c>
      <c r="L636" s="47">
        <v>584000</v>
      </c>
      <c r="M636" s="47">
        <v>0</v>
      </c>
      <c r="N636" s="47">
        <v>434000</v>
      </c>
      <c r="O636" s="47">
        <v>0</v>
      </c>
    </row>
    <row r="637" spans="1:15" x14ac:dyDescent="0.3">
      <c r="A637" s="58" t="str">
        <f t="shared" si="351"/>
        <v>Merveille</v>
      </c>
      <c r="B637" s="59" t="s">
        <v>2</v>
      </c>
      <c r="C637" s="61">
        <v>2900</v>
      </c>
      <c r="D637" s="61">
        <f t="shared" si="352"/>
        <v>40000</v>
      </c>
      <c r="E637" s="61">
        <f t="shared" si="353"/>
        <v>31000</v>
      </c>
      <c r="F637" s="61">
        <f t="shared" si="354"/>
        <v>0</v>
      </c>
      <c r="G637" s="61">
        <f t="shared" si="350"/>
        <v>0</v>
      </c>
      <c r="H637" s="61">
        <v>11900</v>
      </c>
      <c r="I637" s="61">
        <f>+C637+D637-E637-F637+G637</f>
        <v>11900</v>
      </c>
      <c r="J637" s="9">
        <f t="shared" si="358"/>
        <v>0</v>
      </c>
      <c r="K637" s="45" t="s">
        <v>93</v>
      </c>
      <c r="L637" s="47">
        <v>40000</v>
      </c>
      <c r="M637" s="47">
        <v>0</v>
      </c>
      <c r="N637" s="47">
        <v>31000</v>
      </c>
      <c r="O637" s="47">
        <v>0</v>
      </c>
    </row>
    <row r="638" spans="1:15" x14ac:dyDescent="0.3">
      <c r="A638" s="58" t="str">
        <f t="shared" si="351"/>
        <v>P29</v>
      </c>
      <c r="B638" s="59" t="s">
        <v>4</v>
      </c>
      <c r="C638" s="61">
        <v>140700</v>
      </c>
      <c r="D638" s="61">
        <f t="shared" si="352"/>
        <v>638000</v>
      </c>
      <c r="E638" s="61">
        <f t="shared" si="353"/>
        <v>507650</v>
      </c>
      <c r="F638" s="61">
        <f t="shared" si="354"/>
        <v>50000</v>
      </c>
      <c r="G638" s="61">
        <f>+O638</f>
        <v>0</v>
      </c>
      <c r="H638" s="61">
        <v>221050</v>
      </c>
      <c r="I638" s="61">
        <f>+C638+D638-E638-F638+G638</f>
        <v>221050</v>
      </c>
      <c r="J638" s="9">
        <f>I638-H638</f>
        <v>0</v>
      </c>
      <c r="K638" s="45" t="s">
        <v>29</v>
      </c>
      <c r="L638" s="47">
        <v>638000</v>
      </c>
      <c r="M638" s="47">
        <v>50000</v>
      </c>
      <c r="N638" s="47">
        <v>507650</v>
      </c>
      <c r="O638" s="47">
        <v>0</v>
      </c>
    </row>
    <row r="639" spans="1:15" x14ac:dyDescent="0.3">
      <c r="A639" s="58" t="str">
        <f t="shared" si="351"/>
        <v>Tiffany</v>
      </c>
      <c r="B639" s="59" t="s">
        <v>2</v>
      </c>
      <c r="C639" s="61">
        <v>2241</v>
      </c>
      <c r="D639" s="61">
        <f t="shared" si="352"/>
        <v>0</v>
      </c>
      <c r="E639" s="61">
        <f t="shared" si="353"/>
        <v>6200</v>
      </c>
      <c r="F639" s="61">
        <f t="shared" si="354"/>
        <v>0</v>
      </c>
      <c r="G639" s="61">
        <f t="shared" ref="G639:G640" si="359">+O639</f>
        <v>0</v>
      </c>
      <c r="H639" s="61">
        <v>-3959</v>
      </c>
      <c r="I639" s="61">
        <f t="shared" ref="I639" si="360">+C639+D639-E639-F639+G639</f>
        <v>-3959</v>
      </c>
      <c r="J639" s="9">
        <f t="shared" ref="J639" si="361">I639-H639</f>
        <v>0</v>
      </c>
      <c r="K639" s="45" t="s">
        <v>113</v>
      </c>
      <c r="L639" s="47">
        <v>0</v>
      </c>
      <c r="M639" s="47">
        <v>0</v>
      </c>
      <c r="N639" s="47">
        <v>6200</v>
      </c>
      <c r="O639" s="47">
        <v>0</v>
      </c>
    </row>
    <row r="640" spans="1:15" x14ac:dyDescent="0.3">
      <c r="A640" s="58" t="str">
        <f t="shared" si="351"/>
        <v>Yan</v>
      </c>
      <c r="B640" s="59" t="s">
        <v>154</v>
      </c>
      <c r="C640" s="61">
        <v>10500</v>
      </c>
      <c r="D640" s="61">
        <f t="shared" si="352"/>
        <v>368000</v>
      </c>
      <c r="E640" s="61">
        <f t="shared" si="353"/>
        <v>243500</v>
      </c>
      <c r="F640" s="61">
        <f t="shared" si="354"/>
        <v>40000</v>
      </c>
      <c r="G640" s="61">
        <f t="shared" si="359"/>
        <v>0</v>
      </c>
      <c r="H640" s="61">
        <v>95000</v>
      </c>
      <c r="I640" s="61">
        <f>+C640+D640-E640-F640+G640</f>
        <v>95000</v>
      </c>
      <c r="J640" s="9">
        <f>I640-H640</f>
        <v>0</v>
      </c>
      <c r="K640" s="45" t="s">
        <v>212</v>
      </c>
      <c r="L640" s="47">
        <v>368000</v>
      </c>
      <c r="M640" s="47">
        <v>40000</v>
      </c>
      <c r="N640" s="47">
        <v>243500</v>
      </c>
      <c r="O640" s="47">
        <v>0</v>
      </c>
    </row>
    <row r="641" spans="1:15" x14ac:dyDescent="0.3">
      <c r="A641" s="10" t="s">
        <v>50</v>
      </c>
      <c r="B641" s="11"/>
      <c r="C641" s="12">
        <f t="shared" ref="C641:I641" si="362">SUM(C627:C640)</f>
        <v>23344946</v>
      </c>
      <c r="D641" s="57">
        <f t="shared" si="362"/>
        <v>10521850</v>
      </c>
      <c r="E641" s="57">
        <f t="shared" si="362"/>
        <v>11376181</v>
      </c>
      <c r="F641" s="57">
        <f t="shared" si="362"/>
        <v>10521850</v>
      </c>
      <c r="G641" s="57">
        <f t="shared" si="362"/>
        <v>0</v>
      </c>
      <c r="H641" s="57">
        <f t="shared" si="362"/>
        <v>11968765</v>
      </c>
      <c r="I641" s="57">
        <f t="shared" si="362"/>
        <v>11968765</v>
      </c>
      <c r="J641" s="9">
        <f>I641-H641</f>
        <v>0</v>
      </c>
      <c r="K641" s="3"/>
      <c r="L641" s="47">
        <f>+SUM(L627:L640)</f>
        <v>10521850</v>
      </c>
      <c r="M641" s="47">
        <f>+SUM(M627:M640)</f>
        <v>10521850</v>
      </c>
      <c r="N641" s="47">
        <f>+SUM(N627:N640)</f>
        <v>11376181</v>
      </c>
      <c r="O641" s="47">
        <f>+SUM(O627:O639)</f>
        <v>0</v>
      </c>
    </row>
    <row r="642" spans="1:15" x14ac:dyDescent="0.3">
      <c r="A642" s="10"/>
      <c r="B642" s="11"/>
      <c r="C642" s="12"/>
      <c r="D642" s="13"/>
      <c r="E642" s="12"/>
      <c r="F642" s="13"/>
      <c r="G642" s="12"/>
      <c r="H642" s="12"/>
      <c r="I642" s="134" t="b">
        <f>I641=D644</f>
        <v>1</v>
      </c>
      <c r="L642" s="5"/>
      <c r="M642" s="5"/>
      <c r="N642" s="5"/>
      <c r="O642" s="5"/>
    </row>
    <row r="643" spans="1:15" x14ac:dyDescent="0.3">
      <c r="A643" s="10" t="s">
        <v>217</v>
      </c>
      <c r="B643" s="11" t="s">
        <v>218</v>
      </c>
      <c r="C643" s="12" t="s">
        <v>219</v>
      </c>
      <c r="D643" s="12" t="s">
        <v>221</v>
      </c>
      <c r="E643" s="12" t="s">
        <v>51</v>
      </c>
      <c r="F643" s="12"/>
      <c r="G643" s="12">
        <f>+D641-F641</f>
        <v>0</v>
      </c>
      <c r="H643" s="12"/>
      <c r="I643" s="12"/>
    </row>
    <row r="644" spans="1:15" x14ac:dyDescent="0.3">
      <c r="A644" s="14">
        <f>C641</f>
        <v>23344946</v>
      </c>
      <c r="B644" s="15">
        <f>G641</f>
        <v>0</v>
      </c>
      <c r="C644" s="12">
        <f>E641</f>
        <v>11376181</v>
      </c>
      <c r="D644" s="12">
        <f>A644+B644-C644</f>
        <v>11968765</v>
      </c>
      <c r="E644" s="13">
        <f>I641-D644</f>
        <v>0</v>
      </c>
      <c r="F644" s="12"/>
      <c r="G644" s="12"/>
      <c r="H644" s="12"/>
      <c r="I644" s="12"/>
    </row>
    <row r="645" spans="1:15" x14ac:dyDescent="0.3">
      <c r="A645" s="14"/>
      <c r="B645" s="15"/>
      <c r="C645" s="12"/>
      <c r="D645" s="12"/>
      <c r="E645" s="13"/>
      <c r="F645" s="12"/>
      <c r="G645" s="12"/>
      <c r="H645" s="12"/>
      <c r="I645" s="12"/>
    </row>
    <row r="646" spans="1:15" x14ac:dyDescent="0.3">
      <c r="A646" s="16" t="s">
        <v>52</v>
      </c>
      <c r="B646" s="16"/>
      <c r="C646" s="16"/>
      <c r="D646" s="17"/>
      <c r="E646" s="17"/>
      <c r="F646" s="17"/>
      <c r="G646" s="17"/>
      <c r="H646" s="17"/>
      <c r="I646" s="17"/>
    </row>
    <row r="647" spans="1:15" x14ac:dyDescent="0.3">
      <c r="A647" s="18" t="s">
        <v>220</v>
      </c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5" x14ac:dyDescent="0.3">
      <c r="A648" s="19"/>
      <c r="B648" s="17"/>
      <c r="C648" s="20"/>
      <c r="D648" s="20"/>
      <c r="E648" s="20"/>
      <c r="F648" s="20"/>
      <c r="G648" s="20"/>
      <c r="H648" s="17"/>
      <c r="I648" s="17"/>
    </row>
    <row r="649" spans="1:15" x14ac:dyDescent="0.3">
      <c r="A649" s="169" t="s">
        <v>53</v>
      </c>
      <c r="B649" s="171" t="s">
        <v>54</v>
      </c>
      <c r="C649" s="173" t="s">
        <v>222</v>
      </c>
      <c r="D649" s="174" t="s">
        <v>55</v>
      </c>
      <c r="E649" s="175"/>
      <c r="F649" s="175"/>
      <c r="G649" s="176"/>
      <c r="H649" s="177" t="s">
        <v>56</v>
      </c>
      <c r="I649" s="165" t="s">
        <v>57</v>
      </c>
      <c r="J649" s="17"/>
    </row>
    <row r="650" spans="1:15" ht="28.5" customHeight="1" x14ac:dyDescent="0.3">
      <c r="A650" s="170"/>
      <c r="B650" s="172"/>
      <c r="C650" s="22"/>
      <c r="D650" s="21" t="s">
        <v>24</v>
      </c>
      <c r="E650" s="21" t="s">
        <v>25</v>
      </c>
      <c r="F650" s="22" t="s">
        <v>123</v>
      </c>
      <c r="G650" s="21" t="s">
        <v>58</v>
      </c>
      <c r="H650" s="178"/>
      <c r="I650" s="166"/>
      <c r="J650" s="167" t="s">
        <v>223</v>
      </c>
      <c r="K650" s="143"/>
    </row>
    <row r="651" spans="1:15" x14ac:dyDescent="0.3">
      <c r="A651" s="23"/>
      <c r="B651" s="24" t="s">
        <v>59</v>
      </c>
      <c r="C651" s="25"/>
      <c r="D651" s="25"/>
      <c r="E651" s="25"/>
      <c r="F651" s="25"/>
      <c r="G651" s="25"/>
      <c r="H651" s="25"/>
      <c r="I651" s="26"/>
      <c r="J651" s="168"/>
      <c r="K651" s="143"/>
    </row>
    <row r="652" spans="1:15" x14ac:dyDescent="0.3">
      <c r="A652" s="122" t="s">
        <v>135</v>
      </c>
      <c r="B652" s="127" t="s">
        <v>47</v>
      </c>
      <c r="C652" s="32">
        <f>+C630</f>
        <v>15750</v>
      </c>
      <c r="D652" s="31"/>
      <c r="E652" s="32">
        <f t="shared" ref="E652:E660" si="363">+D630</f>
        <v>1223400</v>
      </c>
      <c r="F652" s="32"/>
      <c r="G652" s="32"/>
      <c r="H652" s="55">
        <f t="shared" ref="H652:H660" si="364">+F630</f>
        <v>45000</v>
      </c>
      <c r="I652" s="32">
        <f t="shared" ref="I652:I660" si="365">+E630</f>
        <v>1184350</v>
      </c>
      <c r="J652" s="30">
        <f t="shared" ref="J652:J653" si="366">+SUM(C652:G652)-(H652+I652)</f>
        <v>9800</v>
      </c>
      <c r="K652" s="144" t="b">
        <f t="shared" ref="K652:K662" si="367">J652=I630</f>
        <v>1</v>
      </c>
    </row>
    <row r="653" spans="1:15" x14ac:dyDescent="0.3">
      <c r="A653" s="122" t="str">
        <f>+A652</f>
        <v>JUIN</v>
      </c>
      <c r="B653" s="127" t="s">
        <v>31</v>
      </c>
      <c r="C653" s="32">
        <f>+C631</f>
        <v>8795</v>
      </c>
      <c r="D653" s="31"/>
      <c r="E653" s="32">
        <f t="shared" si="363"/>
        <v>248000</v>
      </c>
      <c r="F653" s="32"/>
      <c r="G653" s="32"/>
      <c r="H653" s="55">
        <f t="shared" si="364"/>
        <v>0</v>
      </c>
      <c r="I653" s="32">
        <f t="shared" si="365"/>
        <v>254500</v>
      </c>
      <c r="J653" s="101">
        <f t="shared" si="366"/>
        <v>2295</v>
      </c>
      <c r="K653" s="144" t="b">
        <f t="shared" si="367"/>
        <v>1</v>
      </c>
    </row>
    <row r="654" spans="1:15" x14ac:dyDescent="0.3">
      <c r="A654" s="122" t="str">
        <f t="shared" ref="A654:A655" si="368">+A653</f>
        <v>JUIN</v>
      </c>
      <c r="B654" s="129" t="s">
        <v>84</v>
      </c>
      <c r="C654" s="120">
        <f>+C632</f>
        <v>233614</v>
      </c>
      <c r="D654" s="123"/>
      <c r="E654" s="120">
        <f t="shared" si="363"/>
        <v>0</v>
      </c>
      <c r="F654" s="137"/>
      <c r="G654" s="137"/>
      <c r="H654" s="155">
        <f t="shared" si="364"/>
        <v>0</v>
      </c>
      <c r="I654" s="120">
        <f t="shared" si="365"/>
        <v>0</v>
      </c>
      <c r="J654" s="121">
        <f>+SUM(C654:G654)-(H654+I654)</f>
        <v>233614</v>
      </c>
      <c r="K654" s="144" t="b">
        <f t="shared" si="367"/>
        <v>1</v>
      </c>
    </row>
    <row r="655" spans="1:15" x14ac:dyDescent="0.3">
      <c r="A655" s="122" t="str">
        <f t="shared" si="368"/>
        <v>JUIN</v>
      </c>
      <c r="B655" s="129" t="s">
        <v>83</v>
      </c>
      <c r="C655" s="120">
        <f>+C633</f>
        <v>249769</v>
      </c>
      <c r="D655" s="123"/>
      <c r="E655" s="120">
        <f t="shared" si="363"/>
        <v>0</v>
      </c>
      <c r="F655" s="137"/>
      <c r="G655" s="137"/>
      <c r="H655" s="155">
        <f t="shared" si="364"/>
        <v>0</v>
      </c>
      <c r="I655" s="120">
        <f t="shared" si="365"/>
        <v>0</v>
      </c>
      <c r="J655" s="121">
        <f t="shared" ref="J655:J662" si="369">+SUM(C655:G655)-(H655+I655)</f>
        <v>249769</v>
      </c>
      <c r="K655" s="144" t="b">
        <f t="shared" si="367"/>
        <v>1</v>
      </c>
    </row>
    <row r="656" spans="1:15" x14ac:dyDescent="0.3">
      <c r="A656" s="122" t="str">
        <f t="shared" ref="A656:A658" si="370">+A655</f>
        <v>JUIN</v>
      </c>
      <c r="B656" s="127" t="s">
        <v>143</v>
      </c>
      <c r="C656" s="32">
        <f>+C634</f>
        <v>14700</v>
      </c>
      <c r="D656" s="31"/>
      <c r="E656" s="32">
        <f t="shared" si="363"/>
        <v>994000</v>
      </c>
      <c r="F656" s="32"/>
      <c r="G656" s="104"/>
      <c r="H656" s="55">
        <f t="shared" si="364"/>
        <v>760000</v>
      </c>
      <c r="I656" s="32">
        <f t="shared" si="365"/>
        <v>220100</v>
      </c>
      <c r="J656" s="30">
        <f t="shared" si="369"/>
        <v>28600</v>
      </c>
      <c r="K656" s="144" t="b">
        <f t="shared" si="367"/>
        <v>1</v>
      </c>
    </row>
    <row r="657" spans="1:16" x14ac:dyDescent="0.3">
      <c r="A657" s="122" t="str">
        <f t="shared" si="370"/>
        <v>JUIN</v>
      </c>
      <c r="B657" s="127" t="s">
        <v>197</v>
      </c>
      <c r="C657" s="32">
        <f t="shared" ref="C657:C660" si="371">+C635</f>
        <v>46950</v>
      </c>
      <c r="D657" s="31"/>
      <c r="E657" s="32">
        <f t="shared" si="363"/>
        <v>254000</v>
      </c>
      <c r="F657" s="32"/>
      <c r="G657" s="104"/>
      <c r="H657" s="55">
        <f t="shared" si="364"/>
        <v>37450</v>
      </c>
      <c r="I657" s="32">
        <f t="shared" si="365"/>
        <v>245500</v>
      </c>
      <c r="J657" s="30">
        <f t="shared" si="369"/>
        <v>18000</v>
      </c>
      <c r="K657" s="144" t="b">
        <f t="shared" si="367"/>
        <v>1</v>
      </c>
    </row>
    <row r="658" spans="1:16" x14ac:dyDescent="0.3">
      <c r="A658" s="122" t="str">
        <f t="shared" si="370"/>
        <v>JUIN</v>
      </c>
      <c r="B658" s="127" t="s">
        <v>30</v>
      </c>
      <c r="C658" s="32">
        <f t="shared" si="371"/>
        <v>112050</v>
      </c>
      <c r="D658" s="31"/>
      <c r="E658" s="32">
        <f t="shared" si="363"/>
        <v>584000</v>
      </c>
      <c r="F658" s="32"/>
      <c r="G658" s="104"/>
      <c r="H658" s="55">
        <f t="shared" si="364"/>
        <v>0</v>
      </c>
      <c r="I658" s="32">
        <f t="shared" si="365"/>
        <v>434000</v>
      </c>
      <c r="J658" s="30">
        <f t="shared" si="369"/>
        <v>262050</v>
      </c>
      <c r="K658" s="144" t="b">
        <f t="shared" si="367"/>
        <v>1</v>
      </c>
    </row>
    <row r="659" spans="1:16" x14ac:dyDescent="0.3">
      <c r="A659" s="122" t="str">
        <f>+A657</f>
        <v>JUIN</v>
      </c>
      <c r="B659" s="127" t="s">
        <v>93</v>
      </c>
      <c r="C659" s="32">
        <f t="shared" si="371"/>
        <v>2900</v>
      </c>
      <c r="D659" s="31"/>
      <c r="E659" s="32">
        <f t="shared" si="363"/>
        <v>40000</v>
      </c>
      <c r="F659" s="32"/>
      <c r="G659" s="104"/>
      <c r="H659" s="55">
        <f t="shared" si="364"/>
        <v>0</v>
      </c>
      <c r="I659" s="32">
        <f t="shared" si="365"/>
        <v>31000</v>
      </c>
      <c r="J659" s="30">
        <f t="shared" si="369"/>
        <v>11900</v>
      </c>
      <c r="K659" s="144" t="b">
        <f t="shared" si="367"/>
        <v>1</v>
      </c>
    </row>
    <row r="660" spans="1:16" x14ac:dyDescent="0.3">
      <c r="A660" s="122" t="str">
        <f>+A658</f>
        <v>JUIN</v>
      </c>
      <c r="B660" s="127" t="s">
        <v>29</v>
      </c>
      <c r="C660" s="32">
        <f t="shared" si="371"/>
        <v>140700</v>
      </c>
      <c r="D660" s="31"/>
      <c r="E660" s="32">
        <f t="shared" si="363"/>
        <v>638000</v>
      </c>
      <c r="F660" s="32"/>
      <c r="G660" s="104"/>
      <c r="H660" s="55">
        <f t="shared" si="364"/>
        <v>50000</v>
      </c>
      <c r="I660" s="32">
        <f t="shared" si="365"/>
        <v>507650</v>
      </c>
      <c r="J660" s="30">
        <f t="shared" si="369"/>
        <v>221050</v>
      </c>
      <c r="K660" s="144" t="b">
        <f t="shared" si="367"/>
        <v>1</v>
      </c>
    </row>
    <row r="661" spans="1:16" x14ac:dyDescent="0.3">
      <c r="A661" s="122" t="str">
        <f>+A659</f>
        <v>JUIN</v>
      </c>
      <c r="B661" s="128" t="s">
        <v>113</v>
      </c>
      <c r="C661" s="32">
        <f t="shared" ref="C661:C662" si="372">+C639</f>
        <v>2241</v>
      </c>
      <c r="D661" s="119"/>
      <c r="E661" s="32">
        <f t="shared" ref="E661:E662" si="373">+D639</f>
        <v>0</v>
      </c>
      <c r="F661" s="51"/>
      <c r="G661" s="138"/>
      <c r="H661" s="55">
        <f t="shared" ref="H661:H662" si="374">+F639</f>
        <v>0</v>
      </c>
      <c r="I661" s="32">
        <f t="shared" ref="I661:I662" si="375">+E639</f>
        <v>6200</v>
      </c>
      <c r="J661" s="30">
        <f t="shared" si="369"/>
        <v>-3959</v>
      </c>
      <c r="K661" s="144" t="b">
        <f t="shared" si="367"/>
        <v>1</v>
      </c>
    </row>
    <row r="662" spans="1:16" x14ac:dyDescent="0.3">
      <c r="A662" s="122" t="str">
        <f>+A660</f>
        <v>JUIN</v>
      </c>
      <c r="B662" s="128" t="s">
        <v>212</v>
      </c>
      <c r="C662" s="32">
        <f t="shared" si="372"/>
        <v>10500</v>
      </c>
      <c r="D662" s="119"/>
      <c r="E662" s="32">
        <f t="shared" si="373"/>
        <v>368000</v>
      </c>
      <c r="F662" s="51"/>
      <c r="G662" s="138"/>
      <c r="H662" s="55">
        <f t="shared" si="374"/>
        <v>40000</v>
      </c>
      <c r="I662" s="32">
        <f t="shared" si="375"/>
        <v>243500</v>
      </c>
      <c r="J662" s="30">
        <f t="shared" si="369"/>
        <v>95000</v>
      </c>
      <c r="K662" s="144" t="b">
        <f t="shared" si="367"/>
        <v>1</v>
      </c>
    </row>
    <row r="663" spans="1:16" x14ac:dyDescent="0.3">
      <c r="A663" s="34" t="s">
        <v>60</v>
      </c>
      <c r="B663" s="35"/>
      <c r="C663" s="35"/>
      <c r="D663" s="35"/>
      <c r="E663" s="35"/>
      <c r="F663" s="35"/>
      <c r="G663" s="35"/>
      <c r="H663" s="35"/>
      <c r="I663" s="35"/>
      <c r="J663" s="36"/>
      <c r="K663" s="143"/>
    </row>
    <row r="664" spans="1:16" x14ac:dyDescent="0.3">
      <c r="A664" s="122" t="str">
        <f>+A662</f>
        <v>JUIN</v>
      </c>
      <c r="B664" s="37" t="s">
        <v>61</v>
      </c>
      <c r="C664" s="38">
        <f>+C629</f>
        <v>1700406</v>
      </c>
      <c r="D664" s="49"/>
      <c r="E664" s="49">
        <f>D629</f>
        <v>6172450</v>
      </c>
      <c r="F664" s="49"/>
      <c r="G664" s="125"/>
      <c r="H664" s="51">
        <f>+F629</f>
        <v>3589400</v>
      </c>
      <c r="I664" s="126">
        <f>+E629</f>
        <v>2587130</v>
      </c>
      <c r="J664" s="30">
        <f>+SUM(C664:G664)-(H664+I664)</f>
        <v>1696326</v>
      </c>
      <c r="K664" s="144" t="b">
        <f>J664=I629</f>
        <v>1</v>
      </c>
    </row>
    <row r="665" spans="1:16" x14ac:dyDescent="0.3">
      <c r="A665" s="43" t="s">
        <v>62</v>
      </c>
      <c r="B665" s="24"/>
      <c r="C665" s="35"/>
      <c r="D665" s="24"/>
      <c r="E665" s="24"/>
      <c r="F665" s="24"/>
      <c r="G665" s="24"/>
      <c r="H665" s="24"/>
      <c r="I665" s="24"/>
      <c r="J665" s="36"/>
      <c r="K665" s="143"/>
    </row>
    <row r="666" spans="1:16" x14ac:dyDescent="0.3">
      <c r="A666" s="122" t="str">
        <f>+A664</f>
        <v>JUIN</v>
      </c>
      <c r="B666" s="37" t="s">
        <v>156</v>
      </c>
      <c r="C666" s="125">
        <f>+C627</f>
        <v>8575038</v>
      </c>
      <c r="D666" s="132">
        <f>+G627</f>
        <v>0</v>
      </c>
      <c r="E666" s="49"/>
      <c r="F666" s="49"/>
      <c r="G666" s="49"/>
      <c r="H666" s="51">
        <f>+F627</f>
        <v>4000000</v>
      </c>
      <c r="I666" s="53">
        <f>+E627</f>
        <v>283345</v>
      </c>
      <c r="J666" s="30">
        <f>+SUM(C666:G666)-(H666+I666)</f>
        <v>4291693</v>
      </c>
      <c r="K666" s="144" t="b">
        <f>+J666=I627</f>
        <v>1</v>
      </c>
    </row>
    <row r="667" spans="1:16" x14ac:dyDescent="0.3">
      <c r="A667" s="122" t="str">
        <f t="shared" ref="A667" si="376">+A666</f>
        <v>JUIN</v>
      </c>
      <c r="B667" s="37" t="s">
        <v>64</v>
      </c>
      <c r="C667" s="125">
        <f>+C628</f>
        <v>12231533</v>
      </c>
      <c r="D667" s="49">
        <f>+G628</f>
        <v>0</v>
      </c>
      <c r="E667" s="48"/>
      <c r="F667" s="48"/>
      <c r="G667" s="48"/>
      <c r="H667" s="32">
        <f>+F628</f>
        <v>2000000</v>
      </c>
      <c r="I667" s="50">
        <f>+E628</f>
        <v>5378906</v>
      </c>
      <c r="J667" s="30">
        <f>SUM(C667:G667)-(H667+I667)</f>
        <v>4852627</v>
      </c>
      <c r="K667" s="144" t="b">
        <f>+J667=I628</f>
        <v>1</v>
      </c>
    </row>
    <row r="668" spans="1:16" ht="15.6" x14ac:dyDescent="0.3">
      <c r="C668" s="141">
        <f>SUM(C652:C667)</f>
        <v>23344946</v>
      </c>
      <c r="I668" s="140">
        <f>SUM(I652:I667)</f>
        <v>11376181</v>
      </c>
      <c r="J668" s="105">
        <f>+SUM(J652:J667)</f>
        <v>11968765</v>
      </c>
      <c r="K668" s="5" t="b">
        <f>J668=I641</f>
        <v>1</v>
      </c>
    </row>
    <row r="669" spans="1:16" ht="15.6" x14ac:dyDescent="0.3">
      <c r="A669" s="160"/>
      <c r="B669" s="160"/>
      <c r="C669" s="161"/>
      <c r="D669" s="160"/>
      <c r="E669" s="160"/>
      <c r="F669" s="160"/>
      <c r="G669" s="160"/>
      <c r="H669" s="160"/>
      <c r="I669" s="162"/>
      <c r="J669" s="163"/>
      <c r="K669" s="160"/>
      <c r="L669" s="164"/>
      <c r="M669" s="164"/>
      <c r="N669" s="164"/>
      <c r="O669" s="164"/>
      <c r="P669" s="160"/>
    </row>
    <row r="671" spans="1:16" ht="15.6" x14ac:dyDescent="0.3">
      <c r="A671" s="6" t="s">
        <v>36</v>
      </c>
      <c r="B671" s="6" t="s">
        <v>1</v>
      </c>
      <c r="C671" s="6">
        <v>44682</v>
      </c>
      <c r="D671" s="7" t="s">
        <v>37</v>
      </c>
      <c r="E671" s="7" t="s">
        <v>38</v>
      </c>
      <c r="F671" s="7" t="s">
        <v>39</v>
      </c>
      <c r="G671" s="7" t="s">
        <v>40</v>
      </c>
      <c r="H671" s="6">
        <v>44712</v>
      </c>
      <c r="I671" s="7" t="s">
        <v>41</v>
      </c>
      <c r="K671" s="45"/>
      <c r="L671" s="45" t="s">
        <v>42</v>
      </c>
      <c r="M671" s="45" t="s">
        <v>43</v>
      </c>
      <c r="N671" s="45" t="s">
        <v>44</v>
      </c>
      <c r="O671" s="45" t="s">
        <v>45</v>
      </c>
    </row>
    <row r="672" spans="1:16" x14ac:dyDescent="0.3">
      <c r="A672" s="58" t="str">
        <f>K672</f>
        <v>BCI</v>
      </c>
      <c r="B672" s="59" t="s">
        <v>46</v>
      </c>
      <c r="C672" s="61">
        <v>4154435</v>
      </c>
      <c r="D672" s="61">
        <f>+L672</f>
        <v>0</v>
      </c>
      <c r="E672" s="61">
        <f>+N672</f>
        <v>543345</v>
      </c>
      <c r="F672" s="61">
        <f>+M672</f>
        <v>7000000</v>
      </c>
      <c r="G672" s="61">
        <f t="shared" ref="G672:G683" si="377">+O672</f>
        <v>11963948</v>
      </c>
      <c r="H672" s="61">
        <v>8575038</v>
      </c>
      <c r="I672" s="61">
        <f>+C672+D672-E672-F672+G672</f>
        <v>8575038</v>
      </c>
      <c r="J672" s="9">
        <f>I672-H672</f>
        <v>0</v>
      </c>
      <c r="K672" s="45" t="s">
        <v>24</v>
      </c>
      <c r="L672" s="47">
        <v>0</v>
      </c>
      <c r="M672" s="47">
        <v>7000000</v>
      </c>
      <c r="N672" s="47">
        <v>543345</v>
      </c>
      <c r="O672" s="47">
        <v>11963948</v>
      </c>
    </row>
    <row r="673" spans="1:15" x14ac:dyDescent="0.3">
      <c r="A673" s="58" t="str">
        <f t="shared" ref="A673:A686" si="378">K673</f>
        <v>BCI-Sous Compte</v>
      </c>
      <c r="B673" s="59" t="s">
        <v>46</v>
      </c>
      <c r="C673" s="61">
        <v>16450956</v>
      </c>
      <c r="D673" s="61">
        <f t="shared" ref="D673:D686" si="379">+L673</f>
        <v>0</v>
      </c>
      <c r="E673" s="61">
        <f t="shared" ref="E673:E686" si="380">+N673</f>
        <v>4219423</v>
      </c>
      <c r="F673" s="61">
        <f t="shared" ref="F673:F686" si="381">+M673</f>
        <v>0</v>
      </c>
      <c r="G673" s="61">
        <f t="shared" si="377"/>
        <v>0</v>
      </c>
      <c r="H673" s="61">
        <v>12231533</v>
      </c>
      <c r="I673" s="61">
        <f>+C673+D673-E673-F673+G673</f>
        <v>12231533</v>
      </c>
      <c r="J673" s="9">
        <f t="shared" ref="J673:J680" si="382">I673-H673</f>
        <v>0</v>
      </c>
      <c r="K673" s="45" t="s">
        <v>148</v>
      </c>
      <c r="L673" s="47">
        <v>0</v>
      </c>
      <c r="M673" s="47">
        <v>0</v>
      </c>
      <c r="N673" s="47">
        <v>4219423</v>
      </c>
      <c r="O673" s="47">
        <v>0</v>
      </c>
    </row>
    <row r="674" spans="1:15" x14ac:dyDescent="0.3">
      <c r="A674" s="58" t="str">
        <f t="shared" si="378"/>
        <v>Caisse</v>
      </c>
      <c r="B674" s="59" t="s">
        <v>25</v>
      </c>
      <c r="C674" s="61">
        <v>963113</v>
      </c>
      <c r="D674" s="61">
        <f t="shared" si="379"/>
        <v>7684335</v>
      </c>
      <c r="E674" s="61">
        <f t="shared" si="380"/>
        <v>2033042</v>
      </c>
      <c r="F674" s="61">
        <f t="shared" si="381"/>
        <v>4914000</v>
      </c>
      <c r="G674" s="61">
        <f t="shared" si="377"/>
        <v>0</v>
      </c>
      <c r="H674" s="61">
        <v>1700406</v>
      </c>
      <c r="I674" s="61">
        <f>+C674+D674-E674-F674+G674</f>
        <v>1700406</v>
      </c>
      <c r="J674" s="102">
        <f t="shared" si="382"/>
        <v>0</v>
      </c>
      <c r="K674" s="45" t="s">
        <v>25</v>
      </c>
      <c r="L674" s="47">
        <v>7684335</v>
      </c>
      <c r="M674" s="47">
        <v>4914000</v>
      </c>
      <c r="N674" s="47">
        <v>2033042</v>
      </c>
      <c r="O674" s="47">
        <v>0</v>
      </c>
    </row>
    <row r="675" spans="1:15" x14ac:dyDescent="0.3">
      <c r="A675" s="58" t="str">
        <f t="shared" si="378"/>
        <v>Crépin</v>
      </c>
      <c r="B675" s="59" t="s">
        <v>154</v>
      </c>
      <c r="C675" s="61">
        <v>21850</v>
      </c>
      <c r="D675" s="61">
        <f t="shared" si="379"/>
        <v>1282000</v>
      </c>
      <c r="E675" s="61">
        <f t="shared" si="380"/>
        <v>1288100</v>
      </c>
      <c r="F675" s="61">
        <f t="shared" si="381"/>
        <v>0</v>
      </c>
      <c r="G675" s="61">
        <f t="shared" si="377"/>
        <v>0</v>
      </c>
      <c r="H675" s="61">
        <v>15750</v>
      </c>
      <c r="I675" s="61">
        <f>+C675+D675-E675-F675+G675</f>
        <v>15750</v>
      </c>
      <c r="J675" s="9">
        <f t="shared" si="382"/>
        <v>0</v>
      </c>
      <c r="K675" s="45" t="s">
        <v>47</v>
      </c>
      <c r="L675" s="47">
        <v>1282000</v>
      </c>
      <c r="M675" s="47">
        <v>0</v>
      </c>
      <c r="N675" s="47">
        <v>1288100</v>
      </c>
      <c r="O675" s="47">
        <v>0</v>
      </c>
    </row>
    <row r="676" spans="1:15" x14ac:dyDescent="0.3">
      <c r="A676" s="58" t="str">
        <f t="shared" si="378"/>
        <v>Evariste</v>
      </c>
      <c r="B676" s="59" t="s">
        <v>155</v>
      </c>
      <c r="C676" s="61">
        <v>7995</v>
      </c>
      <c r="D676" s="61">
        <f t="shared" si="379"/>
        <v>262000</v>
      </c>
      <c r="E676" s="61">
        <f t="shared" si="380"/>
        <v>261200</v>
      </c>
      <c r="F676" s="61">
        <f t="shared" si="381"/>
        <v>0</v>
      </c>
      <c r="G676" s="61">
        <f t="shared" si="377"/>
        <v>0</v>
      </c>
      <c r="H676" s="61">
        <v>8795</v>
      </c>
      <c r="I676" s="61">
        <f t="shared" ref="I676" si="383">+C676+D676-E676-F676+G676</f>
        <v>8795</v>
      </c>
      <c r="J676" s="9">
        <f t="shared" si="382"/>
        <v>0</v>
      </c>
      <c r="K676" s="45" t="s">
        <v>31</v>
      </c>
      <c r="L676" s="47">
        <v>262000</v>
      </c>
      <c r="M676" s="47">
        <v>0</v>
      </c>
      <c r="N676" s="47">
        <v>261200</v>
      </c>
      <c r="O676" s="47">
        <v>0</v>
      </c>
    </row>
    <row r="677" spans="1:15" x14ac:dyDescent="0.3">
      <c r="A677" s="58" t="str">
        <f t="shared" si="378"/>
        <v>Godfré</v>
      </c>
      <c r="B677" s="59" t="s">
        <v>154</v>
      </c>
      <c r="C677" s="61">
        <v>156335</v>
      </c>
      <c r="D677" s="61">
        <f t="shared" si="379"/>
        <v>307000</v>
      </c>
      <c r="E677" s="61">
        <f t="shared" si="380"/>
        <v>308500</v>
      </c>
      <c r="F677" s="61">
        <f t="shared" si="381"/>
        <v>154835</v>
      </c>
      <c r="G677" s="61">
        <f t="shared" si="377"/>
        <v>0</v>
      </c>
      <c r="H677" s="61">
        <v>0</v>
      </c>
      <c r="I677" s="61">
        <f>+C677+D677-E677-F677+G677</f>
        <v>0</v>
      </c>
      <c r="J677" s="9">
        <f t="shared" si="382"/>
        <v>0</v>
      </c>
      <c r="K677" s="45" t="s">
        <v>144</v>
      </c>
      <c r="L677" s="47">
        <v>307000</v>
      </c>
      <c r="M677" s="47">
        <v>154835</v>
      </c>
      <c r="N677" s="47">
        <v>308500</v>
      </c>
      <c r="O677" s="47">
        <v>0</v>
      </c>
    </row>
    <row r="678" spans="1:15" x14ac:dyDescent="0.3">
      <c r="A678" s="58" t="str">
        <f t="shared" si="378"/>
        <v>I55S</v>
      </c>
      <c r="B678" s="116" t="s">
        <v>4</v>
      </c>
      <c r="C678" s="118">
        <v>233614</v>
      </c>
      <c r="D678" s="118">
        <f t="shared" si="379"/>
        <v>0</v>
      </c>
      <c r="E678" s="118">
        <f t="shared" si="380"/>
        <v>0</v>
      </c>
      <c r="F678" s="118">
        <f t="shared" si="381"/>
        <v>0</v>
      </c>
      <c r="G678" s="118">
        <f t="shared" si="377"/>
        <v>0</v>
      </c>
      <c r="H678" s="118">
        <v>233614</v>
      </c>
      <c r="I678" s="118">
        <f>+C678+D678-E678-F678+G678</f>
        <v>233614</v>
      </c>
      <c r="J678" s="9">
        <f t="shared" si="382"/>
        <v>0</v>
      </c>
      <c r="K678" s="45" t="s">
        <v>84</v>
      </c>
      <c r="L678" s="47">
        <v>0</v>
      </c>
      <c r="M678" s="47">
        <v>0</v>
      </c>
      <c r="N678" s="47">
        <v>0</v>
      </c>
      <c r="O678" s="47">
        <v>0</v>
      </c>
    </row>
    <row r="679" spans="1:15" x14ac:dyDescent="0.3">
      <c r="A679" s="58" t="str">
        <f t="shared" si="378"/>
        <v>I73X</v>
      </c>
      <c r="B679" s="116" t="s">
        <v>4</v>
      </c>
      <c r="C679" s="118">
        <v>249769</v>
      </c>
      <c r="D679" s="118">
        <f t="shared" si="379"/>
        <v>0</v>
      </c>
      <c r="E679" s="118">
        <f t="shared" si="380"/>
        <v>0</v>
      </c>
      <c r="F679" s="118">
        <f t="shared" si="381"/>
        <v>0</v>
      </c>
      <c r="G679" s="118">
        <f t="shared" si="377"/>
        <v>0</v>
      </c>
      <c r="H679" s="118">
        <v>249769</v>
      </c>
      <c r="I679" s="118">
        <f t="shared" ref="I679:I682" si="384">+C679+D679-E679-F679+G679</f>
        <v>249769</v>
      </c>
      <c r="J679" s="9">
        <f t="shared" si="382"/>
        <v>0</v>
      </c>
      <c r="K679" s="45" t="s">
        <v>83</v>
      </c>
      <c r="L679" s="47">
        <v>0</v>
      </c>
      <c r="M679" s="47">
        <v>0</v>
      </c>
      <c r="N679" s="47">
        <v>0</v>
      </c>
      <c r="O679" s="47">
        <v>0</v>
      </c>
    </row>
    <row r="680" spans="1:15" x14ac:dyDescent="0.3">
      <c r="A680" s="58" t="str">
        <f t="shared" si="378"/>
        <v>Grace</v>
      </c>
      <c r="B680" s="98" t="s">
        <v>2</v>
      </c>
      <c r="C680" s="61">
        <v>10200</v>
      </c>
      <c r="D680" s="61">
        <f t="shared" si="379"/>
        <v>25000</v>
      </c>
      <c r="E680" s="61">
        <f t="shared" si="380"/>
        <v>20500</v>
      </c>
      <c r="F680" s="61">
        <f t="shared" si="381"/>
        <v>0</v>
      </c>
      <c r="G680" s="61">
        <f t="shared" si="377"/>
        <v>0</v>
      </c>
      <c r="H680" s="61">
        <v>14700</v>
      </c>
      <c r="I680" s="61">
        <f t="shared" si="384"/>
        <v>14700</v>
      </c>
      <c r="J680" s="9">
        <f t="shared" si="382"/>
        <v>0</v>
      </c>
      <c r="K680" s="45" t="s">
        <v>143</v>
      </c>
      <c r="L680" s="47">
        <v>25000</v>
      </c>
      <c r="M680" s="47">
        <v>0</v>
      </c>
      <c r="N680" s="47">
        <v>20500</v>
      </c>
      <c r="O680" s="47">
        <v>0</v>
      </c>
    </row>
    <row r="681" spans="1:15" x14ac:dyDescent="0.3">
      <c r="A681" s="58" t="str">
        <f t="shared" si="378"/>
        <v>Hurielle</v>
      </c>
      <c r="B681" s="59" t="s">
        <v>154</v>
      </c>
      <c r="C681" s="61">
        <v>43500</v>
      </c>
      <c r="D681" s="61">
        <f t="shared" si="379"/>
        <v>701000</v>
      </c>
      <c r="E681" s="61">
        <f t="shared" si="380"/>
        <v>697550</v>
      </c>
      <c r="F681" s="61">
        <f t="shared" si="381"/>
        <v>0</v>
      </c>
      <c r="G681" s="61">
        <f t="shared" si="377"/>
        <v>0</v>
      </c>
      <c r="H681" s="61">
        <v>46950</v>
      </c>
      <c r="I681" s="61">
        <f t="shared" si="384"/>
        <v>46950</v>
      </c>
      <c r="J681" s="9">
        <f>I681-H681</f>
        <v>0</v>
      </c>
      <c r="K681" s="45" t="s">
        <v>197</v>
      </c>
      <c r="L681" s="47">
        <v>701000</v>
      </c>
      <c r="M681" s="47">
        <v>0</v>
      </c>
      <c r="N681" s="47">
        <v>697550</v>
      </c>
      <c r="O681" s="47">
        <v>0</v>
      </c>
    </row>
    <row r="682" spans="1:15" x14ac:dyDescent="0.3">
      <c r="A682" s="58" t="str">
        <f t="shared" si="378"/>
        <v>I23C</v>
      </c>
      <c r="B682" s="98" t="s">
        <v>4</v>
      </c>
      <c r="C682" s="61">
        <v>177550</v>
      </c>
      <c r="D682" s="61">
        <f t="shared" si="379"/>
        <v>969000</v>
      </c>
      <c r="E682" s="61">
        <f t="shared" si="380"/>
        <v>814500</v>
      </c>
      <c r="F682" s="61">
        <f t="shared" si="381"/>
        <v>220000</v>
      </c>
      <c r="G682" s="61">
        <f t="shared" si="377"/>
        <v>0</v>
      </c>
      <c r="H682" s="61">
        <v>112050</v>
      </c>
      <c r="I682" s="61">
        <f t="shared" si="384"/>
        <v>112050</v>
      </c>
      <c r="J682" s="9">
        <f t="shared" ref="J682:J683" si="385">I682-H682</f>
        <v>0</v>
      </c>
      <c r="K682" s="45" t="s">
        <v>30</v>
      </c>
      <c r="L682" s="47">
        <v>969000</v>
      </c>
      <c r="M682" s="47">
        <v>220000</v>
      </c>
      <c r="N682" s="47">
        <v>814500</v>
      </c>
      <c r="O682" s="47">
        <v>0</v>
      </c>
    </row>
    <row r="683" spans="1:15" x14ac:dyDescent="0.3">
      <c r="A683" s="58" t="str">
        <f t="shared" si="378"/>
        <v>Merveille</v>
      </c>
      <c r="B683" s="59" t="s">
        <v>2</v>
      </c>
      <c r="C683" s="61">
        <v>4400</v>
      </c>
      <c r="D683" s="61">
        <f t="shared" si="379"/>
        <v>170000</v>
      </c>
      <c r="E683" s="61">
        <f t="shared" si="380"/>
        <v>161500</v>
      </c>
      <c r="F683" s="61">
        <f t="shared" si="381"/>
        <v>10000</v>
      </c>
      <c r="G683" s="61">
        <f t="shared" si="377"/>
        <v>0</v>
      </c>
      <c r="H683" s="61">
        <v>2900</v>
      </c>
      <c r="I683" s="61">
        <f>+C683+D683-E683-F683+G683</f>
        <v>2900</v>
      </c>
      <c r="J683" s="9">
        <f t="shared" si="385"/>
        <v>0</v>
      </c>
      <c r="K683" s="45" t="s">
        <v>93</v>
      </c>
      <c r="L683" s="47">
        <v>170000</v>
      </c>
      <c r="M683" s="47">
        <v>10000</v>
      </c>
      <c r="N683" s="47">
        <v>161500</v>
      </c>
      <c r="O683" s="47">
        <v>0</v>
      </c>
    </row>
    <row r="684" spans="1:15" x14ac:dyDescent="0.3">
      <c r="A684" s="58" t="str">
        <f t="shared" si="378"/>
        <v>P29</v>
      </c>
      <c r="B684" s="59" t="s">
        <v>4</v>
      </c>
      <c r="C684" s="61">
        <v>294700</v>
      </c>
      <c r="D684" s="61">
        <f t="shared" si="379"/>
        <v>671000</v>
      </c>
      <c r="E684" s="61">
        <f t="shared" si="380"/>
        <v>525000</v>
      </c>
      <c r="F684" s="61">
        <f t="shared" si="381"/>
        <v>300000</v>
      </c>
      <c r="G684" s="61">
        <f>+O684</f>
        <v>0</v>
      </c>
      <c r="H684" s="61">
        <v>140700</v>
      </c>
      <c r="I684" s="61">
        <f>+C684+D684-E684-F684+G684</f>
        <v>140700</v>
      </c>
      <c r="J684" s="9">
        <f>I684-H684</f>
        <v>0</v>
      </c>
      <c r="K684" s="45" t="s">
        <v>29</v>
      </c>
      <c r="L684" s="47">
        <v>671000</v>
      </c>
      <c r="M684" s="47">
        <v>300000</v>
      </c>
      <c r="N684" s="47">
        <v>525000</v>
      </c>
      <c r="O684" s="47">
        <v>0</v>
      </c>
    </row>
    <row r="685" spans="1:15" x14ac:dyDescent="0.3">
      <c r="A685" s="58" t="str">
        <f t="shared" si="378"/>
        <v>Paule</v>
      </c>
      <c r="B685" s="59" t="s">
        <v>154</v>
      </c>
      <c r="C685" s="61">
        <v>13500</v>
      </c>
      <c r="D685" s="61">
        <f t="shared" si="379"/>
        <v>85000</v>
      </c>
      <c r="E685" s="61">
        <f t="shared" si="380"/>
        <v>89000</v>
      </c>
      <c r="F685" s="61">
        <f t="shared" si="381"/>
        <v>9500</v>
      </c>
      <c r="G685" s="61">
        <f>+O685</f>
        <v>0</v>
      </c>
      <c r="H685" s="61">
        <v>0</v>
      </c>
      <c r="I685" s="61">
        <f>+C685+D685-E685-F685+G685</f>
        <v>0</v>
      </c>
      <c r="J685" s="9">
        <f>I685-H685</f>
        <v>0</v>
      </c>
      <c r="K685" s="45" t="s">
        <v>196</v>
      </c>
      <c r="L685" s="47">
        <v>85000</v>
      </c>
      <c r="M685" s="47">
        <v>9500</v>
      </c>
      <c r="N685" s="47">
        <v>89000</v>
      </c>
      <c r="O685" s="47">
        <v>0</v>
      </c>
    </row>
    <row r="686" spans="1:15" x14ac:dyDescent="0.3">
      <c r="A686" s="58" t="str">
        <f t="shared" si="378"/>
        <v>Tiffany</v>
      </c>
      <c r="B686" s="59" t="s">
        <v>2</v>
      </c>
      <c r="C686" s="61">
        <v>-7259</v>
      </c>
      <c r="D686" s="61">
        <f t="shared" si="379"/>
        <v>329000</v>
      </c>
      <c r="E686" s="61">
        <f t="shared" si="380"/>
        <v>93500</v>
      </c>
      <c r="F686" s="61">
        <f t="shared" si="381"/>
        <v>226000</v>
      </c>
      <c r="G686" s="61">
        <f t="shared" ref="G686" si="386">+O686</f>
        <v>0</v>
      </c>
      <c r="H686" s="61">
        <v>2241</v>
      </c>
      <c r="I686" s="61">
        <f t="shared" ref="I686" si="387">+C686+D686-E686-F686+G686</f>
        <v>2241</v>
      </c>
      <c r="J686" s="9">
        <f t="shared" ref="J686" si="388">I686-H686</f>
        <v>0</v>
      </c>
      <c r="K686" s="45" t="s">
        <v>113</v>
      </c>
      <c r="L686" s="47">
        <v>329000</v>
      </c>
      <c r="M686" s="47">
        <v>226000</v>
      </c>
      <c r="N686" s="47">
        <v>93500</v>
      </c>
      <c r="O686" s="47">
        <v>0</v>
      </c>
    </row>
    <row r="687" spans="1:15" x14ac:dyDescent="0.3">
      <c r="A687" s="58" t="str">
        <f t="shared" ref="A687" si="389">K687</f>
        <v>Yan</v>
      </c>
      <c r="B687" s="59" t="s">
        <v>154</v>
      </c>
      <c r="C687" s="61">
        <v>0</v>
      </c>
      <c r="D687" s="61">
        <f t="shared" ref="D687" si="390">+L687</f>
        <v>349000</v>
      </c>
      <c r="E687" s="61">
        <f t="shared" ref="E687" si="391">+N687</f>
        <v>338500</v>
      </c>
      <c r="F687" s="61">
        <f t="shared" ref="F687" si="392">+M687</f>
        <v>0</v>
      </c>
      <c r="G687" s="61">
        <f t="shared" ref="G687" si="393">+O687</f>
        <v>0</v>
      </c>
      <c r="H687" s="61">
        <v>10500</v>
      </c>
      <c r="I687" s="61">
        <f>+C687+D687-E687-F687+G687</f>
        <v>10500</v>
      </c>
      <c r="J687" s="9">
        <f>I687-H687</f>
        <v>0</v>
      </c>
      <c r="K687" s="45" t="s">
        <v>212</v>
      </c>
      <c r="L687" s="47">
        <v>349000</v>
      </c>
      <c r="M687" s="47">
        <v>0</v>
      </c>
      <c r="N687" s="47">
        <v>338500</v>
      </c>
      <c r="O687" s="47">
        <v>0</v>
      </c>
    </row>
    <row r="688" spans="1:15" x14ac:dyDescent="0.3">
      <c r="A688" s="10" t="s">
        <v>50</v>
      </c>
      <c r="B688" s="11"/>
      <c r="C688" s="12">
        <f t="shared" ref="C688:I688" si="394">SUM(C672:C687)</f>
        <v>22774658</v>
      </c>
      <c r="D688" s="57">
        <f t="shared" si="394"/>
        <v>12834335</v>
      </c>
      <c r="E688" s="57">
        <f t="shared" si="394"/>
        <v>11393660</v>
      </c>
      <c r="F688" s="57">
        <f t="shared" si="394"/>
        <v>12834335</v>
      </c>
      <c r="G688" s="57">
        <f t="shared" si="394"/>
        <v>11963948</v>
      </c>
      <c r="H688" s="57">
        <f t="shared" si="394"/>
        <v>23344946</v>
      </c>
      <c r="I688" s="57">
        <f t="shared" si="394"/>
        <v>23344946</v>
      </c>
      <c r="J688" s="9">
        <f>I688-H688</f>
        <v>0</v>
      </c>
      <c r="K688" s="3"/>
      <c r="L688" s="47">
        <f>+SUM(L672:L687)</f>
        <v>12834335</v>
      </c>
      <c r="M688" s="47">
        <f>+SUM(M672:M687)</f>
        <v>12834335</v>
      </c>
      <c r="N688" s="47">
        <f>+SUM(N672:N687)</f>
        <v>11393660</v>
      </c>
      <c r="O688" s="47">
        <f>+SUM(O672:O686)</f>
        <v>11963948</v>
      </c>
    </row>
    <row r="689" spans="1:15" x14ac:dyDescent="0.3">
      <c r="A689" s="10"/>
      <c r="B689" s="11"/>
      <c r="C689" s="12"/>
      <c r="D689" s="13"/>
      <c r="E689" s="12"/>
      <c r="F689" s="13"/>
      <c r="G689" s="12"/>
      <c r="H689" s="12"/>
      <c r="I689" s="134" t="b">
        <f>I688=D691</f>
        <v>1</v>
      </c>
      <c r="L689" s="5"/>
      <c r="M689" s="5"/>
      <c r="N689" s="5"/>
      <c r="O689" s="5"/>
    </row>
    <row r="690" spans="1:15" x14ac:dyDescent="0.3">
      <c r="A690" s="10" t="s">
        <v>210</v>
      </c>
      <c r="B690" s="11" t="s">
        <v>209</v>
      </c>
      <c r="C690" s="12" t="s">
        <v>208</v>
      </c>
      <c r="D690" s="12" t="s">
        <v>215</v>
      </c>
      <c r="E690" s="12" t="s">
        <v>51</v>
      </c>
      <c r="F690" s="12"/>
      <c r="G690" s="12">
        <f>+D688-F688</f>
        <v>0</v>
      </c>
      <c r="H690" s="12"/>
      <c r="I690" s="12"/>
    </row>
    <row r="691" spans="1:15" x14ac:dyDescent="0.3">
      <c r="A691" s="14">
        <f>C688</f>
        <v>22774658</v>
      </c>
      <c r="B691" s="15">
        <f>G688</f>
        <v>11963948</v>
      </c>
      <c r="C691" s="12">
        <f>E688</f>
        <v>11393660</v>
      </c>
      <c r="D691" s="12">
        <f>A691+B691-C691</f>
        <v>23344946</v>
      </c>
      <c r="E691" s="13">
        <f>I688-D691</f>
        <v>0</v>
      </c>
      <c r="F691" s="12"/>
      <c r="G691" s="12"/>
      <c r="H691" s="12"/>
      <c r="I691" s="12"/>
    </row>
    <row r="692" spans="1:15" x14ac:dyDescent="0.3">
      <c r="A692" s="14"/>
      <c r="B692" s="15"/>
      <c r="C692" s="12"/>
      <c r="D692" s="12"/>
      <c r="E692" s="13"/>
      <c r="F692" s="12"/>
      <c r="G692" s="12"/>
      <c r="H692" s="12"/>
      <c r="I692" s="12"/>
    </row>
    <row r="693" spans="1:15" x14ac:dyDescent="0.3">
      <c r="A693" s="16" t="s">
        <v>52</v>
      </c>
      <c r="B693" s="16"/>
      <c r="C693" s="16"/>
      <c r="D693" s="17"/>
      <c r="E693" s="17"/>
      <c r="F693" s="17"/>
      <c r="G693" s="17"/>
      <c r="H693" s="17"/>
      <c r="I693" s="17"/>
    </row>
    <row r="694" spans="1:15" x14ac:dyDescent="0.3">
      <c r="A694" s="18" t="s">
        <v>216</v>
      </c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5" x14ac:dyDescent="0.3">
      <c r="A695" s="19"/>
      <c r="B695" s="17"/>
      <c r="C695" s="20"/>
      <c r="D695" s="20"/>
      <c r="E695" s="20"/>
      <c r="F695" s="20"/>
      <c r="G695" s="20"/>
      <c r="H695" s="17"/>
      <c r="I695" s="17"/>
    </row>
    <row r="696" spans="1:15" x14ac:dyDescent="0.3">
      <c r="A696" s="169" t="s">
        <v>53</v>
      </c>
      <c r="B696" s="171" t="s">
        <v>54</v>
      </c>
      <c r="C696" s="173" t="s">
        <v>211</v>
      </c>
      <c r="D696" s="174" t="s">
        <v>55</v>
      </c>
      <c r="E696" s="175"/>
      <c r="F696" s="175"/>
      <c r="G696" s="176"/>
      <c r="H696" s="177" t="s">
        <v>56</v>
      </c>
      <c r="I696" s="165" t="s">
        <v>57</v>
      </c>
      <c r="J696" s="17"/>
    </row>
    <row r="697" spans="1:15" ht="28.5" customHeight="1" x14ac:dyDescent="0.3">
      <c r="A697" s="170"/>
      <c r="B697" s="172"/>
      <c r="C697" s="22"/>
      <c r="D697" s="21" t="s">
        <v>24</v>
      </c>
      <c r="E697" s="21" t="s">
        <v>25</v>
      </c>
      <c r="F697" s="22" t="s">
        <v>123</v>
      </c>
      <c r="G697" s="21" t="s">
        <v>58</v>
      </c>
      <c r="H697" s="178"/>
      <c r="I697" s="166"/>
      <c r="J697" s="167" t="s">
        <v>214</v>
      </c>
      <c r="K697" s="143"/>
    </row>
    <row r="698" spans="1:15" x14ac:dyDescent="0.3">
      <c r="A698" s="23"/>
      <c r="B698" s="24" t="s">
        <v>59</v>
      </c>
      <c r="C698" s="25"/>
      <c r="D698" s="25"/>
      <c r="E698" s="25"/>
      <c r="F698" s="25"/>
      <c r="G698" s="25"/>
      <c r="H698" s="25"/>
      <c r="I698" s="26"/>
      <c r="J698" s="168"/>
      <c r="K698" s="143"/>
    </row>
    <row r="699" spans="1:15" x14ac:dyDescent="0.3">
      <c r="A699" s="122" t="s">
        <v>131</v>
      </c>
      <c r="B699" s="127" t="s">
        <v>47</v>
      </c>
      <c r="C699" s="32">
        <f>+C675</f>
        <v>21850</v>
      </c>
      <c r="D699" s="31"/>
      <c r="E699" s="32">
        <f>+D675</f>
        <v>1282000</v>
      </c>
      <c r="F699" s="32"/>
      <c r="G699" s="32"/>
      <c r="H699" s="55">
        <f t="shared" ref="H699:H711" si="395">+F675</f>
        <v>0</v>
      </c>
      <c r="I699" s="32">
        <f t="shared" ref="I699:I711" si="396">+E675</f>
        <v>1288100</v>
      </c>
      <c r="J699" s="30">
        <f t="shared" ref="J699:J700" si="397">+SUM(C699:G699)-(H699+I699)</f>
        <v>15750</v>
      </c>
      <c r="K699" s="144" t="b">
        <f t="shared" ref="K699:K711" si="398">J699=I675</f>
        <v>1</v>
      </c>
    </row>
    <row r="700" spans="1:15" x14ac:dyDescent="0.3">
      <c r="A700" s="122" t="str">
        <f>+A699</f>
        <v>MAI</v>
      </c>
      <c r="B700" s="127" t="s">
        <v>31</v>
      </c>
      <c r="C700" s="32">
        <f t="shared" ref="C700:C701" si="399">+C676</f>
        <v>7995</v>
      </c>
      <c r="D700" s="31"/>
      <c r="E700" s="32">
        <f t="shared" ref="E700:E701" si="400">+D676</f>
        <v>262000</v>
      </c>
      <c r="F700" s="32"/>
      <c r="G700" s="32"/>
      <c r="H700" s="55">
        <f t="shared" si="395"/>
        <v>0</v>
      </c>
      <c r="I700" s="32">
        <f t="shared" si="396"/>
        <v>261200</v>
      </c>
      <c r="J700" s="101">
        <f t="shared" si="397"/>
        <v>8795</v>
      </c>
      <c r="K700" s="144" t="b">
        <f t="shared" si="398"/>
        <v>1</v>
      </c>
    </row>
    <row r="701" spans="1:15" x14ac:dyDescent="0.3">
      <c r="A701" s="122" t="str">
        <f t="shared" ref="A701:A706" si="401">+A700</f>
        <v>MAI</v>
      </c>
      <c r="B701" s="128" t="s">
        <v>144</v>
      </c>
      <c r="C701" s="32">
        <f t="shared" si="399"/>
        <v>156335</v>
      </c>
      <c r="D701" s="119"/>
      <c r="E701" s="32">
        <f t="shared" si="400"/>
        <v>307000</v>
      </c>
      <c r="F701" s="51"/>
      <c r="G701" s="51"/>
      <c r="H701" s="55">
        <f t="shared" si="395"/>
        <v>154835</v>
      </c>
      <c r="I701" s="32">
        <f t="shared" si="396"/>
        <v>308500</v>
      </c>
      <c r="J701" s="124">
        <f>+SUM(C701:G701)-(H701+I701)</f>
        <v>0</v>
      </c>
      <c r="K701" s="144" t="b">
        <f t="shared" si="398"/>
        <v>1</v>
      </c>
    </row>
    <row r="702" spans="1:15" x14ac:dyDescent="0.3">
      <c r="A702" s="122" t="str">
        <f t="shared" si="401"/>
        <v>MAI</v>
      </c>
      <c r="B702" s="129" t="s">
        <v>84</v>
      </c>
      <c r="C702" s="120">
        <f>+C678</f>
        <v>233614</v>
      </c>
      <c r="D702" s="123"/>
      <c r="E702" s="120">
        <f>+D678</f>
        <v>0</v>
      </c>
      <c r="F702" s="137"/>
      <c r="G702" s="137"/>
      <c r="H702" s="155">
        <f t="shared" si="395"/>
        <v>0</v>
      </c>
      <c r="I702" s="120">
        <f t="shared" si="396"/>
        <v>0</v>
      </c>
      <c r="J702" s="121">
        <f>+SUM(C702:G702)-(H702+I702)</f>
        <v>233614</v>
      </c>
      <c r="K702" s="144" t="b">
        <f t="shared" si="398"/>
        <v>1</v>
      </c>
    </row>
    <row r="703" spans="1:15" x14ac:dyDescent="0.3">
      <c r="A703" s="122" t="str">
        <f t="shared" si="401"/>
        <v>MAI</v>
      </c>
      <c r="B703" s="129" t="s">
        <v>83</v>
      </c>
      <c r="C703" s="120">
        <f>+C679</f>
        <v>249769</v>
      </c>
      <c r="D703" s="123"/>
      <c r="E703" s="120">
        <f>+D679</f>
        <v>0</v>
      </c>
      <c r="F703" s="137"/>
      <c r="G703" s="137"/>
      <c r="H703" s="155">
        <f t="shared" si="395"/>
        <v>0</v>
      </c>
      <c r="I703" s="120">
        <f t="shared" si="396"/>
        <v>0</v>
      </c>
      <c r="J703" s="121">
        <f t="shared" ref="J703:J711" si="402">+SUM(C703:G703)-(H703+I703)</f>
        <v>249769</v>
      </c>
      <c r="K703" s="144" t="b">
        <f t="shared" si="398"/>
        <v>1</v>
      </c>
    </row>
    <row r="704" spans="1:15" x14ac:dyDescent="0.3">
      <c r="A704" s="122" t="str">
        <f t="shared" si="401"/>
        <v>MAI</v>
      </c>
      <c r="B704" s="127" t="s">
        <v>143</v>
      </c>
      <c r="C704" s="32">
        <f>+C680</f>
        <v>10200</v>
      </c>
      <c r="D704" s="31"/>
      <c r="E704" s="32">
        <f>+D680</f>
        <v>25000</v>
      </c>
      <c r="F704" s="32"/>
      <c r="G704" s="104"/>
      <c r="H704" s="55">
        <f t="shared" si="395"/>
        <v>0</v>
      </c>
      <c r="I704" s="32">
        <f t="shared" si="396"/>
        <v>20500</v>
      </c>
      <c r="J704" s="30">
        <f t="shared" si="402"/>
        <v>14700</v>
      </c>
      <c r="K704" s="144" t="b">
        <f t="shared" si="398"/>
        <v>1</v>
      </c>
    </row>
    <row r="705" spans="1:16" x14ac:dyDescent="0.3">
      <c r="A705" s="122" t="str">
        <f t="shared" si="401"/>
        <v>MAI</v>
      </c>
      <c r="B705" s="127" t="s">
        <v>197</v>
      </c>
      <c r="C705" s="32">
        <f t="shared" ref="C705:C708" si="403">+C681</f>
        <v>43500</v>
      </c>
      <c r="D705" s="31"/>
      <c r="E705" s="32">
        <f t="shared" ref="E705:E711" si="404">+D681</f>
        <v>701000</v>
      </c>
      <c r="F705" s="32"/>
      <c r="G705" s="104"/>
      <c r="H705" s="55">
        <f t="shared" si="395"/>
        <v>0</v>
      </c>
      <c r="I705" s="32">
        <f t="shared" si="396"/>
        <v>697550</v>
      </c>
      <c r="J705" s="30">
        <f t="shared" si="402"/>
        <v>46950</v>
      </c>
      <c r="K705" s="144" t="b">
        <f t="shared" si="398"/>
        <v>1</v>
      </c>
    </row>
    <row r="706" spans="1:16" x14ac:dyDescent="0.3">
      <c r="A706" s="122" t="str">
        <f t="shared" si="401"/>
        <v>MAI</v>
      </c>
      <c r="B706" s="127" t="s">
        <v>30</v>
      </c>
      <c r="C706" s="32">
        <f t="shared" si="403"/>
        <v>177550</v>
      </c>
      <c r="D706" s="31"/>
      <c r="E706" s="32">
        <f t="shared" si="404"/>
        <v>969000</v>
      </c>
      <c r="F706" s="32"/>
      <c r="G706" s="104"/>
      <c r="H706" s="55">
        <f t="shared" si="395"/>
        <v>220000</v>
      </c>
      <c r="I706" s="32">
        <f t="shared" si="396"/>
        <v>814500</v>
      </c>
      <c r="J706" s="30">
        <f t="shared" si="402"/>
        <v>112050</v>
      </c>
      <c r="K706" s="144" t="b">
        <f t="shared" si="398"/>
        <v>1</v>
      </c>
    </row>
    <row r="707" spans="1:16" x14ac:dyDescent="0.3">
      <c r="A707" s="122" t="str">
        <f>+A705</f>
        <v>MAI</v>
      </c>
      <c r="B707" s="127" t="s">
        <v>93</v>
      </c>
      <c r="C707" s="32">
        <f t="shared" si="403"/>
        <v>4400</v>
      </c>
      <c r="D707" s="31"/>
      <c r="E707" s="32">
        <f t="shared" si="404"/>
        <v>170000</v>
      </c>
      <c r="F707" s="32"/>
      <c r="G707" s="104"/>
      <c r="H707" s="55">
        <f t="shared" si="395"/>
        <v>10000</v>
      </c>
      <c r="I707" s="32">
        <f t="shared" si="396"/>
        <v>161500</v>
      </c>
      <c r="J707" s="30">
        <f t="shared" si="402"/>
        <v>2900</v>
      </c>
      <c r="K707" s="144" t="b">
        <f t="shared" si="398"/>
        <v>1</v>
      </c>
    </row>
    <row r="708" spans="1:16" x14ac:dyDescent="0.3">
      <c r="A708" s="122" t="str">
        <f>+A706</f>
        <v>MAI</v>
      </c>
      <c r="B708" s="127" t="s">
        <v>29</v>
      </c>
      <c r="C708" s="32">
        <f t="shared" si="403"/>
        <v>294700</v>
      </c>
      <c r="D708" s="31"/>
      <c r="E708" s="32">
        <f t="shared" si="404"/>
        <v>671000</v>
      </c>
      <c r="F708" s="32"/>
      <c r="G708" s="104"/>
      <c r="H708" s="55">
        <f t="shared" si="395"/>
        <v>300000</v>
      </c>
      <c r="I708" s="32">
        <f t="shared" si="396"/>
        <v>525000</v>
      </c>
      <c r="J708" s="30">
        <f t="shared" si="402"/>
        <v>140700</v>
      </c>
      <c r="K708" s="144" t="b">
        <f t="shared" si="398"/>
        <v>1</v>
      </c>
    </row>
    <row r="709" spans="1:16" x14ac:dyDescent="0.3">
      <c r="A709" s="122" t="str">
        <f>+A707</f>
        <v>MAI</v>
      </c>
      <c r="B709" s="127" t="s">
        <v>196</v>
      </c>
      <c r="C709" s="32">
        <f>+C685</f>
        <v>13500</v>
      </c>
      <c r="D709" s="31"/>
      <c r="E709" s="32">
        <f t="shared" si="404"/>
        <v>85000</v>
      </c>
      <c r="F709" s="32"/>
      <c r="G709" s="104"/>
      <c r="H709" s="55">
        <f t="shared" si="395"/>
        <v>9500</v>
      </c>
      <c r="I709" s="32">
        <f t="shared" si="396"/>
        <v>89000</v>
      </c>
      <c r="J709" s="30">
        <f t="shared" si="402"/>
        <v>0</v>
      </c>
      <c r="K709" s="144" t="b">
        <f t="shared" si="398"/>
        <v>1</v>
      </c>
    </row>
    <row r="710" spans="1:16" x14ac:dyDescent="0.3">
      <c r="A710" s="122" t="str">
        <f>+A707</f>
        <v>MAI</v>
      </c>
      <c r="B710" s="128" t="s">
        <v>113</v>
      </c>
      <c r="C710" s="32">
        <f t="shared" ref="C710:C711" si="405">+C686</f>
        <v>-7259</v>
      </c>
      <c r="D710" s="119"/>
      <c r="E710" s="32">
        <f t="shared" si="404"/>
        <v>329000</v>
      </c>
      <c r="F710" s="51"/>
      <c r="G710" s="138"/>
      <c r="H710" s="55">
        <f t="shared" si="395"/>
        <v>226000</v>
      </c>
      <c r="I710" s="32">
        <f t="shared" si="396"/>
        <v>93500</v>
      </c>
      <c r="J710" s="30">
        <f t="shared" si="402"/>
        <v>2241</v>
      </c>
      <c r="K710" s="144" t="b">
        <f t="shared" si="398"/>
        <v>1</v>
      </c>
    </row>
    <row r="711" spans="1:16" x14ac:dyDescent="0.3">
      <c r="A711" s="122" t="str">
        <f>+A708</f>
        <v>MAI</v>
      </c>
      <c r="B711" s="128" t="s">
        <v>212</v>
      </c>
      <c r="C711" s="32">
        <f t="shared" si="405"/>
        <v>0</v>
      </c>
      <c r="D711" s="119"/>
      <c r="E711" s="32">
        <f t="shared" si="404"/>
        <v>349000</v>
      </c>
      <c r="F711" s="51"/>
      <c r="G711" s="138"/>
      <c r="H711" s="55">
        <f t="shared" si="395"/>
        <v>0</v>
      </c>
      <c r="I711" s="32">
        <f t="shared" si="396"/>
        <v>338500</v>
      </c>
      <c r="J711" s="30">
        <f t="shared" si="402"/>
        <v>10500</v>
      </c>
      <c r="K711" s="144" t="b">
        <f t="shared" si="398"/>
        <v>1</v>
      </c>
    </row>
    <row r="712" spans="1:16" x14ac:dyDescent="0.3">
      <c r="A712" s="34" t="s">
        <v>60</v>
      </c>
      <c r="B712" s="35"/>
      <c r="C712" s="35"/>
      <c r="D712" s="35"/>
      <c r="E712" s="35"/>
      <c r="F712" s="35"/>
      <c r="G712" s="35"/>
      <c r="H712" s="35"/>
      <c r="I712" s="35"/>
      <c r="J712" s="36"/>
      <c r="K712" s="143"/>
    </row>
    <row r="713" spans="1:16" x14ac:dyDescent="0.3">
      <c r="A713" s="122" t="str">
        <f>+A711</f>
        <v>MAI</v>
      </c>
      <c r="B713" s="37" t="s">
        <v>61</v>
      </c>
      <c r="C713" s="38">
        <f>+C674</f>
        <v>963113</v>
      </c>
      <c r="D713" s="49"/>
      <c r="E713" s="49">
        <f>D674</f>
        <v>7684335</v>
      </c>
      <c r="F713" s="49"/>
      <c r="G713" s="125"/>
      <c r="H713" s="51">
        <f>+F674</f>
        <v>4914000</v>
      </c>
      <c r="I713" s="126">
        <f>+E674</f>
        <v>2033042</v>
      </c>
      <c r="J713" s="30">
        <f>+SUM(C713:G713)-(H713+I713)</f>
        <v>1700406</v>
      </c>
      <c r="K713" s="144" t="b">
        <f>J713=I674</f>
        <v>1</v>
      </c>
    </row>
    <row r="714" spans="1:16" x14ac:dyDescent="0.3">
      <c r="A714" s="43" t="s">
        <v>62</v>
      </c>
      <c r="B714" s="24"/>
      <c r="C714" s="35"/>
      <c r="D714" s="24"/>
      <c r="E714" s="24"/>
      <c r="F714" s="24"/>
      <c r="G714" s="24"/>
      <c r="H714" s="24"/>
      <c r="I714" s="24"/>
      <c r="J714" s="36"/>
      <c r="K714" s="143"/>
    </row>
    <row r="715" spans="1:16" x14ac:dyDescent="0.3">
      <c r="A715" s="122" t="str">
        <f>+A713</f>
        <v>MAI</v>
      </c>
      <c r="B715" s="37" t="s">
        <v>156</v>
      </c>
      <c r="C715" s="125">
        <f>+C672</f>
        <v>4154435</v>
      </c>
      <c r="D715" s="132">
        <f>+G672</f>
        <v>11963948</v>
      </c>
      <c r="E715" s="49"/>
      <c r="F715" s="49"/>
      <c r="G715" s="49"/>
      <c r="H715" s="51">
        <f>+F672</f>
        <v>7000000</v>
      </c>
      <c r="I715" s="53">
        <f>+E672</f>
        <v>543345</v>
      </c>
      <c r="J715" s="30">
        <f>+SUM(C715:G715)-(H715+I715)</f>
        <v>8575038</v>
      </c>
      <c r="K715" s="144" t="b">
        <f>+J715=I672</f>
        <v>1</v>
      </c>
    </row>
    <row r="716" spans="1:16" x14ac:dyDescent="0.3">
      <c r="A716" s="122" t="str">
        <f t="shared" ref="A716" si="406">+A715</f>
        <v>MAI</v>
      </c>
      <c r="B716" s="37" t="s">
        <v>64</v>
      </c>
      <c r="C716" s="125">
        <f>+C673</f>
        <v>16450956</v>
      </c>
      <c r="D716" s="49">
        <f>+G673</f>
        <v>0</v>
      </c>
      <c r="E716" s="48"/>
      <c r="F716" s="48"/>
      <c r="G716" s="48"/>
      <c r="H716" s="32">
        <f>+F673</f>
        <v>0</v>
      </c>
      <c r="I716" s="50">
        <f>+E673</f>
        <v>4219423</v>
      </c>
      <c r="J716" s="30">
        <f>SUM(C716:G716)-(H716+I716)</f>
        <v>12231533</v>
      </c>
      <c r="K716" s="144" t="b">
        <f>+J716=I673</f>
        <v>1</v>
      </c>
    </row>
    <row r="717" spans="1:16" ht="15.6" x14ac:dyDescent="0.3">
      <c r="C717" s="141">
        <f>SUM(C699:C716)</f>
        <v>22774658</v>
      </c>
      <c r="I717" s="140">
        <f>SUM(I699:I716)</f>
        <v>11393660</v>
      </c>
      <c r="J717" s="105">
        <f>+SUM(J699:J716)</f>
        <v>23344946</v>
      </c>
      <c r="K717" s="5" t="b">
        <f>J717=I688</f>
        <v>1</v>
      </c>
    </row>
    <row r="718" spans="1:16" ht="15.6" x14ac:dyDescent="0.3">
      <c r="A718" s="160"/>
      <c r="B718" s="160"/>
      <c r="C718" s="161"/>
      <c r="D718" s="160"/>
      <c r="E718" s="160"/>
      <c r="F718" s="160"/>
      <c r="G718" s="160"/>
      <c r="H718" s="160"/>
      <c r="I718" s="162"/>
      <c r="J718" s="163"/>
      <c r="K718" s="160"/>
      <c r="L718" s="164"/>
      <c r="M718" s="164"/>
      <c r="N718" s="164"/>
      <c r="O718" s="164"/>
      <c r="P718" s="160"/>
    </row>
    <row r="720" spans="1:16" ht="15.6" x14ac:dyDescent="0.3">
      <c r="A720" s="6" t="s">
        <v>36</v>
      </c>
      <c r="B720" s="6" t="s">
        <v>1</v>
      </c>
      <c r="C720" s="6">
        <v>44652</v>
      </c>
      <c r="D720" s="7" t="s">
        <v>37</v>
      </c>
      <c r="E720" s="7" t="s">
        <v>38</v>
      </c>
      <c r="F720" s="7" t="s">
        <v>39</v>
      </c>
      <c r="G720" s="7" t="s">
        <v>40</v>
      </c>
      <c r="H720" s="6">
        <v>44681</v>
      </c>
      <c r="I720" s="7" t="s">
        <v>41</v>
      </c>
      <c r="K720" s="45"/>
      <c r="L720" s="45" t="s">
        <v>42</v>
      </c>
      <c r="M720" s="45" t="s">
        <v>43</v>
      </c>
      <c r="N720" s="45" t="s">
        <v>44</v>
      </c>
      <c r="O720" s="45" t="s">
        <v>45</v>
      </c>
    </row>
    <row r="721" spans="1:15" x14ac:dyDescent="0.3">
      <c r="A721" s="58" t="str">
        <f>K721</f>
        <v>BCI</v>
      </c>
      <c r="B721" s="59" t="s">
        <v>46</v>
      </c>
      <c r="C721" s="61">
        <v>9177780</v>
      </c>
      <c r="D721" s="61">
        <f>+L721</f>
        <v>0</v>
      </c>
      <c r="E721" s="61">
        <f>+N721</f>
        <v>23345</v>
      </c>
      <c r="F721" s="61">
        <f>+M721</f>
        <v>5000000</v>
      </c>
      <c r="G721" s="61">
        <f t="shared" ref="G721:G732" si="407">+O721</f>
        <v>0</v>
      </c>
      <c r="H721" s="61">
        <v>4154435</v>
      </c>
      <c r="I721" s="61">
        <f>+C721+D721-E721-F721+G721</f>
        <v>4154435</v>
      </c>
      <c r="J721" s="9">
        <f>I721-H721</f>
        <v>0</v>
      </c>
      <c r="K721" s="45" t="s">
        <v>24</v>
      </c>
      <c r="L721" s="47">
        <v>0</v>
      </c>
      <c r="M721" s="47">
        <v>5000000</v>
      </c>
      <c r="N721" s="47">
        <v>23345</v>
      </c>
      <c r="O721" s="47">
        <v>0</v>
      </c>
    </row>
    <row r="722" spans="1:15" x14ac:dyDescent="0.3">
      <c r="A722" s="58" t="str">
        <f t="shared" ref="A722:A735" si="408">K722</f>
        <v>BCI-Sous Compte</v>
      </c>
      <c r="B722" s="59" t="s">
        <v>46</v>
      </c>
      <c r="C722" s="61">
        <v>21521261</v>
      </c>
      <c r="D722" s="61">
        <f t="shared" ref="D722:D735" si="409">+L722</f>
        <v>0</v>
      </c>
      <c r="E722" s="61">
        <f t="shared" ref="E722:E735" si="410">+N722</f>
        <v>5070305</v>
      </c>
      <c r="F722" s="61">
        <f t="shared" ref="F722:F735" si="411">+M722</f>
        <v>0</v>
      </c>
      <c r="G722" s="61">
        <f t="shared" si="407"/>
        <v>0</v>
      </c>
      <c r="H722" s="61">
        <v>16450956</v>
      </c>
      <c r="I722" s="61">
        <f>+C722+D722-E722-F722+G722</f>
        <v>16450956</v>
      </c>
      <c r="J722" s="9">
        <f t="shared" ref="J722:J729" si="412">I722-H722</f>
        <v>0</v>
      </c>
      <c r="K722" s="45" t="s">
        <v>148</v>
      </c>
      <c r="L722" s="47">
        <v>0</v>
      </c>
      <c r="M722" s="47">
        <v>0</v>
      </c>
      <c r="N722" s="47">
        <v>5070305</v>
      </c>
      <c r="O722" s="47">
        <v>0</v>
      </c>
    </row>
    <row r="723" spans="1:15" x14ac:dyDescent="0.3">
      <c r="A723" s="58" t="str">
        <f t="shared" si="408"/>
        <v>Caisse</v>
      </c>
      <c r="B723" s="59" t="s">
        <v>25</v>
      </c>
      <c r="C723" s="61">
        <v>1160022</v>
      </c>
      <c r="D723" s="61">
        <f t="shared" si="409"/>
        <v>5100000</v>
      </c>
      <c r="E723" s="61">
        <f t="shared" si="410"/>
        <v>1822909</v>
      </c>
      <c r="F723" s="61">
        <f t="shared" si="411"/>
        <v>3474000</v>
      </c>
      <c r="G723" s="61">
        <f t="shared" si="407"/>
        <v>0</v>
      </c>
      <c r="H723" s="61">
        <v>963113</v>
      </c>
      <c r="I723" s="61">
        <f>+C723+D723-E723-F723+G723</f>
        <v>963113</v>
      </c>
      <c r="J723" s="102">
        <f t="shared" si="412"/>
        <v>0</v>
      </c>
      <c r="K723" s="45" t="s">
        <v>25</v>
      </c>
      <c r="L723" s="47">
        <v>5100000</v>
      </c>
      <c r="M723" s="47">
        <v>3474000</v>
      </c>
      <c r="N723" s="47">
        <v>1822909</v>
      </c>
      <c r="O723" s="47">
        <v>0</v>
      </c>
    </row>
    <row r="724" spans="1:15" x14ac:dyDescent="0.3">
      <c r="A724" s="58" t="str">
        <f t="shared" si="408"/>
        <v>Crépin</v>
      </c>
      <c r="B724" s="59" t="s">
        <v>154</v>
      </c>
      <c r="C724" s="61">
        <v>22050</v>
      </c>
      <c r="D724" s="61">
        <f t="shared" si="409"/>
        <v>462000</v>
      </c>
      <c r="E724" s="61">
        <f t="shared" si="410"/>
        <v>462200</v>
      </c>
      <c r="F724" s="61">
        <f t="shared" si="411"/>
        <v>0</v>
      </c>
      <c r="G724" s="61">
        <f t="shared" si="407"/>
        <v>0</v>
      </c>
      <c r="H724" s="61">
        <v>21850</v>
      </c>
      <c r="I724" s="61">
        <f>+C724+D724-E724-F724+G724</f>
        <v>21850</v>
      </c>
      <c r="J724" s="9">
        <f t="shared" si="412"/>
        <v>0</v>
      </c>
      <c r="K724" s="45" t="s">
        <v>47</v>
      </c>
      <c r="L724" s="47">
        <v>462000</v>
      </c>
      <c r="M724" s="47">
        <v>0</v>
      </c>
      <c r="N724" s="47">
        <v>462200</v>
      </c>
      <c r="O724" s="47">
        <v>0</v>
      </c>
    </row>
    <row r="725" spans="1:15" x14ac:dyDescent="0.3">
      <c r="A725" s="58" t="str">
        <f t="shared" si="408"/>
        <v>Evariste</v>
      </c>
      <c r="B725" s="59" t="s">
        <v>155</v>
      </c>
      <c r="C725" s="61">
        <v>13995</v>
      </c>
      <c r="D725" s="61">
        <f t="shared" si="409"/>
        <v>30000</v>
      </c>
      <c r="E725" s="61">
        <f t="shared" si="410"/>
        <v>36000</v>
      </c>
      <c r="F725" s="61">
        <f t="shared" si="411"/>
        <v>0</v>
      </c>
      <c r="G725" s="61">
        <f t="shared" si="407"/>
        <v>0</v>
      </c>
      <c r="H725" s="61">
        <v>7995</v>
      </c>
      <c r="I725" s="61">
        <f t="shared" ref="I725" si="413">+C725+D725-E725-F725+G725</f>
        <v>7995</v>
      </c>
      <c r="J725" s="9">
        <f t="shared" si="412"/>
        <v>0</v>
      </c>
      <c r="K725" s="45" t="s">
        <v>31</v>
      </c>
      <c r="L725" s="47">
        <v>30000</v>
      </c>
      <c r="M725" s="47">
        <v>0</v>
      </c>
      <c r="N725" s="47">
        <v>36000</v>
      </c>
      <c r="O725" s="47">
        <v>0</v>
      </c>
    </row>
    <row r="726" spans="1:15" x14ac:dyDescent="0.3">
      <c r="A726" s="58" t="str">
        <f t="shared" si="408"/>
        <v>Godfré</v>
      </c>
      <c r="B726" s="59" t="s">
        <v>154</v>
      </c>
      <c r="C726" s="61">
        <v>36485</v>
      </c>
      <c r="D726" s="61">
        <f t="shared" si="409"/>
        <v>486000</v>
      </c>
      <c r="E726" s="61">
        <f t="shared" si="410"/>
        <v>366150</v>
      </c>
      <c r="F726" s="61">
        <f t="shared" si="411"/>
        <v>0</v>
      </c>
      <c r="G726" s="61">
        <f t="shared" si="407"/>
        <v>0</v>
      </c>
      <c r="H726" s="61">
        <v>156335</v>
      </c>
      <c r="I726" s="61">
        <f>+C726+D726-E726-F726+G726</f>
        <v>156335</v>
      </c>
      <c r="J726" s="9">
        <f t="shared" si="412"/>
        <v>0</v>
      </c>
      <c r="K726" s="45" t="s">
        <v>144</v>
      </c>
      <c r="L726" s="47">
        <v>486000</v>
      </c>
      <c r="M726" s="47">
        <v>0</v>
      </c>
      <c r="N726" s="47">
        <v>366150</v>
      </c>
      <c r="O726" s="47">
        <v>0</v>
      </c>
    </row>
    <row r="727" spans="1:15" x14ac:dyDescent="0.3">
      <c r="A727" s="58" t="str">
        <f t="shared" si="408"/>
        <v>I55S</v>
      </c>
      <c r="B727" s="116" t="s">
        <v>4</v>
      </c>
      <c r="C727" s="118">
        <v>233614</v>
      </c>
      <c r="D727" s="118">
        <f t="shared" si="409"/>
        <v>0</v>
      </c>
      <c r="E727" s="118">
        <f t="shared" si="410"/>
        <v>0</v>
      </c>
      <c r="F727" s="118">
        <f t="shared" si="411"/>
        <v>0</v>
      </c>
      <c r="G727" s="118">
        <f t="shared" si="407"/>
        <v>0</v>
      </c>
      <c r="H727" s="118">
        <v>233614</v>
      </c>
      <c r="I727" s="118">
        <f>+C727+D727-E727-F727+G727</f>
        <v>233614</v>
      </c>
      <c r="J727" s="9">
        <f t="shared" si="412"/>
        <v>0</v>
      </c>
      <c r="K727" s="45" t="s">
        <v>84</v>
      </c>
      <c r="L727" s="47">
        <v>0</v>
      </c>
      <c r="M727" s="47">
        <v>0</v>
      </c>
      <c r="N727" s="47">
        <v>0</v>
      </c>
      <c r="O727" s="47">
        <v>0</v>
      </c>
    </row>
    <row r="728" spans="1:15" x14ac:dyDescent="0.3">
      <c r="A728" s="58" t="str">
        <f t="shared" si="408"/>
        <v>I73X</v>
      </c>
      <c r="B728" s="116" t="s">
        <v>4</v>
      </c>
      <c r="C728" s="118">
        <v>249769</v>
      </c>
      <c r="D728" s="118">
        <f t="shared" si="409"/>
        <v>0</v>
      </c>
      <c r="E728" s="118">
        <f t="shared" si="410"/>
        <v>0</v>
      </c>
      <c r="F728" s="118">
        <f t="shared" si="411"/>
        <v>0</v>
      </c>
      <c r="G728" s="118">
        <f t="shared" si="407"/>
        <v>0</v>
      </c>
      <c r="H728" s="118">
        <v>249769</v>
      </c>
      <c r="I728" s="118">
        <f t="shared" ref="I728:I731" si="414">+C728+D728-E728-F728+G728</f>
        <v>249769</v>
      </c>
      <c r="J728" s="9">
        <f t="shared" si="412"/>
        <v>0</v>
      </c>
      <c r="K728" s="45" t="s">
        <v>83</v>
      </c>
      <c r="L728" s="47">
        <v>0</v>
      </c>
      <c r="M728" s="47">
        <v>0</v>
      </c>
      <c r="N728" s="47">
        <v>0</v>
      </c>
      <c r="O728" s="47">
        <v>0</v>
      </c>
    </row>
    <row r="729" spans="1:15" x14ac:dyDescent="0.3">
      <c r="A729" s="58" t="str">
        <f t="shared" si="408"/>
        <v>Grace</v>
      </c>
      <c r="B729" s="98" t="s">
        <v>2</v>
      </c>
      <c r="C729" s="61">
        <v>10700</v>
      </c>
      <c r="D729" s="61">
        <f t="shared" si="409"/>
        <v>10000</v>
      </c>
      <c r="E729" s="61">
        <f t="shared" si="410"/>
        <v>10500</v>
      </c>
      <c r="F729" s="61">
        <f t="shared" si="411"/>
        <v>0</v>
      </c>
      <c r="G729" s="61">
        <f t="shared" si="407"/>
        <v>0</v>
      </c>
      <c r="H729" s="61">
        <v>10200</v>
      </c>
      <c r="I729" s="61">
        <f t="shared" si="414"/>
        <v>10200</v>
      </c>
      <c r="J729" s="9">
        <f t="shared" si="412"/>
        <v>0</v>
      </c>
      <c r="K729" s="45" t="s">
        <v>143</v>
      </c>
      <c r="L729" s="47">
        <v>10000</v>
      </c>
      <c r="M729" s="47">
        <v>0</v>
      </c>
      <c r="N729" s="47">
        <v>10500</v>
      </c>
      <c r="O729" s="47">
        <v>0</v>
      </c>
    </row>
    <row r="730" spans="1:15" x14ac:dyDescent="0.3">
      <c r="A730" s="58" t="str">
        <f t="shared" si="408"/>
        <v>Hurielle</v>
      </c>
      <c r="B730" s="59" t="s">
        <v>154</v>
      </c>
      <c r="C730" s="61">
        <v>52000</v>
      </c>
      <c r="D730" s="61">
        <f t="shared" si="409"/>
        <v>113000</v>
      </c>
      <c r="E730" s="61">
        <f t="shared" si="410"/>
        <v>121500</v>
      </c>
      <c r="F730" s="61">
        <f t="shared" si="411"/>
        <v>0</v>
      </c>
      <c r="G730" s="61">
        <f t="shared" si="407"/>
        <v>0</v>
      </c>
      <c r="H730" s="61">
        <v>43500</v>
      </c>
      <c r="I730" s="61">
        <f t="shared" si="414"/>
        <v>43500</v>
      </c>
      <c r="J730" s="9">
        <f>I730-H730</f>
        <v>0</v>
      </c>
      <c r="K730" s="45" t="s">
        <v>197</v>
      </c>
      <c r="L730" s="47">
        <v>113000</v>
      </c>
      <c r="M730" s="47">
        <v>0</v>
      </c>
      <c r="N730" s="47">
        <v>121500</v>
      </c>
      <c r="O730" s="47">
        <v>0</v>
      </c>
    </row>
    <row r="731" spans="1:15" x14ac:dyDescent="0.3">
      <c r="A731" s="58" t="str">
        <f t="shared" si="408"/>
        <v>I23C</v>
      </c>
      <c r="B731" s="98" t="s">
        <v>4</v>
      </c>
      <c r="C731" s="61">
        <v>116050</v>
      </c>
      <c r="D731" s="61">
        <f t="shared" si="409"/>
        <v>599000</v>
      </c>
      <c r="E731" s="61">
        <f t="shared" si="410"/>
        <v>537500</v>
      </c>
      <c r="F731" s="61">
        <f t="shared" si="411"/>
        <v>0</v>
      </c>
      <c r="G731" s="61">
        <f t="shared" si="407"/>
        <v>0</v>
      </c>
      <c r="H731" s="61">
        <v>177550</v>
      </c>
      <c r="I731" s="61">
        <f t="shared" si="414"/>
        <v>177550</v>
      </c>
      <c r="J731" s="9">
        <f t="shared" ref="J731:J732" si="415">I731-H731</f>
        <v>0</v>
      </c>
      <c r="K731" s="45" t="s">
        <v>30</v>
      </c>
      <c r="L731" s="47">
        <v>599000</v>
      </c>
      <c r="M731" s="47">
        <v>0</v>
      </c>
      <c r="N731" s="47">
        <v>537500</v>
      </c>
      <c r="O731" s="47">
        <v>0</v>
      </c>
    </row>
    <row r="732" spans="1:15" x14ac:dyDescent="0.3">
      <c r="A732" s="58" t="str">
        <f t="shared" si="408"/>
        <v>Merveille</v>
      </c>
      <c r="B732" s="59" t="s">
        <v>2</v>
      </c>
      <c r="C732" s="61">
        <v>4400</v>
      </c>
      <c r="D732" s="61">
        <f t="shared" si="409"/>
        <v>20000</v>
      </c>
      <c r="E732" s="61">
        <f t="shared" si="410"/>
        <v>20000</v>
      </c>
      <c r="F732" s="61">
        <f t="shared" si="411"/>
        <v>0</v>
      </c>
      <c r="G732" s="61">
        <f t="shared" si="407"/>
        <v>0</v>
      </c>
      <c r="H732" s="61">
        <v>4400</v>
      </c>
      <c r="I732" s="61">
        <f>+C732+D732-E732-F732+G732</f>
        <v>4400</v>
      </c>
      <c r="J732" s="9">
        <f t="shared" si="415"/>
        <v>0</v>
      </c>
      <c r="K732" s="45" t="s">
        <v>93</v>
      </c>
      <c r="L732" s="47">
        <v>20000</v>
      </c>
      <c r="M732" s="47">
        <v>0</v>
      </c>
      <c r="N732" s="47">
        <v>20000</v>
      </c>
      <c r="O732" s="47">
        <v>0</v>
      </c>
    </row>
    <row r="733" spans="1:15" x14ac:dyDescent="0.3">
      <c r="A733" s="58" t="str">
        <f t="shared" si="408"/>
        <v>P29</v>
      </c>
      <c r="B733" s="59" t="s">
        <v>4</v>
      </c>
      <c r="C733" s="61">
        <v>16200</v>
      </c>
      <c r="D733" s="61">
        <f t="shared" si="409"/>
        <v>874000</v>
      </c>
      <c r="E733" s="61">
        <f t="shared" si="410"/>
        <v>495500</v>
      </c>
      <c r="F733" s="61">
        <f t="shared" si="411"/>
        <v>100000</v>
      </c>
      <c r="G733" s="61">
        <f>+O733</f>
        <v>0</v>
      </c>
      <c r="H733" s="61">
        <v>294700</v>
      </c>
      <c r="I733" s="61">
        <f>+C733+D733-E733-F733+G733</f>
        <v>294700</v>
      </c>
      <c r="J733" s="9">
        <f>I733-H733</f>
        <v>0</v>
      </c>
      <c r="K733" s="45" t="s">
        <v>29</v>
      </c>
      <c r="L733" s="47">
        <v>874000</v>
      </c>
      <c r="M733" s="47">
        <v>100000</v>
      </c>
      <c r="N733" s="47">
        <v>495500</v>
      </c>
      <c r="O733" s="47">
        <v>0</v>
      </c>
    </row>
    <row r="734" spans="1:15" x14ac:dyDescent="0.3">
      <c r="A734" s="58" t="str">
        <f t="shared" si="408"/>
        <v>Paule</v>
      </c>
      <c r="B734" s="59" t="s">
        <v>154</v>
      </c>
      <c r="C734" s="61">
        <v>6000</v>
      </c>
      <c r="D734" s="61">
        <f t="shared" si="409"/>
        <v>80000</v>
      </c>
      <c r="E734" s="61">
        <f t="shared" si="410"/>
        <v>72500</v>
      </c>
      <c r="F734" s="61">
        <f t="shared" si="411"/>
        <v>0</v>
      </c>
      <c r="G734" s="61">
        <f>+O734</f>
        <v>0</v>
      </c>
      <c r="H734" s="61">
        <v>13500</v>
      </c>
      <c r="I734" s="61">
        <f>+C734+D734-E734-F734+G734</f>
        <v>13500</v>
      </c>
      <c r="J734" s="9">
        <f>I734-H734</f>
        <v>0</v>
      </c>
      <c r="K734" s="45" t="s">
        <v>196</v>
      </c>
      <c r="L734" s="47">
        <v>80000</v>
      </c>
      <c r="M734" s="47">
        <v>0</v>
      </c>
      <c r="N734" s="47">
        <v>72500</v>
      </c>
      <c r="O734" s="47">
        <v>0</v>
      </c>
    </row>
    <row r="735" spans="1:15" x14ac:dyDescent="0.3">
      <c r="A735" s="58" t="str">
        <f t="shared" si="408"/>
        <v>Tiffany</v>
      </c>
      <c r="B735" s="59" t="s">
        <v>2</v>
      </c>
      <c r="C735" s="61">
        <v>-790759</v>
      </c>
      <c r="D735" s="61">
        <f t="shared" si="409"/>
        <v>800000</v>
      </c>
      <c r="E735" s="61">
        <f t="shared" si="410"/>
        <v>16500</v>
      </c>
      <c r="F735" s="61">
        <f t="shared" si="411"/>
        <v>0</v>
      </c>
      <c r="G735" s="61">
        <f t="shared" ref="G735" si="416">+O735</f>
        <v>0</v>
      </c>
      <c r="H735" s="61">
        <v>-7259</v>
      </c>
      <c r="I735" s="61">
        <f t="shared" ref="I735" si="417">+C735+D735-E735-F735+G735</f>
        <v>-7259</v>
      </c>
      <c r="J735" s="9">
        <f t="shared" ref="J735" si="418">I735-H735</f>
        <v>0</v>
      </c>
      <c r="K735" s="45" t="s">
        <v>113</v>
      </c>
      <c r="L735" s="47">
        <v>800000</v>
      </c>
      <c r="M735" s="47">
        <v>0</v>
      </c>
      <c r="N735" s="47">
        <v>16500</v>
      </c>
      <c r="O735" s="47">
        <v>0</v>
      </c>
    </row>
    <row r="736" spans="1:15" x14ac:dyDescent="0.3">
      <c r="A736" s="10" t="s">
        <v>50</v>
      </c>
      <c r="B736" s="11"/>
      <c r="C736" s="12">
        <f t="shared" ref="C736:I736" si="419">SUM(C721:C735)</f>
        <v>31829567</v>
      </c>
      <c r="D736" s="57">
        <f t="shared" si="419"/>
        <v>8574000</v>
      </c>
      <c r="E736" s="57">
        <f t="shared" si="419"/>
        <v>9054909</v>
      </c>
      <c r="F736" s="57">
        <f t="shared" si="419"/>
        <v>8574000</v>
      </c>
      <c r="G736" s="57">
        <f t="shared" si="419"/>
        <v>0</v>
      </c>
      <c r="H736" s="57">
        <f t="shared" si="419"/>
        <v>22774658</v>
      </c>
      <c r="I736" s="57">
        <f t="shared" si="419"/>
        <v>22774658</v>
      </c>
      <c r="J736" s="9">
        <f>I736-H736</f>
        <v>0</v>
      </c>
      <c r="K736" s="3"/>
      <c r="L736" s="47">
        <f>+SUM(L721:L735)</f>
        <v>8574000</v>
      </c>
      <c r="M736" s="47">
        <f>+SUM(M721:M735)</f>
        <v>8574000</v>
      </c>
      <c r="N736" s="47">
        <f>+SUM(N721:N735)</f>
        <v>9054909</v>
      </c>
      <c r="O736" s="47">
        <f>+SUM(O721:O735)</f>
        <v>0</v>
      </c>
    </row>
    <row r="737" spans="1:15" x14ac:dyDescent="0.3">
      <c r="A737" s="10"/>
      <c r="B737" s="11"/>
      <c r="C737" s="12"/>
      <c r="D737" s="13"/>
      <c r="E737" s="12"/>
      <c r="F737" s="13"/>
      <c r="G737" s="12"/>
      <c r="H737" s="12"/>
      <c r="I737" s="134" t="b">
        <f>I736=D739</f>
        <v>1</v>
      </c>
      <c r="L737" s="5"/>
      <c r="M737" s="5"/>
      <c r="N737" s="5"/>
      <c r="O737" s="5"/>
    </row>
    <row r="738" spans="1:15" x14ac:dyDescent="0.3">
      <c r="A738" s="10" t="s">
        <v>201</v>
      </c>
      <c r="B738" s="11" t="s">
        <v>202</v>
      </c>
      <c r="C738" s="12" t="s">
        <v>203</v>
      </c>
      <c r="D738" s="12" t="s">
        <v>204</v>
      </c>
      <c r="E738" s="12" t="s">
        <v>51</v>
      </c>
      <c r="F738" s="12"/>
      <c r="G738" s="12">
        <f>+D736-F736</f>
        <v>0</v>
      </c>
      <c r="H738" s="12"/>
      <c r="I738" s="12"/>
    </row>
    <row r="739" spans="1:15" x14ac:dyDescent="0.3">
      <c r="A739" s="14">
        <f>C736</f>
        <v>31829567</v>
      </c>
      <c r="B739" s="15">
        <f>G736</f>
        <v>0</v>
      </c>
      <c r="C739" s="12">
        <f>E736</f>
        <v>9054909</v>
      </c>
      <c r="D739" s="12">
        <f>A739+B739-C739</f>
        <v>22774658</v>
      </c>
      <c r="E739" s="13">
        <f>I736-D739</f>
        <v>0</v>
      </c>
      <c r="F739" s="12"/>
      <c r="G739" s="12"/>
      <c r="H739" s="12"/>
      <c r="I739" s="12"/>
    </row>
    <row r="740" spans="1:15" x14ac:dyDescent="0.3">
      <c r="A740" s="14"/>
      <c r="B740" s="15"/>
      <c r="C740" s="12"/>
      <c r="D740" s="12"/>
      <c r="E740" s="13"/>
      <c r="F740" s="12"/>
      <c r="G740" s="12"/>
      <c r="H740" s="12"/>
      <c r="I740" s="12"/>
    </row>
    <row r="741" spans="1:15" x14ac:dyDescent="0.3">
      <c r="A741" s="16" t="s">
        <v>52</v>
      </c>
      <c r="B741" s="16"/>
      <c r="C741" s="16"/>
      <c r="D741" s="17"/>
      <c r="E741" s="17"/>
      <c r="F741" s="17"/>
      <c r="G741" s="17"/>
      <c r="H741" s="17"/>
      <c r="I741" s="17"/>
    </row>
    <row r="742" spans="1:15" x14ac:dyDescent="0.3">
      <c r="A742" s="18" t="s">
        <v>205</v>
      </c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5" x14ac:dyDescent="0.3">
      <c r="A743" s="19"/>
      <c r="B743" s="17"/>
      <c r="C743" s="20"/>
      <c r="D743" s="20"/>
      <c r="E743" s="20"/>
      <c r="F743" s="20"/>
      <c r="G743" s="20"/>
      <c r="H743" s="17"/>
      <c r="I743" s="17"/>
    </row>
    <row r="744" spans="1:15" x14ac:dyDescent="0.3">
      <c r="A744" s="169" t="s">
        <v>53</v>
      </c>
      <c r="B744" s="171" t="s">
        <v>54</v>
      </c>
      <c r="C744" s="173" t="s">
        <v>206</v>
      </c>
      <c r="D744" s="174" t="s">
        <v>55</v>
      </c>
      <c r="E744" s="175"/>
      <c r="F744" s="175"/>
      <c r="G744" s="176"/>
      <c r="H744" s="177" t="s">
        <v>56</v>
      </c>
      <c r="I744" s="165" t="s">
        <v>57</v>
      </c>
      <c r="J744" s="17"/>
    </row>
    <row r="745" spans="1:15" ht="28.5" customHeight="1" x14ac:dyDescent="0.3">
      <c r="A745" s="170"/>
      <c r="B745" s="172"/>
      <c r="C745" s="22"/>
      <c r="D745" s="21" t="s">
        <v>24</v>
      </c>
      <c r="E745" s="21" t="s">
        <v>25</v>
      </c>
      <c r="F745" s="22" t="s">
        <v>123</v>
      </c>
      <c r="G745" s="21" t="s">
        <v>58</v>
      </c>
      <c r="H745" s="178"/>
      <c r="I745" s="166"/>
      <c r="J745" s="167" t="s">
        <v>207</v>
      </c>
      <c r="K745" s="143"/>
    </row>
    <row r="746" spans="1:15" x14ac:dyDescent="0.3">
      <c r="A746" s="23"/>
      <c r="B746" s="24" t="s">
        <v>59</v>
      </c>
      <c r="C746" s="25"/>
      <c r="D746" s="25"/>
      <c r="E746" s="25"/>
      <c r="F746" s="25"/>
      <c r="G746" s="25"/>
      <c r="H746" s="25"/>
      <c r="I746" s="26"/>
      <c r="J746" s="168"/>
      <c r="K746" s="143"/>
    </row>
    <row r="747" spans="1:15" x14ac:dyDescent="0.3">
      <c r="A747" s="122" t="s">
        <v>127</v>
      </c>
      <c r="B747" s="127" t="s">
        <v>47</v>
      </c>
      <c r="C747" s="32">
        <f>+C724</f>
        <v>22050</v>
      </c>
      <c r="D747" s="31"/>
      <c r="E747" s="32">
        <f>+D724</f>
        <v>462000</v>
      </c>
      <c r="F747" s="32"/>
      <c r="G747" s="32"/>
      <c r="H747" s="55">
        <f t="shared" ref="H747:H758" si="420">+F724</f>
        <v>0</v>
      </c>
      <c r="I747" s="32">
        <f t="shared" ref="I747:I758" si="421">+E724</f>
        <v>462200</v>
      </c>
      <c r="J747" s="30">
        <f t="shared" ref="J747:J748" si="422">+SUM(C747:G747)-(H747+I747)</f>
        <v>21850</v>
      </c>
      <c r="K747" s="144" t="b">
        <f t="shared" ref="K747:K758" si="423">J747=I724</f>
        <v>1</v>
      </c>
    </row>
    <row r="748" spans="1:15" x14ac:dyDescent="0.3">
      <c r="A748" s="122" t="str">
        <f>+A747</f>
        <v>AVRIL</v>
      </c>
      <c r="B748" s="127" t="s">
        <v>31</v>
      </c>
      <c r="C748" s="32">
        <f t="shared" ref="C748:C749" si="424">+C725</f>
        <v>13995</v>
      </c>
      <c r="D748" s="31"/>
      <c r="E748" s="32">
        <f t="shared" ref="E748:E749" si="425">+D725</f>
        <v>30000</v>
      </c>
      <c r="F748" s="32"/>
      <c r="G748" s="32"/>
      <c r="H748" s="55">
        <f t="shared" si="420"/>
        <v>0</v>
      </c>
      <c r="I748" s="32">
        <f t="shared" si="421"/>
        <v>36000</v>
      </c>
      <c r="J748" s="101">
        <f t="shared" si="422"/>
        <v>7995</v>
      </c>
      <c r="K748" s="144" t="b">
        <f t="shared" si="423"/>
        <v>1</v>
      </c>
    </row>
    <row r="749" spans="1:15" x14ac:dyDescent="0.3">
      <c r="A749" s="122" t="str">
        <f t="shared" ref="A749:A754" si="426">+A748</f>
        <v>AVRIL</v>
      </c>
      <c r="B749" s="128" t="s">
        <v>144</v>
      </c>
      <c r="C749" s="32">
        <f t="shared" si="424"/>
        <v>36485</v>
      </c>
      <c r="D749" s="119"/>
      <c r="E749" s="32">
        <f t="shared" si="425"/>
        <v>486000</v>
      </c>
      <c r="F749" s="51"/>
      <c r="G749" s="51"/>
      <c r="H749" s="55">
        <f t="shared" si="420"/>
        <v>0</v>
      </c>
      <c r="I749" s="32">
        <f t="shared" si="421"/>
        <v>366150</v>
      </c>
      <c r="J749" s="124">
        <f>+SUM(C749:G749)-(H749+I749)</f>
        <v>156335</v>
      </c>
      <c r="K749" s="144" t="b">
        <f t="shared" si="423"/>
        <v>1</v>
      </c>
    </row>
    <row r="750" spans="1:15" x14ac:dyDescent="0.3">
      <c r="A750" s="122" t="str">
        <f t="shared" si="426"/>
        <v>AVRIL</v>
      </c>
      <c r="B750" s="129" t="s">
        <v>84</v>
      </c>
      <c r="C750" s="120">
        <f>+C727</f>
        <v>233614</v>
      </c>
      <c r="D750" s="123"/>
      <c r="E750" s="120">
        <f>+D727</f>
        <v>0</v>
      </c>
      <c r="F750" s="137"/>
      <c r="G750" s="137"/>
      <c r="H750" s="155">
        <f t="shared" si="420"/>
        <v>0</v>
      </c>
      <c r="I750" s="120">
        <f t="shared" si="421"/>
        <v>0</v>
      </c>
      <c r="J750" s="121">
        <f>+SUM(C750:G750)-(H750+I750)</f>
        <v>233614</v>
      </c>
      <c r="K750" s="144" t="b">
        <f t="shared" si="423"/>
        <v>1</v>
      </c>
    </row>
    <row r="751" spans="1:15" x14ac:dyDescent="0.3">
      <c r="A751" s="122" t="str">
        <f t="shared" si="426"/>
        <v>AVRIL</v>
      </c>
      <c r="B751" s="129" t="s">
        <v>83</v>
      </c>
      <c r="C751" s="120">
        <f>+C728</f>
        <v>249769</v>
      </c>
      <c r="D751" s="123"/>
      <c r="E751" s="120">
        <f>+D728</f>
        <v>0</v>
      </c>
      <c r="F751" s="137"/>
      <c r="G751" s="137"/>
      <c r="H751" s="155">
        <f t="shared" si="420"/>
        <v>0</v>
      </c>
      <c r="I751" s="120">
        <f t="shared" si="421"/>
        <v>0</v>
      </c>
      <c r="J751" s="121">
        <f t="shared" ref="J751:J758" si="427">+SUM(C751:G751)-(H751+I751)</f>
        <v>249769</v>
      </c>
      <c r="K751" s="144" t="b">
        <f t="shared" si="423"/>
        <v>1</v>
      </c>
    </row>
    <row r="752" spans="1:15" x14ac:dyDescent="0.3">
      <c r="A752" s="122" t="str">
        <f t="shared" si="426"/>
        <v>AVRIL</v>
      </c>
      <c r="B752" s="127" t="s">
        <v>143</v>
      </c>
      <c r="C752" s="32">
        <f>+C729</f>
        <v>10700</v>
      </c>
      <c r="D752" s="31"/>
      <c r="E752" s="32">
        <f>+D729</f>
        <v>10000</v>
      </c>
      <c r="F752" s="32"/>
      <c r="G752" s="104"/>
      <c r="H752" s="55">
        <f t="shared" si="420"/>
        <v>0</v>
      </c>
      <c r="I752" s="32">
        <f t="shared" si="421"/>
        <v>10500</v>
      </c>
      <c r="J752" s="30">
        <f t="shared" si="427"/>
        <v>10200</v>
      </c>
      <c r="K752" s="144" t="b">
        <f t="shared" si="423"/>
        <v>1</v>
      </c>
    </row>
    <row r="753" spans="1:16" x14ac:dyDescent="0.3">
      <c r="A753" s="122" t="str">
        <f t="shared" si="426"/>
        <v>AVRIL</v>
      </c>
      <c r="B753" s="127" t="s">
        <v>197</v>
      </c>
      <c r="C753" s="32">
        <f t="shared" ref="C753:C756" si="428">+C730</f>
        <v>52000</v>
      </c>
      <c r="D753" s="31"/>
      <c r="E753" s="32">
        <f t="shared" ref="E753:E758" si="429">+D730</f>
        <v>113000</v>
      </c>
      <c r="F753" s="32"/>
      <c r="G753" s="104"/>
      <c r="H753" s="55">
        <f t="shared" si="420"/>
        <v>0</v>
      </c>
      <c r="I753" s="32">
        <f t="shared" si="421"/>
        <v>121500</v>
      </c>
      <c r="J753" s="30">
        <f t="shared" si="427"/>
        <v>43500</v>
      </c>
      <c r="K753" s="144" t="b">
        <f t="shared" si="423"/>
        <v>1</v>
      </c>
    </row>
    <row r="754" spans="1:16" x14ac:dyDescent="0.3">
      <c r="A754" s="122" t="str">
        <f t="shared" si="426"/>
        <v>AVRIL</v>
      </c>
      <c r="B754" s="127" t="s">
        <v>30</v>
      </c>
      <c r="C754" s="32">
        <f t="shared" si="428"/>
        <v>116050</v>
      </c>
      <c r="D754" s="31"/>
      <c r="E754" s="32">
        <f t="shared" si="429"/>
        <v>599000</v>
      </c>
      <c r="F754" s="32"/>
      <c r="G754" s="104"/>
      <c r="H754" s="55">
        <f t="shared" si="420"/>
        <v>0</v>
      </c>
      <c r="I754" s="32">
        <f t="shared" si="421"/>
        <v>537500</v>
      </c>
      <c r="J754" s="30">
        <f t="shared" si="427"/>
        <v>177550</v>
      </c>
      <c r="K754" s="144" t="b">
        <f t="shared" si="423"/>
        <v>1</v>
      </c>
    </row>
    <row r="755" spans="1:16" x14ac:dyDescent="0.3">
      <c r="A755" s="122" t="str">
        <f>+A753</f>
        <v>AVRIL</v>
      </c>
      <c r="B755" s="127" t="s">
        <v>93</v>
      </c>
      <c r="C755" s="32">
        <f t="shared" si="428"/>
        <v>4400</v>
      </c>
      <c r="D755" s="31"/>
      <c r="E755" s="32">
        <f t="shared" si="429"/>
        <v>20000</v>
      </c>
      <c r="F755" s="32"/>
      <c r="G755" s="104"/>
      <c r="H755" s="55">
        <f t="shared" si="420"/>
        <v>0</v>
      </c>
      <c r="I755" s="32">
        <f t="shared" si="421"/>
        <v>20000</v>
      </c>
      <c r="J755" s="30">
        <f t="shared" si="427"/>
        <v>4400</v>
      </c>
      <c r="K755" s="144" t="b">
        <f t="shared" si="423"/>
        <v>1</v>
      </c>
    </row>
    <row r="756" spans="1:16" x14ac:dyDescent="0.3">
      <c r="A756" s="122" t="str">
        <f>+A754</f>
        <v>AVRIL</v>
      </c>
      <c r="B756" s="127" t="s">
        <v>29</v>
      </c>
      <c r="C756" s="32">
        <f t="shared" si="428"/>
        <v>16200</v>
      </c>
      <c r="D756" s="31"/>
      <c r="E756" s="32">
        <f t="shared" si="429"/>
        <v>874000</v>
      </c>
      <c r="F756" s="32"/>
      <c r="G756" s="104"/>
      <c r="H756" s="55">
        <f t="shared" si="420"/>
        <v>100000</v>
      </c>
      <c r="I756" s="32">
        <f t="shared" si="421"/>
        <v>495500</v>
      </c>
      <c r="J756" s="30">
        <f t="shared" si="427"/>
        <v>294700</v>
      </c>
      <c r="K756" s="144" t="b">
        <f t="shared" si="423"/>
        <v>1</v>
      </c>
    </row>
    <row r="757" spans="1:16" x14ac:dyDescent="0.3">
      <c r="A757" s="122" t="str">
        <f>+A755</f>
        <v>AVRIL</v>
      </c>
      <c r="B757" s="127" t="s">
        <v>196</v>
      </c>
      <c r="C757" s="32">
        <f>+C734</f>
        <v>6000</v>
      </c>
      <c r="D757" s="31"/>
      <c r="E757" s="32">
        <f t="shared" si="429"/>
        <v>80000</v>
      </c>
      <c r="F757" s="32"/>
      <c r="G757" s="104"/>
      <c r="H757" s="55">
        <f t="shared" si="420"/>
        <v>0</v>
      </c>
      <c r="I757" s="32">
        <f t="shared" si="421"/>
        <v>72500</v>
      </c>
      <c r="J757" s="30">
        <f t="shared" si="427"/>
        <v>13500</v>
      </c>
      <c r="K757" s="144" t="b">
        <f t="shared" si="423"/>
        <v>1</v>
      </c>
    </row>
    <row r="758" spans="1:16" x14ac:dyDescent="0.3">
      <c r="A758" s="122" t="str">
        <f>+A756</f>
        <v>AVRIL</v>
      </c>
      <c r="B758" s="128" t="s">
        <v>113</v>
      </c>
      <c r="C758" s="32">
        <f t="shared" ref="C758" si="430">+C735</f>
        <v>-790759</v>
      </c>
      <c r="D758" s="119"/>
      <c r="E758" s="32">
        <f t="shared" si="429"/>
        <v>800000</v>
      </c>
      <c r="F758" s="51"/>
      <c r="G758" s="138"/>
      <c r="H758" s="55">
        <f t="shared" si="420"/>
        <v>0</v>
      </c>
      <c r="I758" s="32">
        <f t="shared" si="421"/>
        <v>16500</v>
      </c>
      <c r="J758" s="30">
        <f t="shared" si="427"/>
        <v>-7259</v>
      </c>
      <c r="K758" s="144" t="b">
        <f t="shared" si="423"/>
        <v>1</v>
      </c>
    </row>
    <row r="759" spans="1:16" x14ac:dyDescent="0.3">
      <c r="A759" s="34" t="s">
        <v>60</v>
      </c>
      <c r="B759" s="35"/>
      <c r="C759" s="35"/>
      <c r="D759" s="35"/>
      <c r="E759" s="35"/>
      <c r="F759" s="35"/>
      <c r="G759" s="35"/>
      <c r="H759" s="35"/>
      <c r="I759" s="35"/>
      <c r="J759" s="36"/>
      <c r="K759" s="143"/>
    </row>
    <row r="760" spans="1:16" x14ac:dyDescent="0.3">
      <c r="A760" s="122" t="str">
        <f>+A758</f>
        <v>AVRIL</v>
      </c>
      <c r="B760" s="37" t="s">
        <v>61</v>
      </c>
      <c r="C760" s="38">
        <f>+C723</f>
        <v>1160022</v>
      </c>
      <c r="D760" s="49"/>
      <c r="E760" s="49">
        <f>D723</f>
        <v>5100000</v>
      </c>
      <c r="F760" s="49"/>
      <c r="G760" s="125"/>
      <c r="H760" s="51">
        <f>+F723</f>
        <v>3474000</v>
      </c>
      <c r="I760" s="126">
        <f>+E723</f>
        <v>1822909</v>
      </c>
      <c r="J760" s="30">
        <f>+SUM(C760:G760)-(H760+I760)</f>
        <v>963113</v>
      </c>
      <c r="K760" s="144" t="b">
        <f>J760=I723</f>
        <v>1</v>
      </c>
    </row>
    <row r="761" spans="1:16" x14ac:dyDescent="0.3">
      <c r="A761" s="43" t="s">
        <v>62</v>
      </c>
      <c r="B761" s="24"/>
      <c r="C761" s="35"/>
      <c r="D761" s="24"/>
      <c r="E761" s="24"/>
      <c r="F761" s="24"/>
      <c r="G761" s="24"/>
      <c r="H761" s="24"/>
      <c r="I761" s="24"/>
      <c r="J761" s="36"/>
      <c r="K761" s="143"/>
    </row>
    <row r="762" spans="1:16" x14ac:dyDescent="0.3">
      <c r="A762" s="122" t="str">
        <f>+A760</f>
        <v>AVRIL</v>
      </c>
      <c r="B762" s="37" t="s">
        <v>156</v>
      </c>
      <c r="C762" s="125">
        <f>+C721</f>
        <v>9177780</v>
      </c>
      <c r="D762" s="132">
        <f>+G721</f>
        <v>0</v>
      </c>
      <c r="E762" s="49"/>
      <c r="F762" s="49"/>
      <c r="G762" s="49"/>
      <c r="H762" s="51">
        <f>+F721</f>
        <v>5000000</v>
      </c>
      <c r="I762" s="53">
        <f>+E721</f>
        <v>23345</v>
      </c>
      <c r="J762" s="30">
        <f>+SUM(C762:G762)-(H762+I762)</f>
        <v>4154435</v>
      </c>
      <c r="K762" s="144" t="b">
        <f>+J762=I721</f>
        <v>1</v>
      </c>
    </row>
    <row r="763" spans="1:16" x14ac:dyDescent="0.3">
      <c r="A763" s="122" t="str">
        <f t="shared" ref="A763" si="431">+A762</f>
        <v>AVRIL</v>
      </c>
      <c r="B763" s="37" t="s">
        <v>64</v>
      </c>
      <c r="C763" s="125">
        <f>+C722</f>
        <v>21521261</v>
      </c>
      <c r="D763" s="49">
        <f>+G722</f>
        <v>0</v>
      </c>
      <c r="E763" s="48"/>
      <c r="F763" s="48"/>
      <c r="G763" s="48"/>
      <c r="H763" s="32">
        <f>+F722</f>
        <v>0</v>
      </c>
      <c r="I763" s="50">
        <f>+E722</f>
        <v>5070305</v>
      </c>
      <c r="J763" s="30">
        <f>SUM(C763:G763)-(H763+I763)</f>
        <v>16450956</v>
      </c>
      <c r="K763" s="144" t="b">
        <f>+J763=I722</f>
        <v>1</v>
      </c>
    </row>
    <row r="764" spans="1:16" ht="15.6" x14ac:dyDescent="0.3">
      <c r="C764" s="141">
        <f>SUM(C747:C763)</f>
        <v>31829567</v>
      </c>
      <c r="I764" s="140">
        <f>SUM(I747:I763)</f>
        <v>9054909</v>
      </c>
      <c r="J764" s="105">
        <f>+SUM(J747:J763)</f>
        <v>22774658</v>
      </c>
      <c r="K764" s="5" t="b">
        <f>J764=I736</f>
        <v>1</v>
      </c>
    </row>
    <row r="765" spans="1:16" ht="15.6" x14ac:dyDescent="0.3">
      <c r="A765" s="160"/>
      <c r="B765" s="160"/>
      <c r="C765" s="161"/>
      <c r="D765" s="160"/>
      <c r="E765" s="160"/>
      <c r="F765" s="160"/>
      <c r="G765" s="160"/>
      <c r="H765" s="160"/>
      <c r="I765" s="162"/>
      <c r="J765" s="163"/>
      <c r="K765" s="160"/>
      <c r="L765" s="164"/>
      <c r="M765" s="164"/>
      <c r="N765" s="164"/>
      <c r="O765" s="164"/>
      <c r="P765" s="160"/>
    </row>
    <row r="768" spans="1:16" ht="15.6" x14ac:dyDescent="0.3">
      <c r="A768" s="6" t="s">
        <v>36</v>
      </c>
      <c r="B768" s="6" t="s">
        <v>1</v>
      </c>
      <c r="C768" s="6">
        <v>44621</v>
      </c>
      <c r="D768" s="7" t="s">
        <v>37</v>
      </c>
      <c r="E768" s="7" t="s">
        <v>38</v>
      </c>
      <c r="F768" s="7" t="s">
        <v>39</v>
      </c>
      <c r="G768" s="7" t="s">
        <v>40</v>
      </c>
      <c r="H768" s="6">
        <v>44651</v>
      </c>
      <c r="I768" s="7" t="s">
        <v>41</v>
      </c>
      <c r="K768" s="45"/>
      <c r="L768" s="45" t="s">
        <v>42</v>
      </c>
      <c r="M768" s="45" t="s">
        <v>43</v>
      </c>
      <c r="N768" s="45" t="s">
        <v>44</v>
      </c>
      <c r="O768" s="45" t="s">
        <v>45</v>
      </c>
    </row>
    <row r="769" spans="1:15" x14ac:dyDescent="0.3">
      <c r="A769" s="58" t="str">
        <f>K769</f>
        <v>BCI</v>
      </c>
      <c r="B769" s="59" t="s">
        <v>46</v>
      </c>
      <c r="C769" s="61">
        <v>888683</v>
      </c>
      <c r="D769" s="61">
        <f>+L769</f>
        <v>0</v>
      </c>
      <c r="E769" s="61">
        <f>+N769</f>
        <v>543345</v>
      </c>
      <c r="F769" s="61">
        <f>+M769</f>
        <v>2600000</v>
      </c>
      <c r="G769" s="61">
        <f t="shared" ref="G769:G780" si="432">+O769</f>
        <v>11432442</v>
      </c>
      <c r="H769" s="61">
        <v>9177780</v>
      </c>
      <c r="I769" s="61">
        <f>+C769+D769-E769-F769+G769</f>
        <v>9177780</v>
      </c>
      <c r="J769" s="9">
        <f>I769-H769</f>
        <v>0</v>
      </c>
      <c r="K769" s="45" t="s">
        <v>24</v>
      </c>
      <c r="L769" s="47">
        <v>0</v>
      </c>
      <c r="M769" s="47">
        <v>2600000</v>
      </c>
      <c r="N769" s="47">
        <v>543345</v>
      </c>
      <c r="O769" s="47">
        <v>11432442</v>
      </c>
    </row>
    <row r="770" spans="1:15" x14ac:dyDescent="0.3">
      <c r="A770" s="58" t="str">
        <f t="shared" ref="A770:A783" si="433">K770</f>
        <v>BCI-Sous Compte</v>
      </c>
      <c r="B770" s="59" t="s">
        <v>46</v>
      </c>
      <c r="C770" s="61">
        <v>882502</v>
      </c>
      <c r="D770" s="61">
        <f t="shared" ref="D770:D783" si="434">+L770</f>
        <v>0</v>
      </c>
      <c r="E770" s="61">
        <f t="shared" ref="E770:E783" si="435">+N770</f>
        <v>6117606</v>
      </c>
      <c r="F770" s="61">
        <f t="shared" ref="F770:F783" si="436">+M770</f>
        <v>1600000</v>
      </c>
      <c r="G770" s="61">
        <f t="shared" si="432"/>
        <v>28356365</v>
      </c>
      <c r="H770" s="61">
        <v>21521261</v>
      </c>
      <c r="I770" s="61">
        <f>+C770+D770-E770-F770+G770</f>
        <v>21521261</v>
      </c>
      <c r="J770" s="9">
        <f t="shared" ref="J770:J777" si="437">I770-H770</f>
        <v>0</v>
      </c>
      <c r="K770" s="45" t="s">
        <v>148</v>
      </c>
      <c r="L770" s="47">
        <v>0</v>
      </c>
      <c r="M770" s="47">
        <v>1600000</v>
      </c>
      <c r="N770" s="47">
        <v>6117606</v>
      </c>
      <c r="O770" s="47">
        <v>28356365</v>
      </c>
    </row>
    <row r="771" spans="1:15" x14ac:dyDescent="0.3">
      <c r="A771" s="58" t="str">
        <f t="shared" si="433"/>
        <v>Caisse</v>
      </c>
      <c r="B771" s="59" t="s">
        <v>25</v>
      </c>
      <c r="C771" s="61">
        <v>797106</v>
      </c>
      <c r="D771" s="61">
        <f t="shared" si="434"/>
        <v>4270000</v>
      </c>
      <c r="E771" s="61">
        <f t="shared" si="435"/>
        <v>2099084</v>
      </c>
      <c r="F771" s="61">
        <f t="shared" si="436"/>
        <v>1808000</v>
      </c>
      <c r="G771" s="61">
        <f t="shared" si="432"/>
        <v>0</v>
      </c>
      <c r="H771" s="61">
        <v>1160022</v>
      </c>
      <c r="I771" s="61">
        <f>+C771+D771-E771-F771+G771</f>
        <v>1160022</v>
      </c>
      <c r="J771" s="102">
        <f t="shared" si="437"/>
        <v>0</v>
      </c>
      <c r="K771" s="45" t="s">
        <v>25</v>
      </c>
      <c r="L771" s="47">
        <v>4270000</v>
      </c>
      <c r="M771" s="47">
        <v>1808000</v>
      </c>
      <c r="N771" s="47">
        <v>2099084</v>
      </c>
      <c r="O771" s="47">
        <v>0</v>
      </c>
    </row>
    <row r="772" spans="1:15" x14ac:dyDescent="0.3">
      <c r="A772" s="58" t="str">
        <f t="shared" si="433"/>
        <v>Crépin</v>
      </c>
      <c r="B772" s="59" t="s">
        <v>154</v>
      </c>
      <c r="C772" s="61">
        <v>56050</v>
      </c>
      <c r="D772" s="61">
        <f t="shared" si="434"/>
        <v>0</v>
      </c>
      <c r="E772" s="61">
        <f t="shared" si="435"/>
        <v>4000</v>
      </c>
      <c r="F772" s="61">
        <f t="shared" si="436"/>
        <v>30000</v>
      </c>
      <c r="G772" s="61">
        <f t="shared" si="432"/>
        <v>0</v>
      </c>
      <c r="H772" s="61">
        <v>22050</v>
      </c>
      <c r="I772" s="61">
        <f>+C772+D772-E772-F772+G772</f>
        <v>22050</v>
      </c>
      <c r="J772" s="9">
        <f t="shared" si="437"/>
        <v>0</v>
      </c>
      <c r="K772" s="45" t="s">
        <v>47</v>
      </c>
      <c r="L772" s="47">
        <v>0</v>
      </c>
      <c r="M772" s="47">
        <v>30000</v>
      </c>
      <c r="N772" s="47">
        <v>4000</v>
      </c>
      <c r="O772" s="47">
        <v>0</v>
      </c>
    </row>
    <row r="773" spans="1:15" x14ac:dyDescent="0.3">
      <c r="A773" s="58" t="str">
        <f t="shared" si="433"/>
        <v>Evariste</v>
      </c>
      <c r="B773" s="59" t="s">
        <v>155</v>
      </c>
      <c r="C773" s="61">
        <v>21495</v>
      </c>
      <c r="D773" s="61">
        <f t="shared" si="434"/>
        <v>139000</v>
      </c>
      <c r="E773" s="61">
        <f t="shared" si="435"/>
        <v>146500</v>
      </c>
      <c r="F773" s="61">
        <f t="shared" si="436"/>
        <v>0</v>
      </c>
      <c r="G773" s="61">
        <f t="shared" si="432"/>
        <v>0</v>
      </c>
      <c r="H773" s="61">
        <v>13995</v>
      </c>
      <c r="I773" s="61">
        <f t="shared" ref="I773" si="438">+C773+D773-E773-F773+G773</f>
        <v>13995</v>
      </c>
      <c r="J773" s="9">
        <f t="shared" si="437"/>
        <v>0</v>
      </c>
      <c r="K773" s="45" t="s">
        <v>31</v>
      </c>
      <c r="L773" s="47">
        <v>139000</v>
      </c>
      <c r="M773" s="47">
        <v>0</v>
      </c>
      <c r="N773" s="47">
        <v>146500</v>
      </c>
      <c r="O773" s="47">
        <v>0</v>
      </c>
    </row>
    <row r="774" spans="1:15" x14ac:dyDescent="0.3">
      <c r="A774" s="58" t="str">
        <f t="shared" si="433"/>
        <v>Godfré</v>
      </c>
      <c r="B774" s="59" t="s">
        <v>154</v>
      </c>
      <c r="C774" s="61">
        <v>113185</v>
      </c>
      <c r="D774" s="61">
        <f t="shared" si="434"/>
        <v>188000</v>
      </c>
      <c r="E774" s="61">
        <f t="shared" si="435"/>
        <v>224700</v>
      </c>
      <c r="F774" s="61">
        <f t="shared" si="436"/>
        <v>40000</v>
      </c>
      <c r="G774" s="61">
        <f t="shared" si="432"/>
        <v>0</v>
      </c>
      <c r="H774" s="61">
        <v>36485</v>
      </c>
      <c r="I774" s="61">
        <f>+C774+D774-E774-F774+G774</f>
        <v>36485</v>
      </c>
      <c r="J774" s="9">
        <f t="shared" si="437"/>
        <v>0</v>
      </c>
      <c r="K774" s="45" t="s">
        <v>144</v>
      </c>
      <c r="L774" s="47">
        <v>188000</v>
      </c>
      <c r="M774" s="47">
        <v>40000</v>
      </c>
      <c r="N774" s="47">
        <v>224700</v>
      </c>
      <c r="O774" s="47">
        <v>0</v>
      </c>
    </row>
    <row r="775" spans="1:15" x14ac:dyDescent="0.3">
      <c r="A775" s="58" t="str">
        <f t="shared" si="433"/>
        <v>I55S</v>
      </c>
      <c r="B775" s="116" t="s">
        <v>4</v>
      </c>
      <c r="C775" s="118">
        <v>233614</v>
      </c>
      <c r="D775" s="118">
        <f t="shared" si="434"/>
        <v>0</v>
      </c>
      <c r="E775" s="118">
        <f t="shared" si="435"/>
        <v>0</v>
      </c>
      <c r="F775" s="118">
        <f t="shared" si="436"/>
        <v>0</v>
      </c>
      <c r="G775" s="118">
        <f t="shared" si="432"/>
        <v>0</v>
      </c>
      <c r="H775" s="118">
        <v>233614</v>
      </c>
      <c r="I775" s="118">
        <f>+C775+D775-E775-F775+G775</f>
        <v>233614</v>
      </c>
      <c r="J775" s="9">
        <f t="shared" si="437"/>
        <v>0</v>
      </c>
      <c r="K775" s="45" t="s">
        <v>84</v>
      </c>
      <c r="L775" s="47">
        <v>0</v>
      </c>
      <c r="M775" s="47">
        <v>0</v>
      </c>
      <c r="N775" s="47">
        <v>0</v>
      </c>
      <c r="O775" s="47">
        <v>0</v>
      </c>
    </row>
    <row r="776" spans="1:15" x14ac:dyDescent="0.3">
      <c r="A776" s="58" t="str">
        <f t="shared" si="433"/>
        <v>I73X</v>
      </c>
      <c r="B776" s="116" t="s">
        <v>4</v>
      </c>
      <c r="C776" s="118">
        <v>249769</v>
      </c>
      <c r="D776" s="118">
        <f t="shared" si="434"/>
        <v>0</v>
      </c>
      <c r="E776" s="118">
        <f t="shared" si="435"/>
        <v>0</v>
      </c>
      <c r="F776" s="118">
        <f t="shared" si="436"/>
        <v>0</v>
      </c>
      <c r="G776" s="118">
        <f t="shared" si="432"/>
        <v>0</v>
      </c>
      <c r="H776" s="118">
        <v>249769</v>
      </c>
      <c r="I776" s="118">
        <f t="shared" ref="I776:I779" si="439">+C776+D776-E776-F776+G776</f>
        <v>249769</v>
      </c>
      <c r="J776" s="9">
        <f t="shared" si="437"/>
        <v>0</v>
      </c>
      <c r="K776" s="45" t="s">
        <v>83</v>
      </c>
      <c r="L776" s="47">
        <v>0</v>
      </c>
      <c r="M776" s="47">
        <v>0</v>
      </c>
      <c r="N776" s="47">
        <v>0</v>
      </c>
      <c r="O776" s="47">
        <v>0</v>
      </c>
    </row>
    <row r="777" spans="1:15" x14ac:dyDescent="0.3">
      <c r="A777" s="58" t="str">
        <f t="shared" si="433"/>
        <v>Grace</v>
      </c>
      <c r="B777" s="98" t="s">
        <v>2</v>
      </c>
      <c r="C777" s="61">
        <v>20700</v>
      </c>
      <c r="D777" s="61">
        <f t="shared" si="434"/>
        <v>0</v>
      </c>
      <c r="E777" s="61">
        <f t="shared" si="435"/>
        <v>10000</v>
      </c>
      <c r="F777" s="61">
        <f t="shared" si="436"/>
        <v>0</v>
      </c>
      <c r="G777" s="61">
        <f t="shared" si="432"/>
        <v>0</v>
      </c>
      <c r="H777" s="61">
        <v>10700</v>
      </c>
      <c r="I777" s="61">
        <f t="shared" si="439"/>
        <v>10700</v>
      </c>
      <c r="J777" s="9">
        <f t="shared" si="437"/>
        <v>0</v>
      </c>
      <c r="K777" s="45" t="s">
        <v>143</v>
      </c>
      <c r="L777" s="47">
        <v>0</v>
      </c>
      <c r="M777" s="47">
        <v>0</v>
      </c>
      <c r="N777" s="47">
        <v>10000</v>
      </c>
      <c r="O777" s="47">
        <v>0</v>
      </c>
    </row>
    <row r="778" spans="1:15" x14ac:dyDescent="0.3">
      <c r="A778" s="58" t="str">
        <f t="shared" si="433"/>
        <v>Hurielle</v>
      </c>
      <c r="B778" s="59" t="s">
        <v>154</v>
      </c>
      <c r="C778" s="61">
        <v>0</v>
      </c>
      <c r="D778" s="61">
        <f t="shared" si="434"/>
        <v>135000</v>
      </c>
      <c r="E778" s="61">
        <f t="shared" si="435"/>
        <v>83000</v>
      </c>
      <c r="F778" s="61">
        <f t="shared" si="436"/>
        <v>0</v>
      </c>
      <c r="G778" s="61">
        <f t="shared" si="432"/>
        <v>0</v>
      </c>
      <c r="H778" s="61">
        <v>52000</v>
      </c>
      <c r="I778" s="61">
        <f t="shared" si="439"/>
        <v>52000</v>
      </c>
      <c r="J778" s="9">
        <f>I778-H778</f>
        <v>0</v>
      </c>
      <c r="K778" s="45" t="s">
        <v>197</v>
      </c>
      <c r="L778" s="47">
        <v>135000</v>
      </c>
      <c r="M778" s="47">
        <v>0</v>
      </c>
      <c r="N778" s="47">
        <v>83000</v>
      </c>
      <c r="O778" s="47">
        <v>0</v>
      </c>
    </row>
    <row r="779" spans="1:15" x14ac:dyDescent="0.3">
      <c r="A779" s="58" t="str">
        <f t="shared" si="433"/>
        <v>I23C</v>
      </c>
      <c r="B779" s="98" t="s">
        <v>4</v>
      </c>
      <c r="C779" s="61">
        <v>15550</v>
      </c>
      <c r="D779" s="61">
        <f t="shared" si="434"/>
        <v>747000</v>
      </c>
      <c r="E779" s="61">
        <f t="shared" si="435"/>
        <v>646500</v>
      </c>
      <c r="F779" s="61">
        <f t="shared" si="436"/>
        <v>0</v>
      </c>
      <c r="G779" s="61">
        <f t="shared" si="432"/>
        <v>0</v>
      </c>
      <c r="H779" s="61">
        <v>116050</v>
      </c>
      <c r="I779" s="61">
        <f t="shared" si="439"/>
        <v>116050</v>
      </c>
      <c r="J779" s="9">
        <f t="shared" ref="J779:J780" si="440">I779-H779</f>
        <v>0</v>
      </c>
      <c r="K779" s="45" t="s">
        <v>30</v>
      </c>
      <c r="L779" s="47">
        <v>747000</v>
      </c>
      <c r="M779" s="47">
        <v>0</v>
      </c>
      <c r="N779" s="47">
        <v>646500</v>
      </c>
      <c r="O779" s="47">
        <v>0</v>
      </c>
    </row>
    <row r="780" spans="1:15" x14ac:dyDescent="0.3">
      <c r="A780" s="58" t="str">
        <f t="shared" si="433"/>
        <v>Merveille</v>
      </c>
      <c r="B780" s="59" t="s">
        <v>2</v>
      </c>
      <c r="C780" s="61">
        <v>4800</v>
      </c>
      <c r="D780" s="61">
        <f t="shared" si="434"/>
        <v>20000</v>
      </c>
      <c r="E780" s="61">
        <f t="shared" si="435"/>
        <v>20400</v>
      </c>
      <c r="F780" s="61">
        <f t="shared" si="436"/>
        <v>0</v>
      </c>
      <c r="G780" s="61">
        <f t="shared" si="432"/>
        <v>0</v>
      </c>
      <c r="H780" s="61">
        <v>4400</v>
      </c>
      <c r="I780" s="61">
        <f>+C780+D780-E780-F780+G780</f>
        <v>4400</v>
      </c>
      <c r="J780" s="9">
        <f t="shared" si="440"/>
        <v>0</v>
      </c>
      <c r="K780" s="45" t="s">
        <v>93</v>
      </c>
      <c r="L780" s="47">
        <v>20000</v>
      </c>
      <c r="M780" s="47">
        <v>0</v>
      </c>
      <c r="N780" s="47">
        <v>20400</v>
      </c>
      <c r="O780" s="47"/>
    </row>
    <row r="781" spans="1:15" x14ac:dyDescent="0.3">
      <c r="A781" s="58" t="str">
        <f t="shared" si="433"/>
        <v>P29</v>
      </c>
      <c r="B781" s="59" t="s">
        <v>4</v>
      </c>
      <c r="C781" s="61">
        <v>136200</v>
      </c>
      <c r="D781" s="61">
        <f t="shared" si="434"/>
        <v>380000</v>
      </c>
      <c r="E781" s="61">
        <f t="shared" si="435"/>
        <v>500000</v>
      </c>
      <c r="F781" s="61">
        <f t="shared" si="436"/>
        <v>0</v>
      </c>
      <c r="G781" s="61">
        <f>+O781</f>
        <v>0</v>
      </c>
      <c r="H781" s="61">
        <v>16200</v>
      </c>
      <c r="I781" s="61">
        <f>+C781+D781-E781-F781+G781</f>
        <v>16200</v>
      </c>
      <c r="J781" s="9">
        <f>I781-H781</f>
        <v>0</v>
      </c>
      <c r="K781" s="45" t="s">
        <v>29</v>
      </c>
      <c r="L781" s="47">
        <v>380000</v>
      </c>
      <c r="M781" s="47">
        <v>0</v>
      </c>
      <c r="N781" s="47">
        <v>500000</v>
      </c>
      <c r="O781" s="47">
        <v>0</v>
      </c>
    </row>
    <row r="782" spans="1:15" x14ac:dyDescent="0.3">
      <c r="A782" s="58" t="str">
        <f t="shared" si="433"/>
        <v>Paule</v>
      </c>
      <c r="B782" s="59" t="s">
        <v>154</v>
      </c>
      <c r="C782" s="61">
        <v>0</v>
      </c>
      <c r="D782" s="61">
        <f t="shared" si="434"/>
        <v>129000</v>
      </c>
      <c r="E782" s="61">
        <f t="shared" si="435"/>
        <v>123000</v>
      </c>
      <c r="F782" s="61">
        <f t="shared" si="436"/>
        <v>0</v>
      </c>
      <c r="G782" s="61">
        <f>+O782</f>
        <v>0</v>
      </c>
      <c r="H782" s="61">
        <v>6000</v>
      </c>
      <c r="I782" s="61">
        <f>+C782+D782-E782-F782+G782</f>
        <v>6000</v>
      </c>
      <c r="J782" s="9">
        <f>I782-H782</f>
        <v>0</v>
      </c>
      <c r="K782" s="45" t="s">
        <v>196</v>
      </c>
      <c r="L782" s="47">
        <v>129000</v>
      </c>
      <c r="M782" s="47">
        <v>0</v>
      </c>
      <c r="N782" s="47">
        <v>123000</v>
      </c>
      <c r="O782" s="47">
        <v>0</v>
      </c>
    </row>
    <row r="783" spans="1:15" x14ac:dyDescent="0.3">
      <c r="A783" s="58" t="str">
        <f t="shared" si="433"/>
        <v>Tiffany</v>
      </c>
      <c r="B783" s="59" t="s">
        <v>2</v>
      </c>
      <c r="C783" s="61">
        <v>-36737</v>
      </c>
      <c r="D783" s="61">
        <f t="shared" si="434"/>
        <v>70000</v>
      </c>
      <c r="E783" s="61">
        <f t="shared" si="435"/>
        <v>824022</v>
      </c>
      <c r="F783" s="61">
        <f t="shared" si="436"/>
        <v>0</v>
      </c>
      <c r="G783" s="61">
        <f t="shared" ref="G783" si="441">+O783</f>
        <v>0</v>
      </c>
      <c r="H783" s="61">
        <v>-790759</v>
      </c>
      <c r="I783" s="61">
        <f t="shared" ref="I783" si="442">+C783+D783-E783-F783+G783</f>
        <v>-790759</v>
      </c>
      <c r="J783" s="9">
        <f t="shared" ref="J783" si="443">I783-H783</f>
        <v>0</v>
      </c>
      <c r="K783" s="45" t="s">
        <v>113</v>
      </c>
      <c r="L783" s="47">
        <v>70000</v>
      </c>
      <c r="M783" s="47">
        <v>0</v>
      </c>
      <c r="N783" s="47">
        <v>824022</v>
      </c>
      <c r="O783" s="47">
        <v>0</v>
      </c>
    </row>
    <row r="784" spans="1:15" x14ac:dyDescent="0.3">
      <c r="A784" s="10" t="s">
        <v>50</v>
      </c>
      <c r="B784" s="11"/>
      <c r="C784" s="12">
        <f t="shared" ref="C784:I784" si="444">SUM(C769:C783)</f>
        <v>3382917</v>
      </c>
      <c r="D784" s="57">
        <f t="shared" si="444"/>
        <v>6078000</v>
      </c>
      <c r="E784" s="57">
        <f t="shared" si="444"/>
        <v>11342157</v>
      </c>
      <c r="F784" s="57">
        <f t="shared" si="444"/>
        <v>6078000</v>
      </c>
      <c r="G784" s="57">
        <f t="shared" si="444"/>
        <v>39788807</v>
      </c>
      <c r="H784" s="57">
        <f t="shared" si="444"/>
        <v>31829567</v>
      </c>
      <c r="I784" s="57">
        <f t="shared" si="444"/>
        <v>31829567</v>
      </c>
      <c r="J784" s="9">
        <f>I784-H784</f>
        <v>0</v>
      </c>
      <c r="K784" s="3"/>
      <c r="L784" s="47">
        <f>+SUM(L769:L783)</f>
        <v>6078000</v>
      </c>
      <c r="M784" s="47">
        <f>+SUM(M769:M783)</f>
        <v>6078000</v>
      </c>
      <c r="N784" s="47">
        <f>+SUM(N769:N783)</f>
        <v>11342157</v>
      </c>
      <c r="O784" s="47">
        <f>+SUM(O769:O783)</f>
        <v>39788807</v>
      </c>
    </row>
    <row r="785" spans="1:15" x14ac:dyDescent="0.3">
      <c r="A785" s="10"/>
      <c r="B785" s="11"/>
      <c r="C785" s="12"/>
      <c r="D785" s="13"/>
      <c r="E785" s="12"/>
      <c r="F785" s="13"/>
      <c r="G785" s="12"/>
      <c r="H785" s="12"/>
      <c r="I785" s="134" t="b">
        <f>I784=D787</f>
        <v>1</v>
      </c>
      <c r="L785" s="5"/>
      <c r="M785" s="5"/>
      <c r="N785" s="5"/>
      <c r="O785" s="5"/>
    </row>
    <row r="786" spans="1:15" x14ac:dyDescent="0.3">
      <c r="A786" s="10" t="s">
        <v>189</v>
      </c>
      <c r="B786" s="11" t="s">
        <v>190</v>
      </c>
      <c r="C786" s="12" t="s">
        <v>194</v>
      </c>
      <c r="D786" s="12" t="s">
        <v>191</v>
      </c>
      <c r="E786" s="12" t="s">
        <v>51</v>
      </c>
      <c r="F786" s="12"/>
      <c r="G786" s="12">
        <f>+D784-F784</f>
        <v>0</v>
      </c>
      <c r="H786" s="12"/>
      <c r="I786" s="12"/>
    </row>
    <row r="787" spans="1:15" x14ac:dyDescent="0.3">
      <c r="A787" s="14">
        <f>C784</f>
        <v>3382917</v>
      </c>
      <c r="B787" s="15">
        <f>G784</f>
        <v>39788807</v>
      </c>
      <c r="C787" s="12">
        <f>E784</f>
        <v>11342157</v>
      </c>
      <c r="D787" s="12">
        <f>A787+B787-C787</f>
        <v>31829567</v>
      </c>
      <c r="E787" s="13">
        <f>I784-D787</f>
        <v>0</v>
      </c>
      <c r="F787" s="12"/>
      <c r="G787" s="12"/>
      <c r="H787" s="12"/>
      <c r="I787" s="12"/>
    </row>
    <row r="788" spans="1:15" x14ac:dyDescent="0.3">
      <c r="A788" s="14"/>
      <c r="B788" s="15"/>
      <c r="C788" s="12"/>
      <c r="D788" s="12"/>
      <c r="E788" s="13"/>
      <c r="F788" s="12"/>
      <c r="G788" s="12"/>
      <c r="H788" s="12"/>
      <c r="I788" s="12"/>
    </row>
    <row r="789" spans="1:15" x14ac:dyDescent="0.3">
      <c r="A789" s="16" t="s">
        <v>52</v>
      </c>
      <c r="B789" s="16"/>
      <c r="C789" s="16"/>
      <c r="D789" s="17"/>
      <c r="E789" s="17"/>
      <c r="F789" s="17"/>
      <c r="G789" s="17"/>
      <c r="H789" s="17"/>
      <c r="I789" s="17"/>
    </row>
    <row r="790" spans="1:15" x14ac:dyDescent="0.3">
      <c r="A790" s="18" t="s">
        <v>192</v>
      </c>
      <c r="B790" s="18"/>
      <c r="C790" s="18"/>
      <c r="D790" s="18"/>
      <c r="E790" s="18"/>
      <c r="F790" s="18"/>
      <c r="G790" s="18"/>
      <c r="H790" s="18"/>
      <c r="I790" s="18"/>
      <c r="J790" s="18"/>
    </row>
    <row r="791" spans="1:15" x14ac:dyDescent="0.3">
      <c r="A791" s="19"/>
      <c r="B791" s="17"/>
      <c r="C791" s="20"/>
      <c r="D791" s="20"/>
      <c r="E791" s="20"/>
      <c r="F791" s="20"/>
      <c r="G791" s="20"/>
      <c r="H791" s="17"/>
      <c r="I791" s="17"/>
    </row>
    <row r="792" spans="1:15" x14ac:dyDescent="0.3">
      <c r="A792" s="169" t="s">
        <v>53</v>
      </c>
      <c r="B792" s="171" t="s">
        <v>54</v>
      </c>
      <c r="C792" s="173" t="s">
        <v>193</v>
      </c>
      <c r="D792" s="174" t="s">
        <v>55</v>
      </c>
      <c r="E792" s="175"/>
      <c r="F792" s="175"/>
      <c r="G792" s="176"/>
      <c r="H792" s="177" t="s">
        <v>56</v>
      </c>
      <c r="I792" s="165" t="s">
        <v>57</v>
      </c>
      <c r="J792" s="17"/>
    </row>
    <row r="793" spans="1:15" ht="28.5" customHeight="1" x14ac:dyDescent="0.3">
      <c r="A793" s="170"/>
      <c r="B793" s="172"/>
      <c r="C793" s="22"/>
      <c r="D793" s="21" t="s">
        <v>24</v>
      </c>
      <c r="E793" s="21" t="s">
        <v>25</v>
      </c>
      <c r="F793" s="22" t="s">
        <v>123</v>
      </c>
      <c r="G793" s="21" t="s">
        <v>58</v>
      </c>
      <c r="H793" s="178"/>
      <c r="I793" s="166"/>
      <c r="J793" s="167" t="s">
        <v>188</v>
      </c>
      <c r="K793" s="143"/>
    </row>
    <row r="794" spans="1:15" x14ac:dyDescent="0.3">
      <c r="A794" s="23"/>
      <c r="B794" s="24" t="s">
        <v>59</v>
      </c>
      <c r="C794" s="25"/>
      <c r="D794" s="25"/>
      <c r="E794" s="25"/>
      <c r="F794" s="25"/>
      <c r="G794" s="25"/>
      <c r="H794" s="25"/>
      <c r="I794" s="26"/>
      <c r="J794" s="168"/>
      <c r="K794" s="143"/>
    </row>
    <row r="795" spans="1:15" x14ac:dyDescent="0.3">
      <c r="A795" s="122" t="s">
        <v>120</v>
      </c>
      <c r="B795" s="127" t="s">
        <v>47</v>
      </c>
      <c r="C795" s="32">
        <f>+C772</f>
        <v>56050</v>
      </c>
      <c r="D795" s="31"/>
      <c r="E795" s="32">
        <f>+D772</f>
        <v>0</v>
      </c>
      <c r="F795" s="32"/>
      <c r="G795" s="32"/>
      <c r="H795" s="55">
        <f t="shared" ref="H795:H805" si="445">+F772</f>
        <v>30000</v>
      </c>
      <c r="I795" s="32">
        <f t="shared" ref="I795:I805" si="446">+E772</f>
        <v>4000</v>
      </c>
      <c r="J795" s="30">
        <f t="shared" ref="J795:J796" si="447">+SUM(C795:G795)-(H795+I795)</f>
        <v>22050</v>
      </c>
      <c r="K795" s="144" t="b">
        <f t="shared" ref="K795:K805" si="448">J795=I772</f>
        <v>1</v>
      </c>
    </row>
    <row r="796" spans="1:15" x14ac:dyDescent="0.3">
      <c r="A796" s="122" t="str">
        <f>+A795</f>
        <v>MARS</v>
      </c>
      <c r="B796" s="127" t="s">
        <v>31</v>
      </c>
      <c r="C796" s="32">
        <f t="shared" ref="C796:C797" si="449">+C773</f>
        <v>21495</v>
      </c>
      <c r="D796" s="31"/>
      <c r="E796" s="32">
        <f t="shared" ref="E796:E797" si="450">+D773</f>
        <v>139000</v>
      </c>
      <c r="F796" s="32"/>
      <c r="G796" s="32"/>
      <c r="H796" s="55">
        <f t="shared" si="445"/>
        <v>0</v>
      </c>
      <c r="I796" s="32">
        <f t="shared" si="446"/>
        <v>146500</v>
      </c>
      <c r="J796" s="101">
        <f t="shared" si="447"/>
        <v>13995</v>
      </c>
      <c r="K796" s="144" t="b">
        <f t="shared" si="448"/>
        <v>1</v>
      </c>
    </row>
    <row r="797" spans="1:15" x14ac:dyDescent="0.3">
      <c r="A797" s="122" t="str">
        <f t="shared" ref="A797:A802" si="451">+A796</f>
        <v>MARS</v>
      </c>
      <c r="B797" s="128" t="s">
        <v>144</v>
      </c>
      <c r="C797" s="32">
        <f t="shared" si="449"/>
        <v>113185</v>
      </c>
      <c r="D797" s="119"/>
      <c r="E797" s="32">
        <f t="shared" si="450"/>
        <v>188000</v>
      </c>
      <c r="F797" s="51"/>
      <c r="G797" s="51"/>
      <c r="H797" s="55">
        <f t="shared" si="445"/>
        <v>40000</v>
      </c>
      <c r="I797" s="32">
        <f t="shared" si="446"/>
        <v>224700</v>
      </c>
      <c r="J797" s="124">
        <f>+SUM(C797:G797)-(H797+I797)</f>
        <v>36485</v>
      </c>
      <c r="K797" s="144" t="b">
        <f t="shared" si="448"/>
        <v>1</v>
      </c>
    </row>
    <row r="798" spans="1:15" x14ac:dyDescent="0.3">
      <c r="A798" s="122" t="str">
        <f t="shared" si="451"/>
        <v>MARS</v>
      </c>
      <c r="B798" s="129" t="s">
        <v>84</v>
      </c>
      <c r="C798" s="120">
        <f>+C775</f>
        <v>233614</v>
      </c>
      <c r="D798" s="123"/>
      <c r="E798" s="120">
        <f>+D775</f>
        <v>0</v>
      </c>
      <c r="F798" s="137"/>
      <c r="G798" s="137"/>
      <c r="H798" s="155">
        <f t="shared" si="445"/>
        <v>0</v>
      </c>
      <c r="I798" s="120">
        <f t="shared" si="446"/>
        <v>0</v>
      </c>
      <c r="J798" s="121">
        <f>+SUM(C798:G798)-(H798+I798)</f>
        <v>233614</v>
      </c>
      <c r="K798" s="144" t="b">
        <f t="shared" si="448"/>
        <v>1</v>
      </c>
    </row>
    <row r="799" spans="1:15" x14ac:dyDescent="0.3">
      <c r="A799" s="122" t="str">
        <f t="shared" si="451"/>
        <v>MARS</v>
      </c>
      <c r="B799" s="129" t="s">
        <v>83</v>
      </c>
      <c r="C799" s="120">
        <f>+C776</f>
        <v>249769</v>
      </c>
      <c r="D799" s="123"/>
      <c r="E799" s="120">
        <f>+D776</f>
        <v>0</v>
      </c>
      <c r="F799" s="137"/>
      <c r="G799" s="137"/>
      <c r="H799" s="155">
        <f t="shared" si="445"/>
        <v>0</v>
      </c>
      <c r="I799" s="120">
        <f t="shared" si="446"/>
        <v>0</v>
      </c>
      <c r="J799" s="121">
        <f t="shared" ref="J799:J806" si="452">+SUM(C799:G799)-(H799+I799)</f>
        <v>249769</v>
      </c>
      <c r="K799" s="144" t="b">
        <f t="shared" si="448"/>
        <v>1</v>
      </c>
    </row>
    <row r="800" spans="1:15" x14ac:dyDescent="0.3">
      <c r="A800" s="122" t="str">
        <f t="shared" si="451"/>
        <v>MARS</v>
      </c>
      <c r="B800" s="127" t="s">
        <v>143</v>
      </c>
      <c r="C800" s="32">
        <f>+C777</f>
        <v>20700</v>
      </c>
      <c r="D800" s="31"/>
      <c r="E800" s="32">
        <f>+D777</f>
        <v>0</v>
      </c>
      <c r="F800" s="32"/>
      <c r="G800" s="104"/>
      <c r="H800" s="55">
        <f t="shared" si="445"/>
        <v>0</v>
      </c>
      <c r="I800" s="32">
        <f t="shared" si="446"/>
        <v>10000</v>
      </c>
      <c r="J800" s="30">
        <f t="shared" si="452"/>
        <v>10700</v>
      </c>
      <c r="K800" s="144" t="b">
        <f t="shared" si="448"/>
        <v>1</v>
      </c>
    </row>
    <row r="801" spans="1:16" x14ac:dyDescent="0.3">
      <c r="A801" s="122" t="str">
        <f t="shared" si="451"/>
        <v>MARS</v>
      </c>
      <c r="B801" s="127" t="s">
        <v>197</v>
      </c>
      <c r="C801" s="32">
        <f t="shared" ref="C801:C804" si="453">+C778</f>
        <v>0</v>
      </c>
      <c r="D801" s="31"/>
      <c r="E801" s="32">
        <f t="shared" ref="E801:E806" si="454">+D778</f>
        <v>135000</v>
      </c>
      <c r="F801" s="32"/>
      <c r="G801" s="104"/>
      <c r="H801" s="55">
        <f t="shared" si="445"/>
        <v>0</v>
      </c>
      <c r="I801" s="32">
        <f t="shared" si="446"/>
        <v>83000</v>
      </c>
      <c r="J801" s="30">
        <f t="shared" si="452"/>
        <v>52000</v>
      </c>
      <c r="K801" s="144" t="b">
        <f t="shared" si="448"/>
        <v>1</v>
      </c>
    </row>
    <row r="802" spans="1:16" x14ac:dyDescent="0.3">
      <c r="A802" s="122" t="str">
        <f t="shared" si="451"/>
        <v>MARS</v>
      </c>
      <c r="B802" s="127" t="s">
        <v>30</v>
      </c>
      <c r="C802" s="32">
        <f t="shared" si="453"/>
        <v>15550</v>
      </c>
      <c r="D802" s="31"/>
      <c r="E802" s="32">
        <f t="shared" si="454"/>
        <v>747000</v>
      </c>
      <c r="F802" s="32"/>
      <c r="G802" s="104"/>
      <c r="H802" s="55">
        <f t="shared" si="445"/>
        <v>0</v>
      </c>
      <c r="I802" s="32">
        <f t="shared" si="446"/>
        <v>646500</v>
      </c>
      <c r="J802" s="30">
        <f t="shared" si="452"/>
        <v>116050</v>
      </c>
      <c r="K802" s="144" t="b">
        <f t="shared" si="448"/>
        <v>1</v>
      </c>
    </row>
    <row r="803" spans="1:16" x14ac:dyDescent="0.3">
      <c r="A803" s="122" t="str">
        <f>+A801</f>
        <v>MARS</v>
      </c>
      <c r="B803" s="127" t="s">
        <v>93</v>
      </c>
      <c r="C803" s="32">
        <f t="shared" si="453"/>
        <v>4800</v>
      </c>
      <c r="D803" s="31"/>
      <c r="E803" s="32">
        <f t="shared" si="454"/>
        <v>20000</v>
      </c>
      <c r="F803" s="32"/>
      <c r="G803" s="104"/>
      <c r="H803" s="55">
        <f t="shared" si="445"/>
        <v>0</v>
      </c>
      <c r="I803" s="32">
        <f t="shared" si="446"/>
        <v>20400</v>
      </c>
      <c r="J803" s="30">
        <f t="shared" si="452"/>
        <v>4400</v>
      </c>
      <c r="K803" s="144" t="b">
        <f t="shared" si="448"/>
        <v>1</v>
      </c>
    </row>
    <row r="804" spans="1:16" x14ac:dyDescent="0.3">
      <c r="A804" s="122" t="str">
        <f>+A802</f>
        <v>MARS</v>
      </c>
      <c r="B804" s="127" t="s">
        <v>29</v>
      </c>
      <c r="C804" s="32">
        <f t="shared" si="453"/>
        <v>136200</v>
      </c>
      <c r="D804" s="31"/>
      <c r="E804" s="32">
        <f t="shared" si="454"/>
        <v>380000</v>
      </c>
      <c r="F804" s="32"/>
      <c r="G804" s="104"/>
      <c r="H804" s="55">
        <f t="shared" si="445"/>
        <v>0</v>
      </c>
      <c r="I804" s="32">
        <f t="shared" si="446"/>
        <v>500000</v>
      </c>
      <c r="J804" s="30">
        <f t="shared" si="452"/>
        <v>16200</v>
      </c>
      <c r="K804" s="144" t="b">
        <f t="shared" si="448"/>
        <v>1</v>
      </c>
    </row>
    <row r="805" spans="1:16" x14ac:dyDescent="0.3">
      <c r="A805" s="122" t="str">
        <f>+A803</f>
        <v>MARS</v>
      </c>
      <c r="B805" s="127" t="s">
        <v>196</v>
      </c>
      <c r="C805" s="32">
        <f>+C782</f>
        <v>0</v>
      </c>
      <c r="D805" s="31"/>
      <c r="E805" s="32">
        <f t="shared" si="454"/>
        <v>129000</v>
      </c>
      <c r="F805" s="32"/>
      <c r="G805" s="104"/>
      <c r="H805" s="55">
        <f t="shared" si="445"/>
        <v>0</v>
      </c>
      <c r="I805" s="32">
        <f t="shared" si="446"/>
        <v>123000</v>
      </c>
      <c r="J805" s="30">
        <f t="shared" ref="J805" si="455">+SUM(C805:G805)-(H805+I805)</f>
        <v>6000</v>
      </c>
      <c r="K805" s="144" t="b">
        <f t="shared" si="448"/>
        <v>1</v>
      </c>
    </row>
    <row r="806" spans="1:16" x14ac:dyDescent="0.3">
      <c r="A806" s="122" t="str">
        <f>+A804</f>
        <v>MARS</v>
      </c>
      <c r="B806" s="128" t="s">
        <v>113</v>
      </c>
      <c r="C806" s="32">
        <f t="shared" ref="C806" si="456">+C783</f>
        <v>-36737</v>
      </c>
      <c r="D806" s="119"/>
      <c r="E806" s="32">
        <f t="shared" si="454"/>
        <v>70000</v>
      </c>
      <c r="F806" s="51"/>
      <c r="G806" s="138"/>
      <c r="H806" s="55">
        <f t="shared" ref="H806" si="457">+F783</f>
        <v>0</v>
      </c>
      <c r="I806" s="32">
        <f t="shared" ref="I806" si="458">+E783</f>
        <v>824022</v>
      </c>
      <c r="J806" s="30">
        <f t="shared" si="452"/>
        <v>-790759</v>
      </c>
      <c r="K806" s="144" t="b">
        <f t="shared" ref="K806" si="459">J806=I783</f>
        <v>1</v>
      </c>
    </row>
    <row r="807" spans="1:16" x14ac:dyDescent="0.3">
      <c r="A807" s="34" t="s">
        <v>60</v>
      </c>
      <c r="B807" s="35"/>
      <c r="C807" s="35"/>
      <c r="D807" s="35"/>
      <c r="E807" s="35"/>
      <c r="F807" s="35"/>
      <c r="G807" s="35"/>
      <c r="H807" s="35"/>
      <c r="I807" s="35"/>
      <c r="J807" s="36"/>
      <c r="K807" s="143"/>
    </row>
    <row r="808" spans="1:16" x14ac:dyDescent="0.3">
      <c r="A808" s="122" t="str">
        <f>+A806</f>
        <v>MARS</v>
      </c>
      <c r="B808" s="37" t="s">
        <v>61</v>
      </c>
      <c r="C808" s="38">
        <f>+C771</f>
        <v>797106</v>
      </c>
      <c r="D808" s="49"/>
      <c r="E808" s="49">
        <f>D771</f>
        <v>4270000</v>
      </c>
      <c r="F808" s="49"/>
      <c r="G808" s="125"/>
      <c r="H808" s="51">
        <f>+F771</f>
        <v>1808000</v>
      </c>
      <c r="I808" s="126">
        <f>+E771</f>
        <v>2099084</v>
      </c>
      <c r="J808" s="30">
        <f>+SUM(C808:G808)-(H808+I808)</f>
        <v>1160022</v>
      </c>
      <c r="K808" s="144" t="b">
        <f>J808=I771</f>
        <v>1</v>
      </c>
    </row>
    <row r="809" spans="1:16" x14ac:dyDescent="0.3">
      <c r="A809" s="43" t="s">
        <v>62</v>
      </c>
      <c r="B809" s="24"/>
      <c r="C809" s="35"/>
      <c r="D809" s="24"/>
      <c r="E809" s="24"/>
      <c r="F809" s="24"/>
      <c r="G809" s="24"/>
      <c r="H809" s="24"/>
      <c r="I809" s="24"/>
      <c r="J809" s="36"/>
      <c r="K809" s="143"/>
    </row>
    <row r="810" spans="1:16" x14ac:dyDescent="0.3">
      <c r="A810" s="122" t="str">
        <f>+A808</f>
        <v>MARS</v>
      </c>
      <c r="B810" s="37" t="s">
        <v>156</v>
      </c>
      <c r="C810" s="125">
        <f>+C769</f>
        <v>888683</v>
      </c>
      <c r="D810" s="132">
        <f>+G769</f>
        <v>11432442</v>
      </c>
      <c r="E810" s="49"/>
      <c r="F810" s="49"/>
      <c r="G810" s="49"/>
      <c r="H810" s="51">
        <f>+F769</f>
        <v>2600000</v>
      </c>
      <c r="I810" s="53">
        <f>+E769</f>
        <v>543345</v>
      </c>
      <c r="J810" s="30">
        <f>+SUM(C810:G810)-(H810+I810)</f>
        <v>9177780</v>
      </c>
      <c r="K810" s="144" t="b">
        <f>+J810=I769</f>
        <v>1</v>
      </c>
    </row>
    <row r="811" spans="1:16" x14ac:dyDescent="0.3">
      <c r="A811" s="122" t="str">
        <f t="shared" ref="A811" si="460">+A810</f>
        <v>MARS</v>
      </c>
      <c r="B811" s="37" t="s">
        <v>64</v>
      </c>
      <c r="C811" s="125">
        <f>+C770</f>
        <v>882502</v>
      </c>
      <c r="D811" s="49">
        <f>+G770</f>
        <v>28356365</v>
      </c>
      <c r="E811" s="48"/>
      <c r="F811" s="48"/>
      <c r="G811" s="48"/>
      <c r="H811" s="32">
        <f>+F770</f>
        <v>1600000</v>
      </c>
      <c r="I811" s="50">
        <f>+E770</f>
        <v>6117606</v>
      </c>
      <c r="J811" s="30">
        <f>SUM(C811:G811)-(H811+I811)</f>
        <v>21521261</v>
      </c>
      <c r="K811" s="144" t="b">
        <f>+J811=I770</f>
        <v>1</v>
      </c>
    </row>
    <row r="812" spans="1:16" ht="15.6" x14ac:dyDescent="0.3">
      <c r="C812" s="141">
        <f>SUM(C795:C811)</f>
        <v>3382917</v>
      </c>
      <c r="I812" s="140">
        <f>SUM(I795:I811)</f>
        <v>11342157</v>
      </c>
      <c r="J812" s="105">
        <f>+SUM(J795:J811)</f>
        <v>31829567</v>
      </c>
      <c r="K812" s="5" t="b">
        <f>J812=I784</f>
        <v>1</v>
      </c>
    </row>
    <row r="813" spans="1:16" ht="15.6" x14ac:dyDescent="0.3">
      <c r="A813" s="160"/>
      <c r="B813" s="160"/>
      <c r="C813" s="161"/>
      <c r="D813" s="160"/>
      <c r="E813" s="160"/>
      <c r="F813" s="160"/>
      <c r="G813" s="160"/>
      <c r="H813" s="160"/>
      <c r="I813" s="162"/>
      <c r="J813" s="163"/>
      <c r="K813" s="160"/>
      <c r="L813" s="164"/>
      <c r="M813" s="164"/>
      <c r="N813" s="164"/>
      <c r="O813" s="164"/>
      <c r="P813" s="160"/>
    </row>
    <row r="817" spans="1:15" ht="15.6" x14ac:dyDescent="0.3">
      <c r="A817" s="6" t="s">
        <v>36</v>
      </c>
      <c r="B817" s="6" t="s">
        <v>1</v>
      </c>
      <c r="C817" s="6">
        <v>44593</v>
      </c>
      <c r="D817" s="7" t="s">
        <v>37</v>
      </c>
      <c r="E817" s="7" t="s">
        <v>38</v>
      </c>
      <c r="F817" s="7" t="s">
        <v>39</v>
      </c>
      <c r="G817" s="7" t="s">
        <v>40</v>
      </c>
      <c r="H817" s="6">
        <v>44620</v>
      </c>
      <c r="I817" s="7" t="s">
        <v>41</v>
      </c>
      <c r="K817" s="45"/>
      <c r="L817" s="45" t="s">
        <v>42</v>
      </c>
      <c r="M817" s="45" t="s">
        <v>43</v>
      </c>
      <c r="N817" s="45" t="s">
        <v>44</v>
      </c>
      <c r="O817" s="45" t="s">
        <v>45</v>
      </c>
    </row>
    <row r="818" spans="1:15" x14ac:dyDescent="0.3">
      <c r="A818" s="58" t="str">
        <f>+K818</f>
        <v>B52</v>
      </c>
      <c r="B818" s="59" t="s">
        <v>4</v>
      </c>
      <c r="C818" s="61">
        <v>500</v>
      </c>
      <c r="D818" s="61">
        <f t="shared" ref="D818:D831" si="461">+L818</f>
        <v>50000</v>
      </c>
      <c r="E818" s="61">
        <f>+N818</f>
        <v>50500</v>
      </c>
      <c r="F818" s="61">
        <f>+M818</f>
        <v>0</v>
      </c>
      <c r="G818" s="61">
        <f t="shared" ref="G818:G829" si="462">+O818</f>
        <v>0</v>
      </c>
      <c r="H818" s="61">
        <v>0</v>
      </c>
      <c r="I818" s="61">
        <f>+C818+D818-E818-F818+G818</f>
        <v>0</v>
      </c>
      <c r="J818" s="9">
        <f>I818-H818</f>
        <v>0</v>
      </c>
      <c r="K818" s="45" t="s">
        <v>162</v>
      </c>
      <c r="L818" s="47">
        <v>50000</v>
      </c>
      <c r="M818" s="47">
        <v>0</v>
      </c>
      <c r="N818" s="47">
        <v>50500</v>
      </c>
      <c r="O818" s="47">
        <v>0</v>
      </c>
    </row>
    <row r="819" spans="1:15" x14ac:dyDescent="0.3">
      <c r="A819" s="58" t="str">
        <f>+K819</f>
        <v>BCI</v>
      </c>
      <c r="B819" s="59" t="s">
        <v>46</v>
      </c>
      <c r="C819" s="61">
        <v>2172028</v>
      </c>
      <c r="D819" s="61">
        <f t="shared" si="461"/>
        <v>0</v>
      </c>
      <c r="E819" s="61">
        <f>+N819</f>
        <v>283345</v>
      </c>
      <c r="F819" s="61">
        <f>+M819</f>
        <v>1000000</v>
      </c>
      <c r="G819" s="61">
        <f t="shared" si="462"/>
        <v>0</v>
      </c>
      <c r="H819" s="61">
        <v>888683</v>
      </c>
      <c r="I819" s="61">
        <f>+C819+D819-E819-F819+G819</f>
        <v>888683</v>
      </c>
      <c r="J819" s="9">
        <f t="shared" ref="J819:J826" si="463">I819-H819</f>
        <v>0</v>
      </c>
      <c r="K819" s="45" t="s">
        <v>24</v>
      </c>
      <c r="L819" s="47">
        <v>0</v>
      </c>
      <c r="M819" s="47">
        <v>1000000</v>
      </c>
      <c r="N819" s="47">
        <v>283345</v>
      </c>
      <c r="O819" s="47">
        <v>0</v>
      </c>
    </row>
    <row r="820" spans="1:15" x14ac:dyDescent="0.3">
      <c r="A820" s="58" t="str">
        <f t="shared" ref="A820:A822" si="464">+K820</f>
        <v>BCI-Sous Compte</v>
      </c>
      <c r="B820" s="59" t="s">
        <v>46</v>
      </c>
      <c r="C820" s="61">
        <v>14143094</v>
      </c>
      <c r="D820" s="61">
        <f t="shared" si="461"/>
        <v>0</v>
      </c>
      <c r="E820" s="61">
        <f>+N820</f>
        <v>4260592</v>
      </c>
      <c r="F820" s="61">
        <f>+M820</f>
        <v>9000000</v>
      </c>
      <c r="G820" s="61">
        <f t="shared" si="462"/>
        <v>0</v>
      </c>
      <c r="H820" s="61">
        <v>882502</v>
      </c>
      <c r="I820" s="61">
        <f>+C820+D820-E820-F820+G820</f>
        <v>882502</v>
      </c>
      <c r="J820" s="102">
        <f t="shared" si="463"/>
        <v>0</v>
      </c>
      <c r="K820" s="45" t="s">
        <v>148</v>
      </c>
      <c r="L820" s="47">
        <v>0</v>
      </c>
      <c r="M820" s="47">
        <v>9000000</v>
      </c>
      <c r="N820" s="47">
        <v>4260592</v>
      </c>
      <c r="O820" s="47">
        <v>0</v>
      </c>
    </row>
    <row r="821" spans="1:15" x14ac:dyDescent="0.3">
      <c r="A821" s="58" t="str">
        <f t="shared" si="464"/>
        <v>Caisse</v>
      </c>
      <c r="B821" s="59" t="s">
        <v>25</v>
      </c>
      <c r="C821" s="61">
        <v>580885</v>
      </c>
      <c r="D821" s="61">
        <f t="shared" si="461"/>
        <v>10511000</v>
      </c>
      <c r="E821" s="61">
        <f t="shared" ref="E821" si="465">+N821</f>
        <v>2520779</v>
      </c>
      <c r="F821" s="61">
        <f t="shared" ref="F821:F829" si="466">+M821</f>
        <v>7774000</v>
      </c>
      <c r="G821" s="61">
        <f t="shared" si="462"/>
        <v>0</v>
      </c>
      <c r="H821" s="61">
        <v>797106</v>
      </c>
      <c r="I821" s="61">
        <f>+C821+D821-E821-F821+G821</f>
        <v>797106</v>
      </c>
      <c r="J821" s="9">
        <f t="shared" si="463"/>
        <v>0</v>
      </c>
      <c r="K821" s="45" t="s">
        <v>25</v>
      </c>
      <c r="L821" s="47">
        <v>10511000</v>
      </c>
      <c r="M821" s="47">
        <v>7774000</v>
      </c>
      <c r="N821" s="47">
        <v>2520779</v>
      </c>
      <c r="O821" s="47">
        <v>0</v>
      </c>
    </row>
    <row r="822" spans="1:15" x14ac:dyDescent="0.3">
      <c r="A822" s="58" t="str">
        <f t="shared" si="464"/>
        <v>Crépin</v>
      </c>
      <c r="B822" s="59" t="s">
        <v>154</v>
      </c>
      <c r="C822" s="61">
        <v>9000</v>
      </c>
      <c r="D822" s="61">
        <f t="shared" si="461"/>
        <v>2509000</v>
      </c>
      <c r="E822" s="61">
        <f>+N822</f>
        <v>2021950</v>
      </c>
      <c r="F822" s="61">
        <f t="shared" si="466"/>
        <v>440000</v>
      </c>
      <c r="G822" s="61">
        <f t="shared" si="462"/>
        <v>0</v>
      </c>
      <c r="H822" s="61">
        <v>56050</v>
      </c>
      <c r="I822" s="61">
        <f t="shared" ref="I822" si="467">+C822+D822-E822-F822+G822</f>
        <v>56050</v>
      </c>
      <c r="J822" s="9">
        <f t="shared" si="463"/>
        <v>0</v>
      </c>
      <c r="K822" s="45" t="s">
        <v>47</v>
      </c>
      <c r="L822" s="47">
        <v>2509000</v>
      </c>
      <c r="M822" s="47">
        <v>440000</v>
      </c>
      <c r="N822" s="47">
        <v>2021950</v>
      </c>
      <c r="O822" s="47">
        <v>0</v>
      </c>
    </row>
    <row r="823" spans="1:15" x14ac:dyDescent="0.3">
      <c r="A823" s="58" t="str">
        <f>K823</f>
        <v>Evariste</v>
      </c>
      <c r="B823" s="59" t="s">
        <v>155</v>
      </c>
      <c r="C823" s="61">
        <v>8645</v>
      </c>
      <c r="D823" s="61">
        <f t="shared" si="461"/>
        <v>614000</v>
      </c>
      <c r="E823" s="61">
        <f t="shared" ref="E823" si="468">+N823</f>
        <v>601150</v>
      </c>
      <c r="F823" s="61">
        <f t="shared" si="466"/>
        <v>0</v>
      </c>
      <c r="G823" s="61">
        <f t="shared" si="462"/>
        <v>0</v>
      </c>
      <c r="H823" s="61">
        <v>21495</v>
      </c>
      <c r="I823" s="61">
        <f>+C823+D823-E823-F823+G823</f>
        <v>21495</v>
      </c>
      <c r="J823" s="9">
        <f t="shared" si="463"/>
        <v>0</v>
      </c>
      <c r="K823" s="45" t="s">
        <v>31</v>
      </c>
      <c r="L823" s="47">
        <v>614000</v>
      </c>
      <c r="M823" s="47">
        <v>0</v>
      </c>
      <c r="N823" s="47">
        <v>601150</v>
      </c>
      <c r="O823" s="47">
        <v>0</v>
      </c>
    </row>
    <row r="824" spans="1:15" x14ac:dyDescent="0.3">
      <c r="A824" s="115" t="str">
        <f t="shared" ref="A824:A831" si="469">+K824</f>
        <v>I55S</v>
      </c>
      <c r="B824" s="116" t="s">
        <v>4</v>
      </c>
      <c r="C824" s="118">
        <v>233614</v>
      </c>
      <c r="D824" s="118">
        <f t="shared" si="461"/>
        <v>0</v>
      </c>
      <c r="E824" s="118">
        <f>+N824</f>
        <v>0</v>
      </c>
      <c r="F824" s="118">
        <f t="shared" si="466"/>
        <v>0</v>
      </c>
      <c r="G824" s="118">
        <f t="shared" si="462"/>
        <v>0</v>
      </c>
      <c r="H824" s="118">
        <v>233614</v>
      </c>
      <c r="I824" s="118">
        <f>+C824+D824-E824-F824+G824</f>
        <v>233614</v>
      </c>
      <c r="J824" s="9">
        <f t="shared" si="463"/>
        <v>0</v>
      </c>
      <c r="K824" s="45" t="s">
        <v>84</v>
      </c>
      <c r="L824" s="47">
        <v>0</v>
      </c>
      <c r="M824" s="47">
        <v>0</v>
      </c>
      <c r="N824" s="47">
        <v>0</v>
      </c>
      <c r="O824" s="47">
        <v>0</v>
      </c>
    </row>
    <row r="825" spans="1:15" x14ac:dyDescent="0.3">
      <c r="A825" s="115" t="str">
        <f t="shared" si="469"/>
        <v>I73X</v>
      </c>
      <c r="B825" s="116" t="s">
        <v>4</v>
      </c>
      <c r="C825" s="118">
        <v>249769</v>
      </c>
      <c r="D825" s="118">
        <f t="shared" si="461"/>
        <v>0</v>
      </c>
      <c r="E825" s="118">
        <f>+N825</f>
        <v>0</v>
      </c>
      <c r="F825" s="118">
        <f t="shared" si="466"/>
        <v>0</v>
      </c>
      <c r="G825" s="118">
        <f t="shared" si="462"/>
        <v>0</v>
      </c>
      <c r="H825" s="118">
        <v>249769</v>
      </c>
      <c r="I825" s="118">
        <f t="shared" ref="I825:I828" si="470">+C825+D825-E825-F825+G825</f>
        <v>249769</v>
      </c>
      <c r="J825" s="9">
        <f t="shared" si="463"/>
        <v>0</v>
      </c>
      <c r="K825" s="45" t="s">
        <v>83</v>
      </c>
      <c r="L825" s="47">
        <v>0</v>
      </c>
      <c r="M825" s="47">
        <v>0</v>
      </c>
      <c r="N825" s="47">
        <v>0</v>
      </c>
      <c r="O825" s="47">
        <v>0</v>
      </c>
    </row>
    <row r="826" spans="1:15" x14ac:dyDescent="0.3">
      <c r="A826" s="58" t="str">
        <f t="shared" si="469"/>
        <v>Godfré</v>
      </c>
      <c r="B826" s="98" t="s">
        <v>154</v>
      </c>
      <c r="C826" s="61">
        <v>79935</v>
      </c>
      <c r="D826" s="61">
        <f t="shared" si="461"/>
        <v>1202000</v>
      </c>
      <c r="E826" s="154">
        <f t="shared" ref="E826" si="471">+N826</f>
        <v>1118750</v>
      </c>
      <c r="F826" s="61">
        <f t="shared" si="466"/>
        <v>50000</v>
      </c>
      <c r="G826" s="61">
        <f t="shared" si="462"/>
        <v>0</v>
      </c>
      <c r="H826" s="61">
        <v>113185</v>
      </c>
      <c r="I826" s="61">
        <f t="shared" si="470"/>
        <v>113185</v>
      </c>
      <c r="J826" s="9">
        <f t="shared" si="463"/>
        <v>0</v>
      </c>
      <c r="K826" s="45" t="s">
        <v>144</v>
      </c>
      <c r="L826" s="47">
        <v>1202000</v>
      </c>
      <c r="M826" s="47">
        <v>50000</v>
      </c>
      <c r="N826" s="47">
        <v>1118750</v>
      </c>
      <c r="O826" s="47">
        <v>0</v>
      </c>
    </row>
    <row r="827" spans="1:15" x14ac:dyDescent="0.3">
      <c r="A827" s="58" t="str">
        <f t="shared" si="469"/>
        <v>Grace</v>
      </c>
      <c r="B827" s="59" t="s">
        <v>2</v>
      </c>
      <c r="C827" s="61">
        <v>19800</v>
      </c>
      <c r="D827" s="61">
        <f t="shared" si="461"/>
        <v>3247000</v>
      </c>
      <c r="E827" s="154">
        <f>+N827</f>
        <v>1165100</v>
      </c>
      <c r="F827" s="61">
        <f t="shared" si="466"/>
        <v>2081000</v>
      </c>
      <c r="G827" s="61">
        <f t="shared" si="462"/>
        <v>0</v>
      </c>
      <c r="H827" s="61">
        <v>20700</v>
      </c>
      <c r="I827" s="61">
        <f t="shared" si="470"/>
        <v>20700</v>
      </c>
      <c r="J827" s="9">
        <f>I827-H827</f>
        <v>0</v>
      </c>
      <c r="K827" s="45" t="s">
        <v>143</v>
      </c>
      <c r="L827" s="47">
        <v>3247000</v>
      </c>
      <c r="M827" s="47">
        <v>2081000</v>
      </c>
      <c r="N827" s="47">
        <v>1165100</v>
      </c>
      <c r="O827" s="47">
        <v>0</v>
      </c>
    </row>
    <row r="828" spans="1:15" x14ac:dyDescent="0.3">
      <c r="A828" s="58" t="str">
        <f t="shared" si="469"/>
        <v>I23C</v>
      </c>
      <c r="B828" s="98" t="s">
        <v>4</v>
      </c>
      <c r="C828" s="61">
        <v>30550</v>
      </c>
      <c r="D828" s="61">
        <f t="shared" si="461"/>
        <v>1493000</v>
      </c>
      <c r="E828" s="154">
        <f t="shared" ref="E828:E831" si="472">+N828</f>
        <v>1238000</v>
      </c>
      <c r="F828" s="61">
        <f t="shared" si="466"/>
        <v>270000</v>
      </c>
      <c r="G828" s="61">
        <f t="shared" si="462"/>
        <v>0</v>
      </c>
      <c r="H828" s="61">
        <v>15550</v>
      </c>
      <c r="I828" s="61">
        <f t="shared" si="470"/>
        <v>15550</v>
      </c>
      <c r="J828" s="9">
        <f t="shared" ref="J828:J829" si="473">I828-H828</f>
        <v>0</v>
      </c>
      <c r="K828" s="45" t="s">
        <v>30</v>
      </c>
      <c r="L828" s="47">
        <v>1493000</v>
      </c>
      <c r="M828" s="47">
        <v>270000</v>
      </c>
      <c r="N828" s="47">
        <v>1238000</v>
      </c>
      <c r="O828" s="47">
        <v>0</v>
      </c>
    </row>
    <row r="829" spans="1:15" x14ac:dyDescent="0.3">
      <c r="A829" s="58" t="str">
        <f t="shared" si="469"/>
        <v>Merveille</v>
      </c>
      <c r="B829" s="59" t="s">
        <v>2</v>
      </c>
      <c r="C829" s="61">
        <v>13000</v>
      </c>
      <c r="D829" s="61">
        <f t="shared" si="461"/>
        <v>50000</v>
      </c>
      <c r="E829" s="154">
        <f t="shared" si="472"/>
        <v>58200</v>
      </c>
      <c r="F829" s="61">
        <f t="shared" si="466"/>
        <v>0</v>
      </c>
      <c r="G829" s="61">
        <f t="shared" si="462"/>
        <v>0</v>
      </c>
      <c r="H829" s="61">
        <v>4800</v>
      </c>
      <c r="I829" s="61">
        <f>+C829+D829-E829-F829+G829</f>
        <v>4800</v>
      </c>
      <c r="J829" s="9">
        <f t="shared" si="473"/>
        <v>0</v>
      </c>
      <c r="K829" s="45" t="s">
        <v>93</v>
      </c>
      <c r="L829" s="47">
        <v>50000</v>
      </c>
      <c r="M829" s="47">
        <v>0</v>
      </c>
      <c r="N829" s="47">
        <v>58200</v>
      </c>
      <c r="O829" s="47"/>
    </row>
    <row r="830" spans="1:15" x14ac:dyDescent="0.3">
      <c r="A830" s="58" t="str">
        <f t="shared" si="469"/>
        <v>P29</v>
      </c>
      <c r="B830" s="59" t="s">
        <v>4</v>
      </c>
      <c r="C830" s="61">
        <v>55700</v>
      </c>
      <c r="D830" s="61">
        <f t="shared" si="461"/>
        <v>1029000</v>
      </c>
      <c r="E830" s="154">
        <f t="shared" si="472"/>
        <v>648500</v>
      </c>
      <c r="F830" s="61">
        <f>+M830</f>
        <v>300000</v>
      </c>
      <c r="G830" s="61">
        <f>+O830</f>
        <v>0</v>
      </c>
      <c r="H830" s="61">
        <v>136200</v>
      </c>
      <c r="I830" s="61">
        <f>+C830+D830-E830-F830+G830</f>
        <v>136200</v>
      </c>
      <c r="J830" s="9">
        <f>I830-H830</f>
        <v>0</v>
      </c>
      <c r="K830" s="45" t="s">
        <v>29</v>
      </c>
      <c r="L830" s="47">
        <v>1029000</v>
      </c>
      <c r="M830" s="47">
        <v>300000</v>
      </c>
      <c r="N830" s="47">
        <v>648500</v>
      </c>
      <c r="O830" s="47">
        <v>0</v>
      </c>
    </row>
    <row r="831" spans="1:15" x14ac:dyDescent="0.3">
      <c r="A831" s="58" t="str">
        <f t="shared" si="469"/>
        <v>Tiffany</v>
      </c>
      <c r="B831" s="59" t="s">
        <v>2</v>
      </c>
      <c r="C831" s="61">
        <v>-36237</v>
      </c>
      <c r="D831" s="61">
        <f t="shared" si="461"/>
        <v>210000</v>
      </c>
      <c r="E831" s="154">
        <f t="shared" si="472"/>
        <v>210500</v>
      </c>
      <c r="F831" s="61">
        <f t="shared" ref="F831" si="474">+M831</f>
        <v>0</v>
      </c>
      <c r="G831" s="61">
        <f t="shared" ref="G831" si="475">+O831</f>
        <v>0</v>
      </c>
      <c r="H831" s="61">
        <v>-36737</v>
      </c>
      <c r="I831" s="61">
        <f t="shared" ref="I831" si="476">+C831+D831-E831-F831+G831</f>
        <v>-36737</v>
      </c>
      <c r="J831" s="9">
        <f t="shared" ref="J831" si="477">I831-H831</f>
        <v>0</v>
      </c>
      <c r="K831" s="45" t="s">
        <v>113</v>
      </c>
      <c r="L831" s="47">
        <v>210000</v>
      </c>
      <c r="M831" s="47">
        <v>0</v>
      </c>
      <c r="N831" s="47">
        <v>210500</v>
      </c>
      <c r="O831" s="47">
        <v>0</v>
      </c>
    </row>
    <row r="832" spans="1:15" x14ac:dyDescent="0.3">
      <c r="A832" s="10" t="s">
        <v>50</v>
      </c>
      <c r="B832" s="11"/>
      <c r="C832" s="12">
        <f t="shared" ref="C832:I832" si="478">SUM(C818:C831)</f>
        <v>17560283</v>
      </c>
      <c r="D832" s="57">
        <f t="shared" si="478"/>
        <v>20915000</v>
      </c>
      <c r="E832" s="57">
        <f t="shared" si="478"/>
        <v>14177366</v>
      </c>
      <c r="F832" s="57">
        <f t="shared" si="478"/>
        <v>20915000</v>
      </c>
      <c r="G832" s="57">
        <f t="shared" si="478"/>
        <v>0</v>
      </c>
      <c r="H832" s="57">
        <f t="shared" si="478"/>
        <v>3382917</v>
      </c>
      <c r="I832" s="57">
        <f t="shared" si="478"/>
        <v>3382917</v>
      </c>
      <c r="J832" s="9">
        <f>I832-H832</f>
        <v>0</v>
      </c>
      <c r="K832" s="3"/>
      <c r="L832" s="47">
        <f>+SUM(L818:L831)</f>
        <v>20915000</v>
      </c>
      <c r="M832" s="47">
        <f>+SUM(M818:M831)</f>
        <v>20915000</v>
      </c>
      <c r="N832" s="47">
        <f>+SUM(N818:N831)</f>
        <v>14177366</v>
      </c>
      <c r="O832" s="47">
        <f>+SUM(O818:O831)</f>
        <v>0</v>
      </c>
    </row>
    <row r="833" spans="1:15" x14ac:dyDescent="0.3">
      <c r="A833" s="10"/>
      <c r="B833" s="11"/>
      <c r="C833" s="12"/>
      <c r="D833" s="13"/>
      <c r="E833" s="12"/>
      <c r="F833" s="13"/>
      <c r="G833" s="12"/>
      <c r="H833" s="12"/>
      <c r="I833" s="134" t="b">
        <f>I832=D835</f>
        <v>1</v>
      </c>
      <c r="L833" s="5"/>
      <c r="M833" s="5"/>
      <c r="N833" s="5"/>
      <c r="O833" s="5"/>
    </row>
    <row r="834" spans="1:15" x14ac:dyDescent="0.3">
      <c r="A834" s="10" t="s">
        <v>182</v>
      </c>
      <c r="B834" s="11" t="s">
        <v>183</v>
      </c>
      <c r="C834" s="12" t="s">
        <v>184</v>
      </c>
      <c r="D834" s="12" t="s">
        <v>195</v>
      </c>
      <c r="E834" s="12" t="s">
        <v>51</v>
      </c>
      <c r="F834" s="12"/>
      <c r="G834" s="12">
        <f>+D832-F832</f>
        <v>0</v>
      </c>
      <c r="H834" s="12"/>
      <c r="I834" s="12"/>
    </row>
    <row r="835" spans="1:15" x14ac:dyDescent="0.3">
      <c r="A835" s="14">
        <f>C832</f>
        <v>17560283</v>
      </c>
      <c r="B835" s="15">
        <f>G832</f>
        <v>0</v>
      </c>
      <c r="C835" s="12">
        <f>E832</f>
        <v>14177366</v>
      </c>
      <c r="D835" s="12">
        <f>A835+B835-C835</f>
        <v>3382917</v>
      </c>
      <c r="E835" s="13">
        <f>I832-D835</f>
        <v>0</v>
      </c>
      <c r="F835" s="12"/>
      <c r="G835" s="12"/>
      <c r="H835" s="12"/>
      <c r="I835" s="12"/>
    </row>
    <row r="836" spans="1:15" x14ac:dyDescent="0.3">
      <c r="A836" s="14"/>
      <c r="B836" s="15"/>
      <c r="C836" s="12"/>
      <c r="D836" s="12"/>
      <c r="E836" s="13"/>
      <c r="F836" s="12"/>
      <c r="G836" s="12"/>
      <c r="H836" s="12"/>
      <c r="I836" s="12"/>
    </row>
    <row r="837" spans="1:15" x14ac:dyDescent="0.3">
      <c r="A837" s="16" t="s">
        <v>52</v>
      </c>
      <c r="B837" s="16"/>
      <c r="C837" s="16"/>
      <c r="D837" s="17"/>
      <c r="E837" s="17"/>
      <c r="F837" s="17"/>
      <c r="G837" s="17"/>
      <c r="H837" s="17"/>
      <c r="I837" s="17"/>
    </row>
    <row r="838" spans="1:15" x14ac:dyDescent="0.3">
      <c r="A838" s="18" t="s">
        <v>186</v>
      </c>
      <c r="B838" s="18"/>
      <c r="C838" s="18"/>
      <c r="D838" s="18"/>
      <c r="E838" s="18"/>
      <c r="F838" s="18"/>
      <c r="G838" s="18"/>
      <c r="H838" s="18"/>
      <c r="I838" s="18"/>
      <c r="J838" s="18"/>
    </row>
    <row r="839" spans="1:15" x14ac:dyDescent="0.3">
      <c r="A839" s="19"/>
      <c r="B839" s="17"/>
      <c r="C839" s="20"/>
      <c r="D839" s="20"/>
      <c r="E839" s="20"/>
      <c r="F839" s="20"/>
      <c r="G839" s="20"/>
      <c r="H839" s="17"/>
      <c r="I839" s="17"/>
    </row>
    <row r="840" spans="1:15" x14ac:dyDescent="0.3">
      <c r="A840" s="169" t="s">
        <v>53</v>
      </c>
      <c r="B840" s="171" t="s">
        <v>54</v>
      </c>
      <c r="C840" s="173" t="s">
        <v>185</v>
      </c>
      <c r="D840" s="174" t="s">
        <v>55</v>
      </c>
      <c r="E840" s="175"/>
      <c r="F840" s="175"/>
      <c r="G840" s="176"/>
      <c r="H840" s="177" t="s">
        <v>56</v>
      </c>
      <c r="I840" s="165" t="s">
        <v>57</v>
      </c>
      <c r="J840" s="17"/>
    </row>
    <row r="841" spans="1:15" ht="28.5" customHeight="1" x14ac:dyDescent="0.3">
      <c r="A841" s="170"/>
      <c r="B841" s="172"/>
      <c r="C841" s="22"/>
      <c r="D841" s="21" t="s">
        <v>24</v>
      </c>
      <c r="E841" s="21" t="s">
        <v>25</v>
      </c>
      <c r="F841" s="22" t="s">
        <v>123</v>
      </c>
      <c r="G841" s="21" t="s">
        <v>58</v>
      </c>
      <c r="H841" s="178"/>
      <c r="I841" s="166"/>
      <c r="J841" s="167" t="s">
        <v>187</v>
      </c>
      <c r="K841" s="143"/>
    </row>
    <row r="842" spans="1:15" x14ac:dyDescent="0.3">
      <c r="A842" s="23"/>
      <c r="B842" s="24" t="s">
        <v>59</v>
      </c>
      <c r="C842" s="25"/>
      <c r="D842" s="25"/>
      <c r="E842" s="25"/>
      <c r="F842" s="25"/>
      <c r="G842" s="25"/>
      <c r="H842" s="25"/>
      <c r="I842" s="26"/>
      <c r="J842" s="168"/>
      <c r="K842" s="143"/>
    </row>
    <row r="843" spans="1:15" x14ac:dyDescent="0.3">
      <c r="A843" s="122" t="s">
        <v>115</v>
      </c>
      <c r="B843" s="127" t="s">
        <v>162</v>
      </c>
      <c r="C843" s="32">
        <f>+C818</f>
        <v>500</v>
      </c>
      <c r="D843" s="31"/>
      <c r="E843" s="32">
        <f>+D818</f>
        <v>50000</v>
      </c>
      <c r="F843" s="32"/>
      <c r="G843" s="32"/>
      <c r="H843" s="55">
        <f>+F818</f>
        <v>0</v>
      </c>
      <c r="I843" s="32">
        <f>+E818</f>
        <v>50500</v>
      </c>
      <c r="J843" s="30">
        <f t="shared" ref="J843:J844" si="479">+SUM(C843:G843)-(H843+I843)</f>
        <v>0</v>
      </c>
      <c r="K843" s="144" t="b">
        <f>J843=I818</f>
        <v>1</v>
      </c>
    </row>
    <row r="844" spans="1:15" x14ac:dyDescent="0.3">
      <c r="A844" s="122" t="str">
        <f>+A843</f>
        <v>FEVRIER</v>
      </c>
      <c r="B844" s="127" t="s">
        <v>47</v>
      </c>
      <c r="C844" s="32">
        <f>+C822</f>
        <v>9000</v>
      </c>
      <c r="D844" s="31"/>
      <c r="E844" s="32">
        <f>+D822</f>
        <v>2509000</v>
      </c>
      <c r="F844" s="32"/>
      <c r="G844" s="32"/>
      <c r="H844" s="55">
        <f>+F822</f>
        <v>440000</v>
      </c>
      <c r="I844" s="32">
        <f>+E822</f>
        <v>2021950</v>
      </c>
      <c r="J844" s="101">
        <f t="shared" si="479"/>
        <v>56050</v>
      </c>
      <c r="K844" s="144" t="b">
        <f t="shared" ref="K844:K853" si="480">J844=I822</f>
        <v>1</v>
      </c>
    </row>
    <row r="845" spans="1:15" x14ac:dyDescent="0.3">
      <c r="A845" s="122" t="str">
        <f t="shared" ref="A845:A853" si="481">+A844</f>
        <v>FEVRIER</v>
      </c>
      <c r="B845" s="128" t="s">
        <v>31</v>
      </c>
      <c r="C845" s="32">
        <f>+C823</f>
        <v>8645</v>
      </c>
      <c r="D845" s="119"/>
      <c r="E845" s="32">
        <f>+D823</f>
        <v>614000</v>
      </c>
      <c r="F845" s="51"/>
      <c r="G845" s="51"/>
      <c r="H845" s="55">
        <f>+F823</f>
        <v>0</v>
      </c>
      <c r="I845" s="32">
        <f>+E823</f>
        <v>601150</v>
      </c>
      <c r="J845" s="124">
        <f>+SUM(C845:G845)-(H845+I845)</f>
        <v>21495</v>
      </c>
      <c r="K845" s="144" t="b">
        <f t="shared" si="480"/>
        <v>1</v>
      </c>
    </row>
    <row r="846" spans="1:15" x14ac:dyDescent="0.3">
      <c r="A846" s="122" t="str">
        <f t="shared" si="481"/>
        <v>FEVRIER</v>
      </c>
      <c r="B846" s="129" t="s">
        <v>84</v>
      </c>
      <c r="C846" s="120">
        <f>+C824</f>
        <v>233614</v>
      </c>
      <c r="D846" s="123"/>
      <c r="E846" s="120">
        <f>+D824</f>
        <v>0</v>
      </c>
      <c r="F846" s="137"/>
      <c r="G846" s="137"/>
      <c r="H846" s="155">
        <f>+F824</f>
        <v>0</v>
      </c>
      <c r="I846" s="120">
        <f>+E824</f>
        <v>0</v>
      </c>
      <c r="J846" s="121">
        <f>+SUM(C846:G846)-(H846+I846)</f>
        <v>233614</v>
      </c>
      <c r="K846" s="144" t="b">
        <f t="shared" si="480"/>
        <v>1</v>
      </c>
    </row>
    <row r="847" spans="1:15" x14ac:dyDescent="0.3">
      <c r="A847" s="122" t="str">
        <f t="shared" si="481"/>
        <v>FEVRIER</v>
      </c>
      <c r="B847" s="129" t="s">
        <v>83</v>
      </c>
      <c r="C847" s="120">
        <f>+C825</f>
        <v>249769</v>
      </c>
      <c r="D847" s="123"/>
      <c r="E847" s="120">
        <f>+D825</f>
        <v>0</v>
      </c>
      <c r="F847" s="137"/>
      <c r="G847" s="137"/>
      <c r="H847" s="155">
        <f>+F825</f>
        <v>0</v>
      </c>
      <c r="I847" s="120">
        <f>+E825</f>
        <v>0</v>
      </c>
      <c r="J847" s="121">
        <f t="shared" ref="J847:J853" si="482">+SUM(C847:G847)-(H847+I847)</f>
        <v>249769</v>
      </c>
      <c r="K847" s="144" t="b">
        <f t="shared" si="480"/>
        <v>1</v>
      </c>
    </row>
    <row r="848" spans="1:15" x14ac:dyDescent="0.3">
      <c r="A848" s="122" t="str">
        <f t="shared" si="481"/>
        <v>FEVRIER</v>
      </c>
      <c r="B848" s="127" t="s">
        <v>144</v>
      </c>
      <c r="C848" s="32">
        <f>+C826</f>
        <v>79935</v>
      </c>
      <c r="D848" s="31"/>
      <c r="E848" s="32">
        <f>+D826</f>
        <v>1202000</v>
      </c>
      <c r="F848" s="32"/>
      <c r="G848" s="104"/>
      <c r="H848" s="55">
        <f>+F826</f>
        <v>50000</v>
      </c>
      <c r="I848" s="32">
        <f>+E826</f>
        <v>1118750</v>
      </c>
      <c r="J848" s="30">
        <f t="shared" si="482"/>
        <v>113185</v>
      </c>
      <c r="K848" s="144" t="b">
        <f t="shared" si="480"/>
        <v>1</v>
      </c>
    </row>
    <row r="849" spans="1:16" x14ac:dyDescent="0.3">
      <c r="A849" s="122" t="str">
        <f t="shared" si="481"/>
        <v>FEVRIER</v>
      </c>
      <c r="B849" s="127" t="s">
        <v>143</v>
      </c>
      <c r="C849" s="32">
        <f t="shared" ref="C849:C853" si="483">+C827</f>
        <v>19800</v>
      </c>
      <c r="D849" s="31"/>
      <c r="E849" s="32">
        <f t="shared" ref="E849:E853" si="484">+D827</f>
        <v>3247000</v>
      </c>
      <c r="F849" s="32"/>
      <c r="G849" s="104"/>
      <c r="H849" s="55">
        <f t="shared" ref="H849:H853" si="485">+F827</f>
        <v>2081000</v>
      </c>
      <c r="I849" s="32">
        <f t="shared" ref="I849:I853" si="486">+E827</f>
        <v>1165100</v>
      </c>
      <c r="J849" s="30">
        <f t="shared" si="482"/>
        <v>20700</v>
      </c>
      <c r="K849" s="144" t="b">
        <f t="shared" si="480"/>
        <v>1</v>
      </c>
    </row>
    <row r="850" spans="1:16" x14ac:dyDescent="0.3">
      <c r="A850" s="122" t="str">
        <f t="shared" si="481"/>
        <v>FEVRIER</v>
      </c>
      <c r="B850" s="127" t="s">
        <v>30</v>
      </c>
      <c r="C850" s="32">
        <f t="shared" si="483"/>
        <v>30550</v>
      </c>
      <c r="D850" s="31"/>
      <c r="E850" s="32">
        <f t="shared" si="484"/>
        <v>1493000</v>
      </c>
      <c r="F850" s="32"/>
      <c r="G850" s="104"/>
      <c r="H850" s="55">
        <f t="shared" si="485"/>
        <v>270000</v>
      </c>
      <c r="I850" s="32">
        <f t="shared" si="486"/>
        <v>1238000</v>
      </c>
      <c r="J850" s="30">
        <f t="shared" si="482"/>
        <v>15550</v>
      </c>
      <c r="K850" s="144" t="b">
        <f t="shared" si="480"/>
        <v>1</v>
      </c>
    </row>
    <row r="851" spans="1:16" x14ac:dyDescent="0.3">
      <c r="A851" s="122" t="str">
        <f>+A849</f>
        <v>FEVRIER</v>
      </c>
      <c r="B851" s="127" t="s">
        <v>93</v>
      </c>
      <c r="C851" s="32">
        <f t="shared" si="483"/>
        <v>13000</v>
      </c>
      <c r="D851" s="31"/>
      <c r="E851" s="32">
        <f t="shared" si="484"/>
        <v>50000</v>
      </c>
      <c r="F851" s="32"/>
      <c r="G851" s="104"/>
      <c r="H851" s="55">
        <f t="shared" si="485"/>
        <v>0</v>
      </c>
      <c r="I851" s="32">
        <f t="shared" si="486"/>
        <v>58200</v>
      </c>
      <c r="J851" s="30">
        <f t="shared" si="482"/>
        <v>4800</v>
      </c>
      <c r="K851" s="144" t="b">
        <f t="shared" si="480"/>
        <v>1</v>
      </c>
    </row>
    <row r="852" spans="1:16" x14ac:dyDescent="0.3">
      <c r="A852" s="122" t="str">
        <f>+A850</f>
        <v>FEVRIER</v>
      </c>
      <c r="B852" s="127" t="s">
        <v>29</v>
      </c>
      <c r="C852" s="32">
        <f t="shared" si="483"/>
        <v>55700</v>
      </c>
      <c r="D852" s="31"/>
      <c r="E852" s="32">
        <f t="shared" si="484"/>
        <v>1029000</v>
      </c>
      <c r="F852" s="32"/>
      <c r="G852" s="104"/>
      <c r="H852" s="55">
        <f t="shared" si="485"/>
        <v>300000</v>
      </c>
      <c r="I852" s="32">
        <f t="shared" si="486"/>
        <v>648500</v>
      </c>
      <c r="J852" s="30">
        <f t="shared" si="482"/>
        <v>136200</v>
      </c>
      <c r="K852" s="144" t="b">
        <f t="shared" si="480"/>
        <v>1</v>
      </c>
    </row>
    <row r="853" spans="1:16" x14ac:dyDescent="0.3">
      <c r="A853" s="122" t="str">
        <f t="shared" si="481"/>
        <v>FEVRIER</v>
      </c>
      <c r="B853" s="128" t="s">
        <v>113</v>
      </c>
      <c r="C853" s="32">
        <f t="shared" si="483"/>
        <v>-36237</v>
      </c>
      <c r="D853" s="119"/>
      <c r="E853" s="32">
        <f t="shared" si="484"/>
        <v>210000</v>
      </c>
      <c r="F853" s="51"/>
      <c r="G853" s="138"/>
      <c r="H853" s="55">
        <f t="shared" si="485"/>
        <v>0</v>
      </c>
      <c r="I853" s="32">
        <f t="shared" si="486"/>
        <v>210500</v>
      </c>
      <c r="J853" s="30">
        <f t="shared" si="482"/>
        <v>-36737</v>
      </c>
      <c r="K853" s="144" t="b">
        <f t="shared" si="480"/>
        <v>1</v>
      </c>
    </row>
    <row r="854" spans="1:16" x14ac:dyDescent="0.3">
      <c r="A854" s="34" t="s">
        <v>60</v>
      </c>
      <c r="B854" s="35"/>
      <c r="C854" s="35"/>
      <c r="D854" s="35"/>
      <c r="E854" s="35"/>
      <c r="F854" s="35"/>
      <c r="G854" s="35"/>
      <c r="H854" s="35"/>
      <c r="I854" s="35"/>
      <c r="J854" s="36"/>
      <c r="K854" s="143"/>
    </row>
    <row r="855" spans="1:16" x14ac:dyDescent="0.3">
      <c r="A855" s="122" t="str">
        <f>+A853</f>
        <v>FEVRIER</v>
      </c>
      <c r="B855" s="37" t="s">
        <v>61</v>
      </c>
      <c r="C855" s="38">
        <f>+C821</f>
        <v>580885</v>
      </c>
      <c r="D855" s="49"/>
      <c r="E855" s="49">
        <f>D821</f>
        <v>10511000</v>
      </c>
      <c r="F855" s="49"/>
      <c r="G855" s="125"/>
      <c r="H855" s="51">
        <f>+F821</f>
        <v>7774000</v>
      </c>
      <c r="I855" s="126">
        <f>+E821</f>
        <v>2520779</v>
      </c>
      <c r="J855" s="30">
        <f>+SUM(C855:G855)-(H855+I855)</f>
        <v>797106</v>
      </c>
      <c r="K855" s="144" t="b">
        <f>J855=I821</f>
        <v>1</v>
      </c>
    </row>
    <row r="856" spans="1:16" x14ac:dyDescent="0.3">
      <c r="A856" s="43" t="s">
        <v>62</v>
      </c>
      <c r="B856" s="24"/>
      <c r="C856" s="35"/>
      <c r="D856" s="24"/>
      <c r="E856" s="24"/>
      <c r="F856" s="24"/>
      <c r="G856" s="24"/>
      <c r="H856" s="24"/>
      <c r="I856" s="24"/>
      <c r="J856" s="36"/>
      <c r="K856" s="143"/>
    </row>
    <row r="857" spans="1:16" x14ac:dyDescent="0.3">
      <c r="A857" s="122" t="str">
        <f>+A855</f>
        <v>FEVRIER</v>
      </c>
      <c r="B857" s="37" t="s">
        <v>156</v>
      </c>
      <c r="C857" s="125">
        <f>+C819</f>
        <v>2172028</v>
      </c>
      <c r="D857" s="132">
        <f>+G819</f>
        <v>0</v>
      </c>
      <c r="E857" s="49"/>
      <c r="F857" s="49"/>
      <c r="G857" s="49"/>
      <c r="H857" s="51">
        <f>+F819</f>
        <v>1000000</v>
      </c>
      <c r="I857" s="53">
        <f>+E819</f>
        <v>283345</v>
      </c>
      <c r="J857" s="30">
        <f>+SUM(C857:G857)-(H857+I857)</f>
        <v>888683</v>
      </c>
      <c r="K857" s="144" t="b">
        <f>+J857=I819</f>
        <v>1</v>
      </c>
    </row>
    <row r="858" spans="1:16" x14ac:dyDescent="0.3">
      <c r="A858" s="122" t="str">
        <f t="shared" ref="A858" si="487">+A857</f>
        <v>FEVRIER</v>
      </c>
      <c r="B858" s="37" t="s">
        <v>64</v>
      </c>
      <c r="C858" s="125">
        <f>+C820</f>
        <v>14143094</v>
      </c>
      <c r="D858" s="49">
        <f>+G820</f>
        <v>0</v>
      </c>
      <c r="E858" s="48"/>
      <c r="F858" s="48"/>
      <c r="G858" s="48"/>
      <c r="H858" s="32">
        <f>+F820</f>
        <v>9000000</v>
      </c>
      <c r="I858" s="50">
        <f>+E820</f>
        <v>4260592</v>
      </c>
      <c r="J858" s="30">
        <f>SUM(C858:G858)-(H858+I858)</f>
        <v>882502</v>
      </c>
      <c r="K858" s="144" t="b">
        <f>+J858=I820</f>
        <v>1</v>
      </c>
    </row>
    <row r="859" spans="1:16" ht="15.6" x14ac:dyDescent="0.3">
      <c r="C859" s="141">
        <f>SUM(C843:C858)</f>
        <v>17560283</v>
      </c>
      <c r="I859" s="140">
        <f>SUM(I843:I858)</f>
        <v>14177366</v>
      </c>
      <c r="J859" s="105">
        <f>+SUM(J843:J858)</f>
        <v>3382917</v>
      </c>
      <c r="K859" s="5" t="b">
        <f>J859=I832</f>
        <v>1</v>
      </c>
    </row>
    <row r="860" spans="1:16" ht="15.6" x14ac:dyDescent="0.3">
      <c r="A860" s="160"/>
      <c r="B860" s="160"/>
      <c r="C860" s="161"/>
      <c r="D860" s="160"/>
      <c r="E860" s="160"/>
      <c r="F860" s="160"/>
      <c r="G860" s="160"/>
      <c r="H860" s="160"/>
      <c r="I860" s="162"/>
      <c r="J860" s="163"/>
      <c r="K860" s="160"/>
      <c r="L860" s="164"/>
      <c r="M860" s="164"/>
      <c r="N860" s="164"/>
      <c r="O860" s="164"/>
      <c r="P860" s="160"/>
    </row>
    <row r="861" spans="1:16" ht="15.6" x14ac:dyDescent="0.3">
      <c r="A861" s="160"/>
      <c r="B861" s="160"/>
      <c r="C861" s="161"/>
      <c r="D861" s="160"/>
      <c r="E861" s="160"/>
      <c r="F861" s="160"/>
      <c r="G861" s="160"/>
      <c r="H861" s="160"/>
      <c r="I861" s="162"/>
      <c r="J861" s="163"/>
      <c r="K861" s="160"/>
      <c r="L861" s="164"/>
      <c r="M861" s="164"/>
      <c r="N861" s="164"/>
      <c r="O861" s="164"/>
      <c r="P861" s="160"/>
    </row>
    <row r="863" spans="1:16" ht="15.6" x14ac:dyDescent="0.3">
      <c r="A863" s="6" t="s">
        <v>36</v>
      </c>
      <c r="B863" s="6" t="s">
        <v>1</v>
      </c>
      <c r="C863" s="6">
        <v>44562</v>
      </c>
      <c r="D863" s="7" t="s">
        <v>37</v>
      </c>
      <c r="E863" s="7" t="s">
        <v>38</v>
      </c>
      <c r="F863" s="7" t="s">
        <v>39</v>
      </c>
      <c r="G863" s="7" t="s">
        <v>40</v>
      </c>
      <c r="H863" s="6">
        <v>44592</v>
      </c>
      <c r="I863" s="7" t="s">
        <v>41</v>
      </c>
      <c r="K863" s="45"/>
      <c r="L863" s="45" t="s">
        <v>42</v>
      </c>
      <c r="M863" s="45" t="s">
        <v>43</v>
      </c>
      <c r="N863" s="45" t="s">
        <v>44</v>
      </c>
      <c r="O863" s="45" t="s">
        <v>45</v>
      </c>
    </row>
    <row r="864" spans="1:16" x14ac:dyDescent="0.3">
      <c r="A864" s="58" t="str">
        <f>+K864</f>
        <v>B52</v>
      </c>
      <c r="B864" s="59" t="s">
        <v>4</v>
      </c>
      <c r="C864" s="60">
        <v>9500</v>
      </c>
      <c r="D864" s="61">
        <f t="shared" ref="D864:D877" si="488">+L864</f>
        <v>567000</v>
      </c>
      <c r="E864" s="61">
        <f>+N864</f>
        <v>576000</v>
      </c>
      <c r="F864" s="61">
        <f>+M864</f>
        <v>0</v>
      </c>
      <c r="G864" s="61">
        <f t="shared" ref="G864:G875" si="489">+O864</f>
        <v>0</v>
      </c>
      <c r="H864" s="61">
        <v>500</v>
      </c>
      <c r="I864" s="61">
        <f>+C864+D864-E864-F864+G864</f>
        <v>500</v>
      </c>
      <c r="J864" s="9">
        <f>I864-H864</f>
        <v>0</v>
      </c>
      <c r="K864" s="45" t="s">
        <v>162</v>
      </c>
      <c r="L864" s="47">
        <v>567000</v>
      </c>
      <c r="M864" s="47">
        <v>0</v>
      </c>
      <c r="N864" s="47">
        <v>576000</v>
      </c>
      <c r="O864" s="47">
        <v>0</v>
      </c>
    </row>
    <row r="865" spans="1:15" x14ac:dyDescent="0.3">
      <c r="A865" s="58" t="str">
        <f>+K865</f>
        <v>BCI</v>
      </c>
      <c r="B865" s="59" t="s">
        <v>46</v>
      </c>
      <c r="C865" s="60">
        <v>3455373</v>
      </c>
      <c r="D865" s="61">
        <f t="shared" si="488"/>
        <v>0</v>
      </c>
      <c r="E865" s="61">
        <f>+N865</f>
        <v>283345</v>
      </c>
      <c r="F865" s="61">
        <f>+M865</f>
        <v>1000000</v>
      </c>
      <c r="G865" s="61">
        <f t="shared" si="489"/>
        <v>0</v>
      </c>
      <c r="H865" s="61">
        <v>2172028</v>
      </c>
      <c r="I865" s="61">
        <f>+C865+D865-E865-F865+G865</f>
        <v>2172028</v>
      </c>
      <c r="J865" s="9">
        <f t="shared" ref="J865:J872" si="490">I865-H865</f>
        <v>0</v>
      </c>
      <c r="K865" s="45" t="s">
        <v>24</v>
      </c>
      <c r="L865" s="47">
        <v>0</v>
      </c>
      <c r="M865" s="47">
        <v>1000000</v>
      </c>
      <c r="N865" s="47">
        <v>283345</v>
      </c>
      <c r="O865" s="47">
        <v>0</v>
      </c>
    </row>
    <row r="866" spans="1:15" x14ac:dyDescent="0.3">
      <c r="A866" s="58" t="str">
        <f t="shared" ref="A866:A868" si="491">+K866</f>
        <v>BCI-Sous Compte</v>
      </c>
      <c r="B866" s="59" t="s">
        <v>46</v>
      </c>
      <c r="C866" s="60">
        <v>4841615</v>
      </c>
      <c r="D866" s="61">
        <f t="shared" si="488"/>
        <v>0</v>
      </c>
      <c r="E866" s="61">
        <f>+N866</f>
        <v>6223724</v>
      </c>
      <c r="F866" s="61">
        <f>+M866</f>
        <v>2000000</v>
      </c>
      <c r="G866" s="61">
        <f t="shared" si="489"/>
        <v>17525203</v>
      </c>
      <c r="H866" s="61">
        <v>14143094</v>
      </c>
      <c r="I866" s="61">
        <f>+C866+D866-E866-F866+G866</f>
        <v>14143094</v>
      </c>
      <c r="J866" s="102">
        <f t="shared" si="490"/>
        <v>0</v>
      </c>
      <c r="K866" s="45" t="s">
        <v>148</v>
      </c>
      <c r="L866" s="47">
        <v>0</v>
      </c>
      <c r="M866" s="47">
        <v>2000000</v>
      </c>
      <c r="N866" s="47">
        <v>6223724</v>
      </c>
      <c r="O866" s="47">
        <v>17525203</v>
      </c>
    </row>
    <row r="867" spans="1:15" x14ac:dyDescent="0.3">
      <c r="A867" s="58" t="str">
        <f t="shared" si="491"/>
        <v>Caisse</v>
      </c>
      <c r="B867" s="59" t="s">
        <v>25</v>
      </c>
      <c r="C867" s="60">
        <v>1042520</v>
      </c>
      <c r="D867" s="61">
        <f t="shared" si="488"/>
        <v>3035000</v>
      </c>
      <c r="E867" s="61">
        <f t="shared" ref="E867" si="492">+N867</f>
        <v>966635</v>
      </c>
      <c r="F867" s="61">
        <f t="shared" ref="F867:F875" si="493">+M867</f>
        <v>2530000</v>
      </c>
      <c r="G867" s="61">
        <f t="shared" si="489"/>
        <v>0</v>
      </c>
      <c r="H867" s="61">
        <v>580885</v>
      </c>
      <c r="I867" s="61">
        <f>+C867+D867-E867-F867+G867</f>
        <v>580885</v>
      </c>
      <c r="J867" s="9">
        <f t="shared" si="490"/>
        <v>0</v>
      </c>
      <c r="K867" s="45" t="s">
        <v>25</v>
      </c>
      <c r="L867" s="47">
        <v>3035000</v>
      </c>
      <c r="M867" s="47">
        <v>2530000</v>
      </c>
      <c r="N867" s="47">
        <v>966635</v>
      </c>
      <c r="O867" s="47">
        <v>0</v>
      </c>
    </row>
    <row r="868" spans="1:15" x14ac:dyDescent="0.3">
      <c r="A868" s="58" t="str">
        <f t="shared" si="491"/>
        <v>Crépin</v>
      </c>
      <c r="B868" s="59" t="s">
        <v>154</v>
      </c>
      <c r="C868" s="60">
        <v>-37100</v>
      </c>
      <c r="D868" s="61">
        <f t="shared" si="488"/>
        <v>256000</v>
      </c>
      <c r="E868" s="61">
        <f>+N868</f>
        <v>189900</v>
      </c>
      <c r="F868" s="61">
        <f t="shared" si="493"/>
        <v>20000</v>
      </c>
      <c r="G868" s="61">
        <f t="shared" si="489"/>
        <v>0</v>
      </c>
      <c r="H868" s="61">
        <v>9000</v>
      </c>
      <c r="I868" s="61">
        <f t="shared" ref="I868" si="494">+C868+D868-E868-F868+G868</f>
        <v>9000</v>
      </c>
      <c r="J868" s="9">
        <f t="shared" si="490"/>
        <v>0</v>
      </c>
      <c r="K868" s="45" t="s">
        <v>47</v>
      </c>
      <c r="L868" s="47">
        <v>256000</v>
      </c>
      <c r="M868" s="47">
        <v>20000</v>
      </c>
      <c r="N868" s="47">
        <v>189900</v>
      </c>
      <c r="O868" s="47">
        <v>0</v>
      </c>
    </row>
    <row r="869" spans="1:15" x14ac:dyDescent="0.3">
      <c r="A869" s="58" t="str">
        <f>K869</f>
        <v>Evariste</v>
      </c>
      <c r="B869" s="59" t="s">
        <v>155</v>
      </c>
      <c r="C869" s="60">
        <v>8645</v>
      </c>
      <c r="D869" s="61">
        <f t="shared" si="488"/>
        <v>0</v>
      </c>
      <c r="E869" s="61">
        <f t="shared" ref="E869" si="495">+N869</f>
        <v>0</v>
      </c>
      <c r="F869" s="61">
        <f t="shared" si="493"/>
        <v>0</v>
      </c>
      <c r="G869" s="61">
        <f t="shared" si="489"/>
        <v>0</v>
      </c>
      <c r="H869" s="61">
        <v>8645</v>
      </c>
      <c r="I869" s="61">
        <f>+C869+D869-E869-F869+G869</f>
        <v>8645</v>
      </c>
      <c r="J869" s="9">
        <f t="shared" si="490"/>
        <v>0</v>
      </c>
      <c r="K869" s="45" t="s">
        <v>31</v>
      </c>
      <c r="L869" s="47">
        <v>0</v>
      </c>
      <c r="M869" s="47">
        <v>0</v>
      </c>
      <c r="N869" s="47">
        <v>0</v>
      </c>
      <c r="O869" s="47">
        <v>0</v>
      </c>
    </row>
    <row r="870" spans="1:15" x14ac:dyDescent="0.3">
      <c r="A870" s="115" t="str">
        <f t="shared" ref="A870:A877" si="496">+K870</f>
        <v>I55S</v>
      </c>
      <c r="B870" s="116" t="s">
        <v>4</v>
      </c>
      <c r="C870" s="117">
        <v>233614</v>
      </c>
      <c r="D870" s="118">
        <f t="shared" si="488"/>
        <v>0</v>
      </c>
      <c r="E870" s="118">
        <f>+N870</f>
        <v>0</v>
      </c>
      <c r="F870" s="118">
        <f t="shared" si="493"/>
        <v>0</v>
      </c>
      <c r="G870" s="118">
        <f t="shared" si="489"/>
        <v>0</v>
      </c>
      <c r="H870" s="118">
        <v>233614</v>
      </c>
      <c r="I870" s="118">
        <f>+C870+D870-E870-F870+G870</f>
        <v>233614</v>
      </c>
      <c r="J870" s="9">
        <f t="shared" si="490"/>
        <v>0</v>
      </c>
      <c r="K870" s="45" t="s">
        <v>84</v>
      </c>
      <c r="L870" s="47">
        <v>0</v>
      </c>
      <c r="M870" s="47">
        <v>0</v>
      </c>
      <c r="N870" s="47">
        <v>0</v>
      </c>
      <c r="O870" s="47">
        <v>0</v>
      </c>
    </row>
    <row r="871" spans="1:15" x14ac:dyDescent="0.3">
      <c r="A871" s="115" t="str">
        <f t="shared" si="496"/>
        <v>I73X</v>
      </c>
      <c r="B871" s="116" t="s">
        <v>4</v>
      </c>
      <c r="C871" s="117">
        <v>249769</v>
      </c>
      <c r="D871" s="118">
        <f t="shared" si="488"/>
        <v>0</v>
      </c>
      <c r="E871" s="118">
        <f>+N871</f>
        <v>0</v>
      </c>
      <c r="F871" s="118">
        <f t="shared" si="493"/>
        <v>0</v>
      </c>
      <c r="G871" s="118">
        <f t="shared" si="489"/>
        <v>0</v>
      </c>
      <c r="H871" s="118">
        <v>249769</v>
      </c>
      <c r="I871" s="118">
        <f t="shared" ref="I871:I874" si="497">+C871+D871-E871-F871+G871</f>
        <v>249769</v>
      </c>
      <c r="J871" s="9">
        <f t="shared" si="490"/>
        <v>0</v>
      </c>
      <c r="K871" s="45" t="s">
        <v>83</v>
      </c>
      <c r="L871" s="47">
        <v>0</v>
      </c>
      <c r="M871" s="47">
        <v>0</v>
      </c>
      <c r="N871" s="47">
        <v>0</v>
      </c>
      <c r="O871" s="47">
        <v>0</v>
      </c>
    </row>
    <row r="872" spans="1:15" x14ac:dyDescent="0.3">
      <c r="A872" s="58" t="str">
        <f t="shared" si="496"/>
        <v>Godfré</v>
      </c>
      <c r="B872" s="98" t="s">
        <v>154</v>
      </c>
      <c r="C872" s="60">
        <v>34935</v>
      </c>
      <c r="D872" s="61">
        <f t="shared" si="488"/>
        <v>365000</v>
      </c>
      <c r="E872" s="154">
        <f t="shared" ref="E872" si="498">+N872</f>
        <v>320000</v>
      </c>
      <c r="F872" s="61">
        <f t="shared" si="493"/>
        <v>0</v>
      </c>
      <c r="G872" s="61">
        <f t="shared" si="489"/>
        <v>0</v>
      </c>
      <c r="H872" s="61">
        <v>79935</v>
      </c>
      <c r="I872" s="61">
        <f t="shared" si="497"/>
        <v>79935</v>
      </c>
      <c r="J872" s="9">
        <f t="shared" si="490"/>
        <v>0</v>
      </c>
      <c r="K872" s="45" t="s">
        <v>144</v>
      </c>
      <c r="L872" s="47">
        <v>365000</v>
      </c>
      <c r="M872" s="47"/>
      <c r="N872" s="47">
        <v>320000</v>
      </c>
      <c r="O872" s="47">
        <v>0</v>
      </c>
    </row>
    <row r="873" spans="1:15" x14ac:dyDescent="0.3">
      <c r="A873" s="58" t="str">
        <f t="shared" si="496"/>
        <v>Grace</v>
      </c>
      <c r="B873" s="59" t="s">
        <v>2</v>
      </c>
      <c r="C873" s="60">
        <v>44200</v>
      </c>
      <c r="D873" s="61">
        <f t="shared" si="488"/>
        <v>0</v>
      </c>
      <c r="E873" s="154">
        <f>+N873</f>
        <v>9400</v>
      </c>
      <c r="F873" s="61">
        <f t="shared" si="493"/>
        <v>15000</v>
      </c>
      <c r="G873" s="61">
        <f t="shared" si="489"/>
        <v>0</v>
      </c>
      <c r="H873" s="61">
        <v>19800</v>
      </c>
      <c r="I873" s="61">
        <f t="shared" si="497"/>
        <v>19800</v>
      </c>
      <c r="J873" s="9">
        <f>I873-H873</f>
        <v>0</v>
      </c>
      <c r="K873" s="45" t="s">
        <v>143</v>
      </c>
      <c r="L873" s="47">
        <v>0</v>
      </c>
      <c r="M873" s="47">
        <v>15000</v>
      </c>
      <c r="N873" s="47">
        <v>9400</v>
      </c>
      <c r="O873" s="47">
        <v>0</v>
      </c>
    </row>
    <row r="874" spans="1:15" x14ac:dyDescent="0.3">
      <c r="A874" s="58" t="str">
        <f t="shared" si="496"/>
        <v>I23C</v>
      </c>
      <c r="B874" s="98" t="s">
        <v>4</v>
      </c>
      <c r="C874" s="60">
        <v>12050</v>
      </c>
      <c r="D874" s="61">
        <f t="shared" si="488"/>
        <v>492000</v>
      </c>
      <c r="E874" s="154">
        <f t="shared" ref="E874:E877" si="499">+N874</f>
        <v>473500</v>
      </c>
      <c r="F874" s="61">
        <f t="shared" si="493"/>
        <v>0</v>
      </c>
      <c r="G874" s="61">
        <f t="shared" si="489"/>
        <v>0</v>
      </c>
      <c r="H874" s="61">
        <v>30550</v>
      </c>
      <c r="I874" s="61">
        <f t="shared" si="497"/>
        <v>30550</v>
      </c>
      <c r="J874" s="9">
        <f t="shared" ref="J874:J875" si="500">I874-H874</f>
        <v>0</v>
      </c>
      <c r="K874" s="45" t="s">
        <v>30</v>
      </c>
      <c r="L874" s="47">
        <v>492000</v>
      </c>
      <c r="M874" s="47">
        <v>0</v>
      </c>
      <c r="N874" s="47">
        <v>473500</v>
      </c>
      <c r="O874" s="47">
        <v>0</v>
      </c>
    </row>
    <row r="875" spans="1:15" x14ac:dyDescent="0.3">
      <c r="A875" s="58" t="str">
        <f t="shared" si="496"/>
        <v>Merveille</v>
      </c>
      <c r="B875" s="59" t="s">
        <v>2</v>
      </c>
      <c r="C875" s="60">
        <v>5500</v>
      </c>
      <c r="D875" s="61">
        <f t="shared" si="488"/>
        <v>20000</v>
      </c>
      <c r="E875" s="154">
        <f t="shared" si="499"/>
        <v>12500</v>
      </c>
      <c r="F875" s="61">
        <f t="shared" si="493"/>
        <v>0</v>
      </c>
      <c r="G875" s="61">
        <f t="shared" si="489"/>
        <v>0</v>
      </c>
      <c r="H875" s="61">
        <v>13000</v>
      </c>
      <c r="I875" s="61">
        <f>+C875+D875-E875-F875+G875</f>
        <v>13000</v>
      </c>
      <c r="J875" s="9">
        <f t="shared" si="500"/>
        <v>0</v>
      </c>
      <c r="K875" s="45" t="s">
        <v>93</v>
      </c>
      <c r="L875" s="47">
        <v>20000</v>
      </c>
      <c r="M875" s="47">
        <v>0</v>
      </c>
      <c r="N875" s="47">
        <v>12500</v>
      </c>
      <c r="O875" s="47"/>
    </row>
    <row r="876" spans="1:15" x14ac:dyDescent="0.3">
      <c r="A876" s="58" t="str">
        <f t="shared" si="496"/>
        <v>P29</v>
      </c>
      <c r="B876" s="59" t="s">
        <v>4</v>
      </c>
      <c r="C876" s="60">
        <v>58200</v>
      </c>
      <c r="D876" s="61">
        <f t="shared" si="488"/>
        <v>530000</v>
      </c>
      <c r="E876" s="154">
        <f t="shared" si="499"/>
        <v>532500</v>
      </c>
      <c r="F876" s="61">
        <f>+M876</f>
        <v>0</v>
      </c>
      <c r="G876" s="61">
        <f>+O876</f>
        <v>0</v>
      </c>
      <c r="H876" s="61">
        <v>55700</v>
      </c>
      <c r="I876" s="61">
        <f>+C876+D876-E876-F876+G876</f>
        <v>55700</v>
      </c>
      <c r="J876" s="9">
        <f>I876-H876</f>
        <v>0</v>
      </c>
      <c r="K876" s="45" t="s">
        <v>29</v>
      </c>
      <c r="L876" s="47">
        <v>530000</v>
      </c>
      <c r="M876" s="47">
        <v>0</v>
      </c>
      <c r="N876" s="47">
        <v>532500</v>
      </c>
      <c r="O876" s="47">
        <v>0</v>
      </c>
    </row>
    <row r="877" spans="1:15" x14ac:dyDescent="0.3">
      <c r="A877" s="58" t="str">
        <f t="shared" si="496"/>
        <v>Tiffany</v>
      </c>
      <c r="B877" s="59" t="s">
        <v>2</v>
      </c>
      <c r="C877" s="60">
        <v>263673</v>
      </c>
      <c r="D877" s="61">
        <f t="shared" si="488"/>
        <v>300000</v>
      </c>
      <c r="E877" s="154">
        <f t="shared" si="499"/>
        <v>599910</v>
      </c>
      <c r="F877" s="61">
        <f t="shared" ref="F877" si="501">+M877</f>
        <v>0</v>
      </c>
      <c r="G877" s="61">
        <f t="shared" ref="G877" si="502">+O877</f>
        <v>0</v>
      </c>
      <c r="H877" s="61">
        <v>-36237</v>
      </c>
      <c r="I877" s="61">
        <f t="shared" ref="I877" si="503">+C877+D877-E877-F877+G877</f>
        <v>-36237</v>
      </c>
      <c r="J877" s="9">
        <f t="shared" ref="J877" si="504">I877-H877</f>
        <v>0</v>
      </c>
      <c r="K877" s="45" t="s">
        <v>113</v>
      </c>
      <c r="L877" s="47">
        <v>300000</v>
      </c>
      <c r="M877" s="47">
        <v>0</v>
      </c>
      <c r="N877" s="47">
        <v>599910</v>
      </c>
      <c r="O877" s="47">
        <v>0</v>
      </c>
    </row>
    <row r="878" spans="1:15" x14ac:dyDescent="0.3">
      <c r="A878" s="10" t="s">
        <v>50</v>
      </c>
      <c r="B878" s="11"/>
      <c r="C878" s="12">
        <f t="shared" ref="C878:I878" si="505">SUM(C864:C877)</f>
        <v>10222494</v>
      </c>
      <c r="D878" s="57">
        <f t="shared" si="505"/>
        <v>5565000</v>
      </c>
      <c r="E878" s="57">
        <f t="shared" si="505"/>
        <v>10187414</v>
      </c>
      <c r="F878" s="57">
        <f t="shared" si="505"/>
        <v>5565000</v>
      </c>
      <c r="G878" s="57">
        <f t="shared" si="505"/>
        <v>17525203</v>
      </c>
      <c r="H878" s="57">
        <f t="shared" si="505"/>
        <v>17560283</v>
      </c>
      <c r="I878" s="57">
        <f t="shared" si="505"/>
        <v>17560283</v>
      </c>
      <c r="J878" s="9">
        <f>I878-H878</f>
        <v>0</v>
      </c>
      <c r="K878" s="3"/>
      <c r="L878" s="47">
        <f>+SUM(L864:L877)</f>
        <v>5565000</v>
      </c>
      <c r="M878" s="47">
        <f>+SUM(M864:M877)</f>
        <v>5565000</v>
      </c>
      <c r="N878" s="47">
        <f>+SUM(N864:N877)</f>
        <v>10187414</v>
      </c>
      <c r="O878" s="47">
        <f>+SUM(O864:O877)</f>
        <v>17525203</v>
      </c>
    </row>
    <row r="879" spans="1:15" x14ac:dyDescent="0.3">
      <c r="A879" s="10"/>
      <c r="B879" s="11"/>
      <c r="C879" s="12"/>
      <c r="D879" s="13"/>
      <c r="E879" s="12"/>
      <c r="F879" s="13"/>
      <c r="G879" s="12"/>
      <c r="H879" s="12"/>
      <c r="I879" s="134" t="b">
        <f>I878=D881</f>
        <v>1</v>
      </c>
      <c r="L879" s="5"/>
      <c r="M879" s="5"/>
      <c r="N879" s="5"/>
      <c r="O879" s="5"/>
    </row>
    <row r="880" spans="1:15" x14ac:dyDescent="0.3">
      <c r="A880" s="10" t="s">
        <v>175</v>
      </c>
      <c r="B880" s="11" t="s">
        <v>177</v>
      </c>
      <c r="C880" s="12" t="s">
        <v>176</v>
      </c>
      <c r="D880" s="12" t="s">
        <v>178</v>
      </c>
      <c r="E880" s="12" t="s">
        <v>51</v>
      </c>
      <c r="F880" s="12"/>
      <c r="G880" s="12">
        <f>+D878-F878</f>
        <v>0</v>
      </c>
      <c r="H880" s="12"/>
      <c r="I880" s="12"/>
      <c r="L880" s="5"/>
      <c r="M880" s="5"/>
      <c r="N880" s="5"/>
      <c r="O880" s="5"/>
    </row>
    <row r="881" spans="1:15" x14ac:dyDescent="0.3">
      <c r="A881" s="14">
        <f>C878</f>
        <v>10222494</v>
      </c>
      <c r="B881" s="15">
        <f>G878</f>
        <v>17525203</v>
      </c>
      <c r="C881" s="12">
        <f>E878</f>
        <v>10187414</v>
      </c>
      <c r="D881" s="12">
        <f>A881+B881-C881</f>
        <v>17560283</v>
      </c>
      <c r="E881" s="13">
        <f>I878-D881</f>
        <v>0</v>
      </c>
      <c r="F881" s="12"/>
      <c r="G881" s="12"/>
      <c r="H881" s="12"/>
      <c r="I881" s="12"/>
      <c r="L881" s="5"/>
      <c r="M881" s="5"/>
      <c r="N881" s="5"/>
      <c r="O881" s="5"/>
    </row>
    <row r="882" spans="1:15" x14ac:dyDescent="0.3">
      <c r="A882" s="14"/>
      <c r="B882" s="15"/>
      <c r="C882" s="12"/>
      <c r="D882" s="12"/>
      <c r="E882" s="13"/>
      <c r="F882" s="12"/>
      <c r="G882" s="12"/>
      <c r="H882" s="12"/>
      <c r="I882" s="12"/>
      <c r="L882" s="5"/>
      <c r="M882" s="5"/>
      <c r="N882" s="5"/>
      <c r="O882" s="5"/>
    </row>
    <row r="883" spans="1:15" x14ac:dyDescent="0.3">
      <c r="A883" s="16" t="s">
        <v>52</v>
      </c>
      <c r="B883" s="16"/>
      <c r="C883" s="16"/>
      <c r="D883" s="17"/>
      <c r="E883" s="17"/>
      <c r="F883" s="17"/>
      <c r="G883" s="17"/>
      <c r="H883" s="17"/>
      <c r="I883" s="17"/>
      <c r="L883" s="5"/>
      <c r="M883" s="5"/>
      <c r="N883" s="5"/>
      <c r="O883" s="5"/>
    </row>
    <row r="884" spans="1:15" x14ac:dyDescent="0.3">
      <c r="A884" s="18" t="s">
        <v>179</v>
      </c>
      <c r="B884" s="18"/>
      <c r="C884" s="18"/>
      <c r="D884" s="18"/>
      <c r="E884" s="18"/>
      <c r="F884" s="18"/>
      <c r="G884" s="18"/>
      <c r="H884" s="18"/>
      <c r="I884" s="18"/>
      <c r="J884" s="18"/>
      <c r="L884" s="5"/>
      <c r="M884" s="5"/>
      <c r="N884" s="5"/>
      <c r="O884" s="5"/>
    </row>
    <row r="885" spans="1:15" x14ac:dyDescent="0.3">
      <c r="A885" s="19"/>
      <c r="B885" s="17"/>
      <c r="C885" s="20"/>
      <c r="D885" s="20"/>
      <c r="E885" s="20"/>
      <c r="F885" s="20"/>
      <c r="G885" s="20"/>
      <c r="H885" s="17"/>
      <c r="I885" s="17"/>
      <c r="L885" s="5"/>
      <c r="M885" s="5"/>
      <c r="N885" s="5"/>
      <c r="O885" s="5"/>
    </row>
    <row r="886" spans="1:15" x14ac:dyDescent="0.3">
      <c r="A886" s="449" t="s">
        <v>53</v>
      </c>
      <c r="B886" s="451" t="s">
        <v>54</v>
      </c>
      <c r="C886" s="453" t="s">
        <v>181</v>
      </c>
      <c r="D886" s="455" t="s">
        <v>55</v>
      </c>
      <c r="E886" s="456"/>
      <c r="F886" s="456"/>
      <c r="G886" s="457"/>
      <c r="H886" s="458" t="s">
        <v>56</v>
      </c>
      <c r="I886" s="460" t="s">
        <v>57</v>
      </c>
      <c r="J886" s="17"/>
      <c r="L886" s="5"/>
      <c r="M886" s="5"/>
      <c r="N886" s="5"/>
      <c r="O886" s="5"/>
    </row>
    <row r="887" spans="1:15" ht="28.5" customHeight="1" x14ac:dyDescent="0.3">
      <c r="A887" s="450"/>
      <c r="B887" s="452"/>
      <c r="C887" s="454"/>
      <c r="D887" s="21" t="s">
        <v>24</v>
      </c>
      <c r="E887" s="21" t="s">
        <v>25</v>
      </c>
      <c r="F887" s="22" t="s">
        <v>123</v>
      </c>
      <c r="G887" s="21" t="s">
        <v>58</v>
      </c>
      <c r="H887" s="459"/>
      <c r="I887" s="461"/>
      <c r="J887" s="462" t="s">
        <v>180</v>
      </c>
      <c r="K887" s="143"/>
      <c r="L887" s="5"/>
      <c r="M887" s="5"/>
      <c r="N887" s="5"/>
      <c r="O887" s="5"/>
    </row>
    <row r="888" spans="1:15" x14ac:dyDescent="0.3">
      <c r="A888" s="23"/>
      <c r="B888" s="24" t="s">
        <v>59</v>
      </c>
      <c r="C888" s="25"/>
      <c r="D888" s="25"/>
      <c r="E888" s="25"/>
      <c r="F888" s="25"/>
      <c r="G888" s="25"/>
      <c r="H888" s="25"/>
      <c r="I888" s="26"/>
      <c r="J888" s="463"/>
      <c r="K888" s="143"/>
      <c r="L888" s="5"/>
      <c r="M888" s="5"/>
      <c r="N888" s="5"/>
      <c r="O888" s="5"/>
    </row>
    <row r="889" spans="1:15" x14ac:dyDescent="0.3">
      <c r="A889" s="122" t="s">
        <v>108</v>
      </c>
      <c r="B889" s="127" t="s">
        <v>162</v>
      </c>
      <c r="C889" s="32">
        <f>+C864</f>
        <v>9500</v>
      </c>
      <c r="D889" s="31"/>
      <c r="E889" s="32">
        <f>+D864</f>
        <v>567000</v>
      </c>
      <c r="F889" s="32"/>
      <c r="G889" s="32"/>
      <c r="H889" s="55">
        <f>+F864</f>
        <v>0</v>
      </c>
      <c r="I889" s="32">
        <f>+E864</f>
        <v>576000</v>
      </c>
      <c r="J889" s="30">
        <f t="shared" ref="J889:J890" si="506">+SUM(C889:G889)-(H889+I889)</f>
        <v>500</v>
      </c>
      <c r="K889" s="144" t="b">
        <f>J889=I864</f>
        <v>1</v>
      </c>
      <c r="L889" s="5"/>
      <c r="M889" s="5"/>
      <c r="N889" s="5"/>
      <c r="O889" s="5"/>
    </row>
    <row r="890" spans="1:15" x14ac:dyDescent="0.3">
      <c r="A890" s="122" t="str">
        <f>+A889</f>
        <v>JANVIER</v>
      </c>
      <c r="B890" s="127" t="s">
        <v>47</v>
      </c>
      <c r="C890" s="32">
        <f>+C868</f>
        <v>-37100</v>
      </c>
      <c r="D890" s="31"/>
      <c r="E890" s="32">
        <f>+D868</f>
        <v>256000</v>
      </c>
      <c r="F890" s="32"/>
      <c r="G890" s="32"/>
      <c r="H890" s="55">
        <f>+F868</f>
        <v>20000</v>
      </c>
      <c r="I890" s="32">
        <f>+E868</f>
        <v>189900</v>
      </c>
      <c r="J890" s="101">
        <f t="shared" si="506"/>
        <v>9000</v>
      </c>
      <c r="K890" s="144" t="b">
        <f t="shared" ref="K890:K899" si="507">J890=I868</f>
        <v>1</v>
      </c>
      <c r="L890" s="5"/>
      <c r="M890" s="5"/>
      <c r="N890" s="5"/>
      <c r="O890" s="5"/>
    </row>
    <row r="891" spans="1:15" x14ac:dyDescent="0.3">
      <c r="A891" s="122" t="str">
        <f t="shared" ref="A891:A899" si="508">+A890</f>
        <v>JANVIER</v>
      </c>
      <c r="B891" s="128" t="s">
        <v>31</v>
      </c>
      <c r="C891" s="32">
        <f>+C869</f>
        <v>8645</v>
      </c>
      <c r="D891" s="119"/>
      <c r="E891" s="32">
        <f>+D869</f>
        <v>0</v>
      </c>
      <c r="F891" s="51"/>
      <c r="G891" s="51"/>
      <c r="H891" s="55">
        <f>+F869</f>
        <v>0</v>
      </c>
      <c r="I891" s="32">
        <f>+E869</f>
        <v>0</v>
      </c>
      <c r="J891" s="124">
        <f>+SUM(C891:G891)-(H891+I891)</f>
        <v>8645</v>
      </c>
      <c r="K891" s="144" t="b">
        <f t="shared" si="507"/>
        <v>1</v>
      </c>
      <c r="L891" s="5"/>
      <c r="M891" s="5"/>
      <c r="N891" s="5"/>
      <c r="O891" s="5"/>
    </row>
    <row r="892" spans="1:15" x14ac:dyDescent="0.3">
      <c r="A892" s="122" t="str">
        <f t="shared" si="508"/>
        <v>JANVIER</v>
      </c>
      <c r="B892" s="129" t="s">
        <v>84</v>
      </c>
      <c r="C892" s="120">
        <f>+C870</f>
        <v>233614</v>
      </c>
      <c r="D892" s="123"/>
      <c r="E892" s="120">
        <f>+D870</f>
        <v>0</v>
      </c>
      <c r="F892" s="137"/>
      <c r="G892" s="137"/>
      <c r="H892" s="155">
        <f>+F870</f>
        <v>0</v>
      </c>
      <c r="I892" s="120">
        <f>+E870</f>
        <v>0</v>
      </c>
      <c r="J892" s="121">
        <f>+SUM(C892:G892)-(H892+I892)</f>
        <v>233614</v>
      </c>
      <c r="K892" s="144" t="b">
        <f t="shared" si="507"/>
        <v>1</v>
      </c>
      <c r="L892" s="5"/>
      <c r="M892" s="5"/>
      <c r="N892" s="5"/>
      <c r="O892" s="5"/>
    </row>
    <row r="893" spans="1:15" x14ac:dyDescent="0.3">
      <c r="A893" s="122" t="str">
        <f t="shared" si="508"/>
        <v>JANVIER</v>
      </c>
      <c r="B893" s="129" t="s">
        <v>83</v>
      </c>
      <c r="C893" s="120">
        <f>+C871</f>
        <v>249769</v>
      </c>
      <c r="D893" s="123"/>
      <c r="E893" s="120">
        <f>+D871</f>
        <v>0</v>
      </c>
      <c r="F893" s="137"/>
      <c r="G893" s="137"/>
      <c r="H893" s="155">
        <f>+F871</f>
        <v>0</v>
      </c>
      <c r="I893" s="120">
        <f>+E871</f>
        <v>0</v>
      </c>
      <c r="J893" s="121">
        <f t="shared" ref="J893:J899" si="509">+SUM(C893:G893)-(H893+I893)</f>
        <v>249769</v>
      </c>
      <c r="K893" s="144" t="b">
        <f t="shared" si="507"/>
        <v>1</v>
      </c>
      <c r="L893" s="5"/>
      <c r="M893" s="5"/>
      <c r="N893" s="5"/>
      <c r="O893" s="5"/>
    </row>
    <row r="894" spans="1:15" x14ac:dyDescent="0.3">
      <c r="A894" s="122" t="str">
        <f t="shared" si="508"/>
        <v>JANVIER</v>
      </c>
      <c r="B894" s="127" t="s">
        <v>144</v>
      </c>
      <c r="C894" s="32">
        <f>+C872</f>
        <v>34935</v>
      </c>
      <c r="D894" s="31"/>
      <c r="E894" s="32">
        <f>+D872</f>
        <v>365000</v>
      </c>
      <c r="F894" s="32"/>
      <c r="G894" s="104"/>
      <c r="H894" s="55">
        <f>+F872</f>
        <v>0</v>
      </c>
      <c r="I894" s="32">
        <f>+E872</f>
        <v>320000</v>
      </c>
      <c r="J894" s="30">
        <f t="shared" si="509"/>
        <v>79935</v>
      </c>
      <c r="K894" s="144" t="b">
        <f t="shared" si="507"/>
        <v>1</v>
      </c>
      <c r="L894" s="5"/>
      <c r="M894" s="5"/>
      <c r="N894" s="5"/>
      <c r="O894" s="5"/>
    </row>
    <row r="895" spans="1:15" x14ac:dyDescent="0.3">
      <c r="A895" s="122" t="str">
        <f t="shared" si="508"/>
        <v>JANVIER</v>
      </c>
      <c r="B895" s="127" t="s">
        <v>143</v>
      </c>
      <c r="C895" s="32">
        <f t="shared" ref="C895:C899" si="510">+C873</f>
        <v>44200</v>
      </c>
      <c r="D895" s="31"/>
      <c r="E895" s="32">
        <f t="shared" ref="E895:E899" si="511">+D873</f>
        <v>0</v>
      </c>
      <c r="F895" s="32"/>
      <c r="G895" s="104"/>
      <c r="H895" s="55">
        <f t="shared" ref="H895:H899" si="512">+F873</f>
        <v>15000</v>
      </c>
      <c r="I895" s="32">
        <f t="shared" ref="I895:I899" si="513">+E873</f>
        <v>9400</v>
      </c>
      <c r="J895" s="30">
        <f t="shared" si="509"/>
        <v>19800</v>
      </c>
      <c r="K895" s="144" t="b">
        <f t="shared" si="507"/>
        <v>1</v>
      </c>
      <c r="L895" s="5"/>
      <c r="M895" s="5"/>
      <c r="N895" s="5"/>
      <c r="O895" s="5"/>
    </row>
    <row r="896" spans="1:15" x14ac:dyDescent="0.3">
      <c r="A896" s="122" t="str">
        <f t="shared" si="508"/>
        <v>JANVIER</v>
      </c>
      <c r="B896" s="127" t="s">
        <v>30</v>
      </c>
      <c r="C896" s="32">
        <f t="shared" si="510"/>
        <v>12050</v>
      </c>
      <c r="D896" s="31"/>
      <c r="E896" s="32">
        <f t="shared" si="511"/>
        <v>492000</v>
      </c>
      <c r="F896" s="32"/>
      <c r="G896" s="104"/>
      <c r="H896" s="55">
        <f t="shared" si="512"/>
        <v>0</v>
      </c>
      <c r="I896" s="32">
        <f t="shared" si="513"/>
        <v>473500</v>
      </c>
      <c r="J896" s="30">
        <f t="shared" si="509"/>
        <v>30550</v>
      </c>
      <c r="K896" s="144" t="b">
        <f t="shared" si="507"/>
        <v>1</v>
      </c>
    </row>
    <row r="897" spans="1:16" x14ac:dyDescent="0.3">
      <c r="A897" s="122" t="str">
        <f>+A895</f>
        <v>JANVIER</v>
      </c>
      <c r="B897" s="127" t="s">
        <v>93</v>
      </c>
      <c r="C897" s="32">
        <f t="shared" si="510"/>
        <v>5500</v>
      </c>
      <c r="D897" s="31"/>
      <c r="E897" s="32">
        <f t="shared" si="511"/>
        <v>20000</v>
      </c>
      <c r="F897" s="32"/>
      <c r="G897" s="104"/>
      <c r="H897" s="55">
        <f t="shared" si="512"/>
        <v>0</v>
      </c>
      <c r="I897" s="32">
        <f t="shared" si="513"/>
        <v>12500</v>
      </c>
      <c r="J897" s="30">
        <f t="shared" si="509"/>
        <v>13000</v>
      </c>
      <c r="K897" s="144" t="b">
        <f t="shared" si="507"/>
        <v>1</v>
      </c>
    </row>
    <row r="898" spans="1:16" x14ac:dyDescent="0.3">
      <c r="A898" s="122" t="str">
        <f>+A896</f>
        <v>JANVIER</v>
      </c>
      <c r="B898" s="127" t="s">
        <v>29</v>
      </c>
      <c r="C898" s="32">
        <f t="shared" si="510"/>
        <v>58200</v>
      </c>
      <c r="D898" s="31"/>
      <c r="E898" s="32">
        <f t="shared" si="511"/>
        <v>530000</v>
      </c>
      <c r="F898" s="32"/>
      <c r="G898" s="104"/>
      <c r="H898" s="55">
        <f t="shared" si="512"/>
        <v>0</v>
      </c>
      <c r="I898" s="32">
        <f t="shared" si="513"/>
        <v>532500</v>
      </c>
      <c r="J898" s="30">
        <f t="shared" si="509"/>
        <v>55700</v>
      </c>
      <c r="K898" s="144" t="b">
        <f t="shared" si="507"/>
        <v>1</v>
      </c>
    </row>
    <row r="899" spans="1:16" x14ac:dyDescent="0.3">
      <c r="A899" s="122" t="str">
        <f t="shared" si="508"/>
        <v>JANVIER</v>
      </c>
      <c r="B899" s="128" t="s">
        <v>113</v>
      </c>
      <c r="C899" s="32">
        <f t="shared" si="510"/>
        <v>263673</v>
      </c>
      <c r="D899" s="119"/>
      <c r="E899" s="32">
        <f t="shared" si="511"/>
        <v>300000</v>
      </c>
      <c r="F899" s="51"/>
      <c r="G899" s="138"/>
      <c r="H899" s="55">
        <f t="shared" si="512"/>
        <v>0</v>
      </c>
      <c r="I899" s="32">
        <f t="shared" si="513"/>
        <v>599910</v>
      </c>
      <c r="J899" s="30">
        <f t="shared" si="509"/>
        <v>-36237</v>
      </c>
      <c r="K899" s="144" t="b">
        <f t="shared" si="507"/>
        <v>1</v>
      </c>
    </row>
    <row r="900" spans="1:16" x14ac:dyDescent="0.3">
      <c r="A900" s="34" t="s">
        <v>60</v>
      </c>
      <c r="B900" s="35"/>
      <c r="C900" s="35"/>
      <c r="D900" s="35"/>
      <c r="E900" s="35"/>
      <c r="F900" s="35"/>
      <c r="G900" s="35"/>
      <c r="H900" s="35"/>
      <c r="I900" s="35"/>
      <c r="J900" s="36"/>
      <c r="K900" s="143"/>
    </row>
    <row r="901" spans="1:16" x14ac:dyDescent="0.3">
      <c r="A901" s="122" t="str">
        <f>+A899</f>
        <v>JANVIER</v>
      </c>
      <c r="B901" s="37" t="s">
        <v>61</v>
      </c>
      <c r="C901" s="38">
        <f>+C867</f>
        <v>1042520</v>
      </c>
      <c r="D901" s="49"/>
      <c r="E901" s="49">
        <f>D867</f>
        <v>3035000</v>
      </c>
      <c r="F901" s="49"/>
      <c r="G901" s="125"/>
      <c r="H901" s="51">
        <f>+F867</f>
        <v>2530000</v>
      </c>
      <c r="I901" s="126">
        <f>+E867</f>
        <v>966635</v>
      </c>
      <c r="J901" s="30">
        <f>+SUM(C901:G901)-(H901+I901)</f>
        <v>580885</v>
      </c>
      <c r="K901" s="144" t="b">
        <f>J901=I867</f>
        <v>1</v>
      </c>
    </row>
    <row r="902" spans="1:16" x14ac:dyDescent="0.3">
      <c r="A902" s="43" t="s">
        <v>62</v>
      </c>
      <c r="B902" s="24"/>
      <c r="C902" s="35"/>
      <c r="D902" s="24"/>
      <c r="E902" s="24"/>
      <c r="F902" s="24"/>
      <c r="G902" s="24"/>
      <c r="H902" s="24"/>
      <c r="I902" s="24"/>
      <c r="J902" s="36"/>
      <c r="K902" s="143"/>
    </row>
    <row r="903" spans="1:16" x14ac:dyDescent="0.3">
      <c r="A903" s="122" t="str">
        <f>+A901</f>
        <v>JANVIER</v>
      </c>
      <c r="B903" s="37" t="s">
        <v>156</v>
      </c>
      <c r="C903" s="125">
        <f>+C865</f>
        <v>3455373</v>
      </c>
      <c r="D903" s="132">
        <f>+G865</f>
        <v>0</v>
      </c>
      <c r="E903" s="49"/>
      <c r="F903" s="49"/>
      <c r="G903" s="49"/>
      <c r="H903" s="51">
        <f>+F865</f>
        <v>1000000</v>
      </c>
      <c r="I903" s="53">
        <f>+E865</f>
        <v>283345</v>
      </c>
      <c r="J903" s="30">
        <f>+SUM(C903:G903)-(H903+I903)</f>
        <v>2172028</v>
      </c>
      <c r="K903" s="144" t="b">
        <f>+J903=I865</f>
        <v>1</v>
      </c>
    </row>
    <row r="904" spans="1:16" x14ac:dyDescent="0.3">
      <c r="A904" s="122" t="str">
        <f t="shared" ref="A904" si="514">+A903</f>
        <v>JANVIER</v>
      </c>
      <c r="B904" s="37" t="s">
        <v>64</v>
      </c>
      <c r="C904" s="125">
        <f>+C866</f>
        <v>4841615</v>
      </c>
      <c r="D904" s="49">
        <f>+G866</f>
        <v>17525203</v>
      </c>
      <c r="E904" s="48"/>
      <c r="F904" s="48"/>
      <c r="G904" s="48"/>
      <c r="H904" s="32">
        <f>+F866</f>
        <v>2000000</v>
      </c>
      <c r="I904" s="50">
        <f>+E866</f>
        <v>6223724</v>
      </c>
      <c r="J904" s="30">
        <f>SUM(C904:G904)-(H904+I904)</f>
        <v>14143094</v>
      </c>
      <c r="K904" s="144" t="b">
        <f>+J904=I866</f>
        <v>1</v>
      </c>
    </row>
    <row r="905" spans="1:16" ht="15.6" x14ac:dyDescent="0.3">
      <c r="C905" s="141">
        <f>SUM(C889:C904)</f>
        <v>10222494</v>
      </c>
      <c r="I905" s="140">
        <f>SUM(I889:I904)</f>
        <v>10187414</v>
      </c>
      <c r="J905" s="105">
        <f>+SUM(J889:J904)</f>
        <v>17560283</v>
      </c>
      <c r="K905" s="5" t="b">
        <f>J905=I878</f>
        <v>1</v>
      </c>
    </row>
    <row r="906" spans="1:16" ht="15.6" x14ac:dyDescent="0.3">
      <c r="C906" s="141"/>
      <c r="I906" s="140"/>
      <c r="J906" s="105"/>
    </row>
    <row r="907" spans="1:16" ht="15.6" x14ac:dyDescent="0.3">
      <c r="A907" s="160"/>
      <c r="B907" s="160"/>
      <c r="C907" s="161"/>
      <c r="D907" s="160"/>
      <c r="E907" s="160"/>
      <c r="F907" s="160"/>
      <c r="G907" s="160"/>
      <c r="H907" s="160"/>
      <c r="I907" s="162"/>
      <c r="J907" s="163"/>
      <c r="K907" s="160"/>
      <c r="L907" s="164"/>
      <c r="M907" s="164"/>
      <c r="N907" s="164"/>
      <c r="O907" s="164"/>
      <c r="P907" s="160"/>
    </row>
    <row r="909" spans="1:16" ht="15.6" x14ac:dyDescent="0.3">
      <c r="A909" s="6" t="s">
        <v>36</v>
      </c>
      <c r="B909" s="6" t="s">
        <v>1</v>
      </c>
      <c r="C909" s="6">
        <v>44531</v>
      </c>
      <c r="D909" s="7" t="s">
        <v>37</v>
      </c>
      <c r="E909" s="7" t="s">
        <v>38</v>
      </c>
      <c r="F909" s="7" t="s">
        <v>39</v>
      </c>
      <c r="G909" s="7" t="s">
        <v>40</v>
      </c>
      <c r="H909" s="6">
        <v>44561</v>
      </c>
      <c r="I909" s="7" t="s">
        <v>41</v>
      </c>
      <c r="K909" s="45"/>
      <c r="L909" s="45" t="s">
        <v>42</v>
      </c>
      <c r="M909" s="45" t="s">
        <v>43</v>
      </c>
      <c r="N909" s="45" t="s">
        <v>44</v>
      </c>
      <c r="O909" s="45" t="s">
        <v>45</v>
      </c>
    </row>
    <row r="910" spans="1:16" s="156" customFormat="1" ht="15.6" x14ac:dyDescent="0.3">
      <c r="A910" s="58" t="str">
        <f>+K910</f>
        <v>Axel</v>
      </c>
      <c r="B910" s="158" t="s">
        <v>154</v>
      </c>
      <c r="C910" s="60">
        <v>29107</v>
      </c>
      <c r="D910" s="61">
        <f t="shared" ref="D910:D924" si="515">+L910</f>
        <v>1125000</v>
      </c>
      <c r="E910" s="61">
        <f>+N910</f>
        <v>1008750</v>
      </c>
      <c r="F910" s="61">
        <f>+M910</f>
        <v>145357</v>
      </c>
      <c r="G910" s="61">
        <f t="shared" ref="G910:G922" si="516">+O910</f>
        <v>0</v>
      </c>
      <c r="H910" s="61">
        <v>0</v>
      </c>
      <c r="I910" s="61">
        <f>+C910+D910-E910-F910+G910</f>
        <v>0</v>
      </c>
      <c r="J910" s="9">
        <f>I910-H910</f>
        <v>0</v>
      </c>
      <c r="K910" s="157" t="s">
        <v>153</v>
      </c>
      <c r="L910" s="157">
        <v>1125000</v>
      </c>
      <c r="M910" s="157">
        <v>145357</v>
      </c>
      <c r="N910" s="157">
        <v>1008750</v>
      </c>
      <c r="O910" s="157">
        <v>0</v>
      </c>
    </row>
    <row r="911" spans="1:16" x14ac:dyDescent="0.3">
      <c r="A911" s="58" t="str">
        <f>+K911</f>
        <v>B52</v>
      </c>
      <c r="B911" s="59" t="s">
        <v>4</v>
      </c>
      <c r="C911" s="60">
        <v>4000</v>
      </c>
      <c r="D911" s="61">
        <f t="shared" si="515"/>
        <v>426000</v>
      </c>
      <c r="E911" s="61">
        <f>+N911</f>
        <v>420500</v>
      </c>
      <c r="F911" s="61">
        <f>+M911</f>
        <v>0</v>
      </c>
      <c r="G911" s="61">
        <f t="shared" si="516"/>
        <v>0</v>
      </c>
      <c r="H911" s="61">
        <v>9500</v>
      </c>
      <c r="I911" s="61">
        <f>+C911+D911-E911-F911+G911</f>
        <v>9500</v>
      </c>
      <c r="J911" s="9">
        <f>I911-H911</f>
        <v>0</v>
      </c>
      <c r="K911" s="45" t="s">
        <v>162</v>
      </c>
      <c r="L911" s="47">
        <v>426000</v>
      </c>
      <c r="M911" s="47">
        <v>0</v>
      </c>
      <c r="N911" s="47">
        <v>420500</v>
      </c>
      <c r="O911" s="47">
        <v>0</v>
      </c>
    </row>
    <row r="912" spans="1:16" x14ac:dyDescent="0.3">
      <c r="A912" s="58" t="str">
        <f>+K912</f>
        <v>BCI</v>
      </c>
      <c r="B912" s="59" t="s">
        <v>46</v>
      </c>
      <c r="C912" s="60">
        <v>5738718</v>
      </c>
      <c r="D912" s="61">
        <f t="shared" si="515"/>
        <v>0</v>
      </c>
      <c r="E912" s="61">
        <f>+N912</f>
        <v>283345</v>
      </c>
      <c r="F912" s="61">
        <f>+M912</f>
        <v>2000000</v>
      </c>
      <c r="G912" s="61">
        <f t="shared" si="516"/>
        <v>0</v>
      </c>
      <c r="H912" s="61">
        <v>3455373</v>
      </c>
      <c r="I912" s="61">
        <f>+C912+D912-E912-F912+G912</f>
        <v>3455373</v>
      </c>
      <c r="J912" s="9">
        <f t="shared" ref="J912:J919" si="517">I912-H912</f>
        <v>0</v>
      </c>
      <c r="K912" s="45" t="s">
        <v>24</v>
      </c>
      <c r="L912" s="47">
        <v>0</v>
      </c>
      <c r="M912" s="47">
        <v>2000000</v>
      </c>
      <c r="N912" s="47">
        <v>283345</v>
      </c>
      <c r="O912" s="47">
        <v>0</v>
      </c>
    </row>
    <row r="913" spans="1:15" x14ac:dyDescent="0.3">
      <c r="A913" s="58" t="str">
        <f t="shared" ref="A913:A915" si="518">+K913</f>
        <v>BCI-Sous Compte</v>
      </c>
      <c r="B913" s="59" t="s">
        <v>46</v>
      </c>
      <c r="C913" s="60">
        <v>16087207</v>
      </c>
      <c r="D913" s="61">
        <f t="shared" si="515"/>
        <v>0</v>
      </c>
      <c r="E913" s="61">
        <f>+N913</f>
        <v>3245592</v>
      </c>
      <c r="F913" s="61">
        <f>+M913</f>
        <v>8000000</v>
      </c>
      <c r="G913" s="61">
        <f t="shared" si="516"/>
        <v>0</v>
      </c>
      <c r="H913" s="61">
        <v>4841615</v>
      </c>
      <c r="I913" s="61">
        <f>+C913+D913-E913-F913+G913</f>
        <v>4841615</v>
      </c>
      <c r="J913" s="102">
        <f t="shared" si="517"/>
        <v>0</v>
      </c>
      <c r="K913" s="45" t="s">
        <v>148</v>
      </c>
      <c r="L913" s="47">
        <v>0</v>
      </c>
      <c r="M913" s="47">
        <v>8000000</v>
      </c>
      <c r="N913" s="47">
        <v>3245592</v>
      </c>
      <c r="O913" s="47">
        <v>0</v>
      </c>
    </row>
    <row r="914" spans="1:15" x14ac:dyDescent="0.3">
      <c r="A914" s="58" t="str">
        <f t="shared" si="518"/>
        <v>Caisse</v>
      </c>
      <c r="B914" s="59" t="s">
        <v>25</v>
      </c>
      <c r="C914" s="60">
        <v>926369</v>
      </c>
      <c r="D914" s="61">
        <f t="shared" si="515"/>
        <v>10580357</v>
      </c>
      <c r="E914" s="61">
        <f t="shared" ref="E914" si="519">+N914</f>
        <v>3713706</v>
      </c>
      <c r="F914" s="61">
        <f t="shared" ref="F914:F922" si="520">+M914</f>
        <v>6750500</v>
      </c>
      <c r="G914" s="61">
        <f t="shared" si="516"/>
        <v>0</v>
      </c>
      <c r="H914" s="61">
        <v>1042520</v>
      </c>
      <c r="I914" s="61">
        <f>+C914+D914-E914-F914+G914</f>
        <v>1042520</v>
      </c>
      <c r="J914" s="9">
        <f t="shared" si="517"/>
        <v>0</v>
      </c>
      <c r="K914" s="45" t="s">
        <v>25</v>
      </c>
      <c r="L914" s="47">
        <v>10580357</v>
      </c>
      <c r="M914" s="47">
        <v>6750500</v>
      </c>
      <c r="N914" s="47">
        <v>3713706</v>
      </c>
      <c r="O914" s="47">
        <v>0</v>
      </c>
    </row>
    <row r="915" spans="1:15" x14ac:dyDescent="0.3">
      <c r="A915" s="58" t="str">
        <f t="shared" si="518"/>
        <v>Crépin</v>
      </c>
      <c r="B915" s="59" t="s">
        <v>154</v>
      </c>
      <c r="C915" s="60">
        <v>-3675</v>
      </c>
      <c r="D915" s="61">
        <f t="shared" si="515"/>
        <v>1778500</v>
      </c>
      <c r="E915" s="61">
        <f>+N915</f>
        <v>1666925</v>
      </c>
      <c r="F915" s="61">
        <f t="shared" si="520"/>
        <v>145000</v>
      </c>
      <c r="G915" s="61">
        <f t="shared" si="516"/>
        <v>0</v>
      </c>
      <c r="H915" s="61">
        <v>-37100</v>
      </c>
      <c r="I915" s="61">
        <f t="shared" ref="I915" si="521">+C915+D915-E915-F915+G915</f>
        <v>-37100</v>
      </c>
      <c r="J915" s="9">
        <f t="shared" si="517"/>
        <v>0</v>
      </c>
      <c r="K915" s="45" t="s">
        <v>47</v>
      </c>
      <c r="L915" s="47">
        <v>1778500</v>
      </c>
      <c r="M915" s="47">
        <v>145000</v>
      </c>
      <c r="N915" s="47">
        <v>1666925</v>
      </c>
      <c r="O915" s="47">
        <v>0</v>
      </c>
    </row>
    <row r="916" spans="1:15" x14ac:dyDescent="0.3">
      <c r="A916" s="58" t="str">
        <f>K916</f>
        <v>Evariste</v>
      </c>
      <c r="B916" s="59" t="s">
        <v>155</v>
      </c>
      <c r="C916" s="60">
        <v>7595</v>
      </c>
      <c r="D916" s="61">
        <f t="shared" si="515"/>
        <v>286000</v>
      </c>
      <c r="E916" s="61">
        <f t="shared" ref="E916" si="522">+N916</f>
        <v>284950</v>
      </c>
      <c r="F916" s="61">
        <f t="shared" si="520"/>
        <v>0</v>
      </c>
      <c r="G916" s="61">
        <f t="shared" si="516"/>
        <v>0</v>
      </c>
      <c r="H916" s="61">
        <v>8645</v>
      </c>
      <c r="I916" s="61">
        <f>+C916+D916-E916-F916+G916</f>
        <v>8645</v>
      </c>
      <c r="J916" s="9">
        <f t="shared" si="517"/>
        <v>0</v>
      </c>
      <c r="K916" s="45" t="s">
        <v>31</v>
      </c>
      <c r="L916" s="47">
        <v>286000</v>
      </c>
      <c r="M916" s="47">
        <v>0</v>
      </c>
      <c r="N916" s="47">
        <v>284950</v>
      </c>
      <c r="O916" s="47">
        <v>0</v>
      </c>
    </row>
    <row r="917" spans="1:15" x14ac:dyDescent="0.3">
      <c r="A917" s="115" t="str">
        <f t="shared" ref="A917:A924" si="523">+K917</f>
        <v>I55S</v>
      </c>
      <c r="B917" s="116" t="s">
        <v>4</v>
      </c>
      <c r="C917" s="117">
        <v>233614</v>
      </c>
      <c r="D917" s="118">
        <f t="shared" si="515"/>
        <v>0</v>
      </c>
      <c r="E917" s="118">
        <f>+N917</f>
        <v>0</v>
      </c>
      <c r="F917" s="118">
        <f t="shared" si="520"/>
        <v>0</v>
      </c>
      <c r="G917" s="118">
        <f t="shared" si="516"/>
        <v>0</v>
      </c>
      <c r="H917" s="118">
        <v>233614</v>
      </c>
      <c r="I917" s="118">
        <f>+C917+D917-E917-F917+G917</f>
        <v>233614</v>
      </c>
      <c r="J917" s="9">
        <f t="shared" si="517"/>
        <v>0</v>
      </c>
      <c r="K917" s="45" t="s">
        <v>84</v>
      </c>
      <c r="L917" s="47">
        <v>0</v>
      </c>
      <c r="M917" s="47">
        <v>0</v>
      </c>
      <c r="N917" s="47">
        <v>0</v>
      </c>
      <c r="O917" s="47">
        <v>0</v>
      </c>
    </row>
    <row r="918" spans="1:15" x14ac:dyDescent="0.3">
      <c r="A918" s="115" t="str">
        <f t="shared" si="523"/>
        <v>I73X</v>
      </c>
      <c r="B918" s="116" t="s">
        <v>4</v>
      </c>
      <c r="C918" s="117">
        <v>249769</v>
      </c>
      <c r="D918" s="118">
        <f t="shared" si="515"/>
        <v>0</v>
      </c>
      <c r="E918" s="118">
        <f>+N918</f>
        <v>0</v>
      </c>
      <c r="F918" s="118">
        <f t="shared" si="520"/>
        <v>0</v>
      </c>
      <c r="G918" s="118">
        <f t="shared" si="516"/>
        <v>0</v>
      </c>
      <c r="H918" s="118">
        <v>249769</v>
      </c>
      <c r="I918" s="118">
        <f t="shared" ref="I918:I921" si="524">+C918+D918-E918-F918+G918</f>
        <v>249769</v>
      </c>
      <c r="J918" s="9">
        <f t="shared" si="517"/>
        <v>0</v>
      </c>
      <c r="K918" s="45" t="s">
        <v>83</v>
      </c>
      <c r="L918" s="47">
        <v>0</v>
      </c>
      <c r="M918" s="47">
        <v>0</v>
      </c>
      <c r="N918" s="47">
        <v>0</v>
      </c>
      <c r="O918" s="47">
        <v>0</v>
      </c>
    </row>
    <row r="919" spans="1:15" x14ac:dyDescent="0.3">
      <c r="A919" s="58" t="str">
        <f t="shared" si="523"/>
        <v>Godfré</v>
      </c>
      <c r="B919" s="98" t="s">
        <v>154</v>
      </c>
      <c r="C919" s="60">
        <v>-6000</v>
      </c>
      <c r="D919" s="61">
        <f t="shared" si="515"/>
        <v>797000</v>
      </c>
      <c r="E919" s="154">
        <f t="shared" ref="E919:E924" si="525">+N919</f>
        <v>578885</v>
      </c>
      <c r="F919" s="61">
        <f t="shared" si="520"/>
        <v>177180</v>
      </c>
      <c r="G919" s="61">
        <f t="shared" si="516"/>
        <v>0</v>
      </c>
      <c r="H919" s="61">
        <v>34935</v>
      </c>
      <c r="I919" s="61">
        <f t="shared" si="524"/>
        <v>34935</v>
      </c>
      <c r="J919" s="9">
        <f t="shared" si="517"/>
        <v>0</v>
      </c>
      <c r="K919" s="45" t="s">
        <v>144</v>
      </c>
      <c r="L919" s="47">
        <v>797000</v>
      </c>
      <c r="M919" s="47">
        <v>177180</v>
      </c>
      <c r="N919" s="47">
        <v>578885</v>
      </c>
      <c r="O919" s="47">
        <v>0</v>
      </c>
    </row>
    <row r="920" spans="1:15" x14ac:dyDescent="0.3">
      <c r="A920" s="58" t="str">
        <f t="shared" si="523"/>
        <v>Grace</v>
      </c>
      <c r="B920" s="59" t="s">
        <v>2</v>
      </c>
      <c r="C920" s="60">
        <v>48400</v>
      </c>
      <c r="D920" s="61">
        <f t="shared" si="515"/>
        <v>847000</v>
      </c>
      <c r="E920" s="154">
        <f>+N920</f>
        <v>193200</v>
      </c>
      <c r="F920" s="61">
        <f t="shared" si="520"/>
        <v>658000</v>
      </c>
      <c r="G920" s="61">
        <f t="shared" si="516"/>
        <v>0</v>
      </c>
      <c r="H920" s="61">
        <v>44200</v>
      </c>
      <c r="I920" s="61">
        <f t="shared" si="524"/>
        <v>44200</v>
      </c>
      <c r="J920" s="9">
        <f>I920-H920</f>
        <v>0</v>
      </c>
      <c r="K920" s="45" t="s">
        <v>143</v>
      </c>
      <c r="L920" s="47">
        <v>847000</v>
      </c>
      <c r="M920" s="47">
        <v>658000</v>
      </c>
      <c r="N920" s="47">
        <v>193200</v>
      </c>
      <c r="O920" s="47">
        <v>0</v>
      </c>
    </row>
    <row r="921" spans="1:15" x14ac:dyDescent="0.3">
      <c r="A921" s="58" t="str">
        <f t="shared" si="523"/>
        <v>I23C</v>
      </c>
      <c r="B921" s="98" t="s">
        <v>4</v>
      </c>
      <c r="C921" s="60">
        <v>6800</v>
      </c>
      <c r="D921" s="61">
        <f t="shared" si="515"/>
        <v>861000</v>
      </c>
      <c r="E921" s="154">
        <f t="shared" si="525"/>
        <v>855750</v>
      </c>
      <c r="F921" s="61">
        <f t="shared" si="520"/>
        <v>0</v>
      </c>
      <c r="G921" s="61">
        <f t="shared" si="516"/>
        <v>0</v>
      </c>
      <c r="H921" s="61">
        <v>12050</v>
      </c>
      <c r="I921" s="61">
        <f t="shared" si="524"/>
        <v>12050</v>
      </c>
      <c r="J921" s="9">
        <f t="shared" ref="J921:J922" si="526">I921-H921</f>
        <v>0</v>
      </c>
      <c r="K921" s="45" t="s">
        <v>30</v>
      </c>
      <c r="L921" s="47">
        <v>861000</v>
      </c>
      <c r="M921" s="47">
        <v>0</v>
      </c>
      <c r="N921" s="47">
        <v>855750</v>
      </c>
      <c r="O921" s="47">
        <v>0</v>
      </c>
    </row>
    <row r="922" spans="1:15" x14ac:dyDescent="0.3">
      <c r="A922" s="58" t="str">
        <f t="shared" si="523"/>
        <v>Merveille</v>
      </c>
      <c r="B922" s="59" t="s">
        <v>2</v>
      </c>
      <c r="C922" s="60">
        <v>5500</v>
      </c>
      <c r="D922" s="61">
        <f t="shared" si="515"/>
        <v>0</v>
      </c>
      <c r="E922" s="154">
        <f t="shared" si="525"/>
        <v>0</v>
      </c>
      <c r="F922" s="61">
        <f t="shared" si="520"/>
        <v>0</v>
      </c>
      <c r="G922" s="61">
        <f t="shared" si="516"/>
        <v>0</v>
      </c>
      <c r="H922" s="61">
        <v>5500</v>
      </c>
      <c r="I922" s="61">
        <f>+C922+D922-E922-F922+G922</f>
        <v>5500</v>
      </c>
      <c r="J922" s="9">
        <f t="shared" si="526"/>
        <v>0</v>
      </c>
      <c r="K922" s="45" t="s">
        <v>93</v>
      </c>
      <c r="L922" s="47">
        <v>0</v>
      </c>
      <c r="M922" s="47">
        <v>0</v>
      </c>
      <c r="N922" s="47">
        <v>0</v>
      </c>
      <c r="O922" s="47"/>
    </row>
    <row r="923" spans="1:15" x14ac:dyDescent="0.3">
      <c r="A923" s="58" t="str">
        <f t="shared" si="523"/>
        <v>P29</v>
      </c>
      <c r="B923" s="59" t="s">
        <v>4</v>
      </c>
      <c r="C923" s="60">
        <v>30700</v>
      </c>
      <c r="D923" s="61">
        <f t="shared" si="515"/>
        <v>1215000</v>
      </c>
      <c r="E923" s="154">
        <f t="shared" si="525"/>
        <v>697500</v>
      </c>
      <c r="F923" s="61">
        <f>+M923</f>
        <v>490000</v>
      </c>
      <c r="G923" s="61">
        <f>+O923</f>
        <v>0</v>
      </c>
      <c r="H923" s="61">
        <v>58200</v>
      </c>
      <c r="I923" s="61">
        <f>+C923+D923-E923-F923+G923</f>
        <v>58200</v>
      </c>
      <c r="J923" s="9">
        <f>I923-H923</f>
        <v>0</v>
      </c>
      <c r="K923" s="45" t="s">
        <v>29</v>
      </c>
      <c r="L923" s="47">
        <v>1215000</v>
      </c>
      <c r="M923" s="47">
        <v>490000</v>
      </c>
      <c r="N923" s="47">
        <v>697500</v>
      </c>
      <c r="O923" s="47">
        <v>0</v>
      </c>
    </row>
    <row r="924" spans="1:15" x14ac:dyDescent="0.3">
      <c r="A924" s="58" t="str">
        <f t="shared" si="523"/>
        <v>Tiffany</v>
      </c>
      <c r="B924" s="59" t="s">
        <v>2</v>
      </c>
      <c r="C924" s="60">
        <v>9193</v>
      </c>
      <c r="D924" s="61">
        <f t="shared" si="515"/>
        <v>1100180</v>
      </c>
      <c r="E924" s="154">
        <f t="shared" si="525"/>
        <v>195700</v>
      </c>
      <c r="F924" s="61">
        <f t="shared" ref="F924" si="527">+M924</f>
        <v>650000</v>
      </c>
      <c r="G924" s="61">
        <f t="shared" ref="G924" si="528">+O924</f>
        <v>0</v>
      </c>
      <c r="H924" s="61">
        <v>263673</v>
      </c>
      <c r="I924" s="61">
        <f t="shared" ref="I924" si="529">+C924+D924-E924-F924+G924</f>
        <v>263673</v>
      </c>
      <c r="J924" s="9">
        <f t="shared" ref="J924" si="530">I924-H924</f>
        <v>0</v>
      </c>
      <c r="K924" s="45" t="s">
        <v>113</v>
      </c>
      <c r="L924" s="47">
        <v>1100180</v>
      </c>
      <c r="M924" s="47">
        <v>650000</v>
      </c>
      <c r="N924" s="47">
        <v>195700</v>
      </c>
      <c r="O924" s="47">
        <v>0</v>
      </c>
    </row>
    <row r="925" spans="1:15" x14ac:dyDescent="0.3">
      <c r="A925" s="10" t="s">
        <v>50</v>
      </c>
      <c r="B925" s="11"/>
      <c r="C925" s="12">
        <f>SUM(C910:C924)</f>
        <v>23367297</v>
      </c>
      <c r="D925" s="57">
        <f t="shared" ref="D925:G925" si="531">SUM(D910:D924)</f>
        <v>19016037</v>
      </c>
      <c r="E925" s="57">
        <f t="shared" si="531"/>
        <v>13144803</v>
      </c>
      <c r="F925" s="57">
        <f t="shared" si="531"/>
        <v>19016037</v>
      </c>
      <c r="G925" s="57">
        <f t="shared" si="531"/>
        <v>0</v>
      </c>
      <c r="H925" s="57">
        <f>SUM(H910:H924)</f>
        <v>10222494</v>
      </c>
      <c r="I925" s="57">
        <f>SUM(I910:I924)</f>
        <v>10222494</v>
      </c>
      <c r="J925" s="9">
        <f>I925-H925</f>
        <v>0</v>
      </c>
      <c r="K925" s="3"/>
      <c r="L925" s="47">
        <f>+SUM(L910:L924)</f>
        <v>19016037</v>
      </c>
      <c r="M925" s="47">
        <f t="shared" ref="M925:O925" si="532">+SUM(M910:M924)</f>
        <v>19016037</v>
      </c>
      <c r="N925" s="47">
        <f>+SUM(N910:N924)</f>
        <v>13144803</v>
      </c>
      <c r="O925" s="47">
        <f t="shared" si="532"/>
        <v>0</v>
      </c>
    </row>
    <row r="926" spans="1:15" x14ac:dyDescent="0.3">
      <c r="A926" s="10"/>
      <c r="B926" s="11"/>
      <c r="C926" s="12"/>
      <c r="D926" s="13"/>
      <c r="E926" s="12"/>
      <c r="F926" s="13"/>
      <c r="G926" s="12"/>
      <c r="H926" s="12"/>
      <c r="I926" s="134" t="b">
        <f>I925=D928</f>
        <v>1</v>
      </c>
      <c r="L926" s="5"/>
      <c r="M926" s="5"/>
      <c r="N926" s="5"/>
      <c r="O926" s="5"/>
    </row>
    <row r="927" spans="1:15" x14ac:dyDescent="0.3">
      <c r="A927" s="10" t="s">
        <v>164</v>
      </c>
      <c r="B927" s="11" t="s">
        <v>165</v>
      </c>
      <c r="C927" s="12" t="s">
        <v>166</v>
      </c>
      <c r="D927" s="12" t="s">
        <v>173</v>
      </c>
      <c r="E927" s="12" t="s">
        <v>51</v>
      </c>
      <c r="F927" s="12"/>
      <c r="G927" s="12">
        <f>+D925-F925</f>
        <v>0</v>
      </c>
      <c r="H927" s="12"/>
      <c r="I927" s="12"/>
    </row>
    <row r="928" spans="1:15" x14ac:dyDescent="0.3">
      <c r="A928" s="14">
        <f>C925</f>
        <v>23367297</v>
      </c>
      <c r="B928" s="15">
        <f>G925</f>
        <v>0</v>
      </c>
      <c r="C928" s="12">
        <f>E925</f>
        <v>13144803</v>
      </c>
      <c r="D928" s="12">
        <f>A928+B928-C928</f>
        <v>10222494</v>
      </c>
      <c r="E928" s="13">
        <f>I925-D928</f>
        <v>0</v>
      </c>
      <c r="F928" s="12"/>
      <c r="G928" s="12"/>
      <c r="H928" s="12"/>
      <c r="I928" s="12"/>
      <c r="L928" s="5"/>
      <c r="M928" s="5"/>
      <c r="N928" s="5"/>
      <c r="O928" s="5"/>
    </row>
    <row r="929" spans="1:15" x14ac:dyDescent="0.3">
      <c r="A929" s="14"/>
      <c r="B929" s="15"/>
      <c r="C929" s="12"/>
      <c r="D929" s="12"/>
      <c r="E929" s="13"/>
      <c r="F929" s="12"/>
      <c r="G929" s="12"/>
      <c r="H929" s="12"/>
      <c r="I929" s="12"/>
      <c r="L929" s="5"/>
      <c r="M929" s="5"/>
      <c r="N929" s="5"/>
      <c r="O929" s="5"/>
    </row>
    <row r="930" spans="1:15" x14ac:dyDescent="0.3">
      <c r="A930" s="16" t="s">
        <v>52</v>
      </c>
      <c r="B930" s="16"/>
      <c r="C930" s="16"/>
      <c r="D930" s="17"/>
      <c r="E930" s="17"/>
      <c r="F930" s="17"/>
      <c r="G930" s="17"/>
      <c r="H930" s="17"/>
      <c r="I930" s="17"/>
      <c r="L930" s="5"/>
      <c r="M930" s="5"/>
      <c r="N930" s="5"/>
      <c r="O930" s="5"/>
    </row>
    <row r="931" spans="1:15" x14ac:dyDescent="0.3">
      <c r="A931" s="18" t="s">
        <v>172</v>
      </c>
      <c r="B931" s="18"/>
      <c r="C931" s="18"/>
      <c r="D931" s="18"/>
      <c r="E931" s="18"/>
      <c r="F931" s="18"/>
      <c r="G931" s="18"/>
      <c r="H931" s="18"/>
      <c r="I931" s="18"/>
      <c r="J931" s="18"/>
      <c r="L931" s="5"/>
      <c r="M931" s="5"/>
      <c r="N931" s="5"/>
      <c r="O931" s="5"/>
    </row>
    <row r="932" spans="1:15" x14ac:dyDescent="0.3">
      <c r="A932" s="19"/>
      <c r="B932" s="17"/>
      <c r="C932" s="20"/>
      <c r="D932" s="20"/>
      <c r="E932" s="20"/>
      <c r="F932" s="20"/>
      <c r="G932" s="20"/>
      <c r="H932" s="17"/>
      <c r="I932" s="17"/>
      <c r="L932" s="5"/>
      <c r="M932" s="5"/>
      <c r="N932" s="5"/>
      <c r="O932" s="5"/>
    </row>
    <row r="933" spans="1:15" x14ac:dyDescent="0.3">
      <c r="A933" s="449" t="s">
        <v>53</v>
      </c>
      <c r="B933" s="451" t="s">
        <v>54</v>
      </c>
      <c r="C933" s="453" t="s">
        <v>167</v>
      </c>
      <c r="D933" s="455" t="s">
        <v>55</v>
      </c>
      <c r="E933" s="456"/>
      <c r="F933" s="456"/>
      <c r="G933" s="457"/>
      <c r="H933" s="458" t="s">
        <v>56</v>
      </c>
      <c r="I933" s="460" t="s">
        <v>57</v>
      </c>
      <c r="J933" s="17"/>
      <c r="L933" s="5"/>
      <c r="M933" s="5"/>
      <c r="N933" s="5"/>
      <c r="O933" s="5"/>
    </row>
    <row r="934" spans="1:15" ht="28.5" customHeight="1" x14ac:dyDescent="0.3">
      <c r="A934" s="450"/>
      <c r="B934" s="452"/>
      <c r="C934" s="454"/>
      <c r="D934" s="21" t="s">
        <v>24</v>
      </c>
      <c r="E934" s="21" t="s">
        <v>25</v>
      </c>
      <c r="F934" s="22" t="s">
        <v>123</v>
      </c>
      <c r="G934" s="21" t="s">
        <v>58</v>
      </c>
      <c r="H934" s="459"/>
      <c r="I934" s="461"/>
      <c r="J934" s="462" t="s">
        <v>168</v>
      </c>
      <c r="K934" s="143"/>
      <c r="L934" s="5"/>
      <c r="M934" s="5"/>
      <c r="N934" s="5"/>
      <c r="O934" s="5"/>
    </row>
    <row r="935" spans="1:15" x14ac:dyDescent="0.3">
      <c r="A935" s="23"/>
      <c r="B935" s="24" t="s">
        <v>59</v>
      </c>
      <c r="C935" s="25"/>
      <c r="D935" s="25"/>
      <c r="E935" s="25"/>
      <c r="F935" s="25"/>
      <c r="G935" s="25"/>
      <c r="H935" s="25"/>
      <c r="I935" s="26"/>
      <c r="J935" s="463"/>
      <c r="K935" s="143"/>
      <c r="L935" s="5"/>
      <c r="M935" s="5"/>
      <c r="N935" s="5"/>
      <c r="O935" s="5"/>
    </row>
    <row r="936" spans="1:15" x14ac:dyDescent="0.3">
      <c r="A936" s="122" t="s">
        <v>103</v>
      </c>
      <c r="B936" s="127" t="s">
        <v>153</v>
      </c>
      <c r="C936" s="32">
        <f>+C910</f>
        <v>29107</v>
      </c>
      <c r="D936" s="31"/>
      <c r="E936" s="32">
        <f>D910</f>
        <v>1125000</v>
      </c>
      <c r="F936" s="32"/>
      <c r="G936" s="32"/>
      <c r="H936" s="55">
        <f>+F910</f>
        <v>145357</v>
      </c>
      <c r="I936" s="32">
        <f>+E910</f>
        <v>1008750</v>
      </c>
      <c r="J936" s="30">
        <f>+SUM(C936:G936)-(H936+I936)</f>
        <v>0</v>
      </c>
      <c r="K936" s="144" t="b">
        <f>J936=I910</f>
        <v>1</v>
      </c>
      <c r="L936" s="5"/>
      <c r="M936" s="5"/>
      <c r="N936" s="5"/>
      <c r="O936" s="5"/>
    </row>
    <row r="937" spans="1:15" x14ac:dyDescent="0.3">
      <c r="A937" s="122" t="str">
        <f>A936</f>
        <v>DECEMBRE</v>
      </c>
      <c r="B937" s="127" t="s">
        <v>162</v>
      </c>
      <c r="C937" s="32">
        <f>+C911</f>
        <v>4000</v>
      </c>
      <c r="D937" s="31"/>
      <c r="E937" s="32">
        <f>+D911</f>
        <v>426000</v>
      </c>
      <c r="F937" s="32"/>
      <c r="G937" s="32"/>
      <c r="H937" s="55">
        <f>+F911</f>
        <v>0</v>
      </c>
      <c r="I937" s="32">
        <f>+E911</f>
        <v>420500</v>
      </c>
      <c r="J937" s="30">
        <f t="shared" ref="J937:J938" si="533">+SUM(C937:G937)-(H937+I937)</f>
        <v>9500</v>
      </c>
      <c r="K937" s="144" t="b">
        <f>J937=I911</f>
        <v>1</v>
      </c>
      <c r="L937" s="5"/>
      <c r="M937" s="5"/>
      <c r="N937" s="5"/>
      <c r="O937" s="5"/>
    </row>
    <row r="938" spans="1:15" x14ac:dyDescent="0.3">
      <c r="A938" s="122" t="str">
        <f>+A937</f>
        <v>DECEMBRE</v>
      </c>
      <c r="B938" s="127" t="s">
        <v>47</v>
      </c>
      <c r="C938" s="32">
        <f>+C915</f>
        <v>-3675</v>
      </c>
      <c r="D938" s="31"/>
      <c r="E938" s="32">
        <f>+D915</f>
        <v>1778500</v>
      </c>
      <c r="F938" s="32"/>
      <c r="G938" s="32"/>
      <c r="H938" s="55">
        <f>+F915</f>
        <v>145000</v>
      </c>
      <c r="I938" s="32">
        <f>+E915</f>
        <v>1666925</v>
      </c>
      <c r="J938" s="101">
        <f t="shared" si="533"/>
        <v>-37100</v>
      </c>
      <c r="K938" s="144" t="b">
        <f>J938=I915</f>
        <v>1</v>
      </c>
      <c r="L938" s="5"/>
      <c r="M938" s="5"/>
      <c r="N938" s="5"/>
      <c r="O938" s="5"/>
    </row>
    <row r="939" spans="1:15" x14ac:dyDescent="0.3">
      <c r="A939" s="122" t="str">
        <f t="shared" ref="A939:A947" si="534">+A938</f>
        <v>DECEMBRE</v>
      </c>
      <c r="B939" s="128" t="s">
        <v>31</v>
      </c>
      <c r="C939" s="32">
        <f>+C916</f>
        <v>7595</v>
      </c>
      <c r="D939" s="119"/>
      <c r="E939" s="32">
        <f>+D916</f>
        <v>286000</v>
      </c>
      <c r="F939" s="51"/>
      <c r="G939" s="51"/>
      <c r="H939" s="55">
        <f>+F916</f>
        <v>0</v>
      </c>
      <c r="I939" s="32">
        <f>+E916</f>
        <v>284950</v>
      </c>
      <c r="J939" s="124">
        <f>+SUM(C939:G939)-(H939+I939)</f>
        <v>8645</v>
      </c>
      <c r="K939" s="144" t="b">
        <f t="shared" ref="K939:K947" si="535">J939=I916</f>
        <v>1</v>
      </c>
      <c r="L939" s="5"/>
      <c r="M939" s="5"/>
      <c r="N939" s="5"/>
      <c r="O939" s="5"/>
    </row>
    <row r="940" spans="1:15" x14ac:dyDescent="0.3">
      <c r="A940" s="122" t="str">
        <f t="shared" si="534"/>
        <v>DECEMBRE</v>
      </c>
      <c r="B940" s="129" t="s">
        <v>84</v>
      </c>
      <c r="C940" s="120">
        <f>+C917</f>
        <v>233614</v>
      </c>
      <c r="D940" s="123"/>
      <c r="E940" s="120">
        <f>+D917</f>
        <v>0</v>
      </c>
      <c r="F940" s="137"/>
      <c r="G940" s="137"/>
      <c r="H940" s="155">
        <f>+F917</f>
        <v>0</v>
      </c>
      <c r="I940" s="120">
        <f>+E917</f>
        <v>0</v>
      </c>
      <c r="J940" s="121">
        <f>+SUM(C940:G940)-(H940+I940)</f>
        <v>233614</v>
      </c>
      <c r="K940" s="144" t="b">
        <f t="shared" si="535"/>
        <v>1</v>
      </c>
      <c r="L940" s="5"/>
      <c r="M940" s="5"/>
      <c r="N940" s="5"/>
      <c r="O940" s="5"/>
    </row>
    <row r="941" spans="1:15" x14ac:dyDescent="0.3">
      <c r="A941" s="122" t="str">
        <f t="shared" si="534"/>
        <v>DECEMBRE</v>
      </c>
      <c r="B941" s="129" t="s">
        <v>83</v>
      </c>
      <c r="C941" s="120">
        <f>+C918</f>
        <v>249769</v>
      </c>
      <c r="D941" s="123"/>
      <c r="E941" s="120">
        <f>+D918</f>
        <v>0</v>
      </c>
      <c r="F941" s="137"/>
      <c r="G941" s="137"/>
      <c r="H941" s="155">
        <f>+F918</f>
        <v>0</v>
      </c>
      <c r="I941" s="120">
        <f>+E918</f>
        <v>0</v>
      </c>
      <c r="J941" s="121">
        <f t="shared" ref="J941:J947" si="536">+SUM(C941:G941)-(H941+I941)</f>
        <v>249769</v>
      </c>
      <c r="K941" s="144" t="b">
        <f t="shared" si="535"/>
        <v>1</v>
      </c>
      <c r="L941" s="5"/>
      <c r="M941" s="5"/>
      <c r="N941" s="5"/>
      <c r="O941" s="5"/>
    </row>
    <row r="942" spans="1:15" x14ac:dyDescent="0.3">
      <c r="A942" s="122" t="str">
        <f t="shared" si="534"/>
        <v>DECEMBRE</v>
      </c>
      <c r="B942" s="127" t="s">
        <v>144</v>
      </c>
      <c r="C942" s="32">
        <f>+C919</f>
        <v>-6000</v>
      </c>
      <c r="D942" s="31"/>
      <c r="E942" s="32">
        <f>+D919</f>
        <v>797000</v>
      </c>
      <c r="F942" s="32"/>
      <c r="G942" s="104"/>
      <c r="H942" s="55">
        <f>+F919</f>
        <v>177180</v>
      </c>
      <c r="I942" s="32">
        <f>+E919</f>
        <v>578885</v>
      </c>
      <c r="J942" s="30">
        <f t="shared" si="536"/>
        <v>34935</v>
      </c>
      <c r="K942" s="144" t="b">
        <f t="shared" si="535"/>
        <v>1</v>
      </c>
      <c r="L942" s="5"/>
      <c r="M942" s="5"/>
      <c r="N942" s="5"/>
      <c r="O942" s="5"/>
    </row>
    <row r="943" spans="1:15" x14ac:dyDescent="0.3">
      <c r="A943" s="122" t="str">
        <f t="shared" si="534"/>
        <v>DECEMBRE</v>
      </c>
      <c r="B943" s="127" t="s">
        <v>143</v>
      </c>
      <c r="C943" s="32">
        <f t="shared" ref="C943:C947" si="537">+C920</f>
        <v>48400</v>
      </c>
      <c r="D943" s="31"/>
      <c r="E943" s="32">
        <f t="shared" ref="E943:E947" si="538">+D920</f>
        <v>847000</v>
      </c>
      <c r="F943" s="32"/>
      <c r="G943" s="104"/>
      <c r="H943" s="55">
        <f t="shared" ref="H943:H947" si="539">+F920</f>
        <v>658000</v>
      </c>
      <c r="I943" s="32">
        <f t="shared" ref="I943:I947" si="540">+E920</f>
        <v>193200</v>
      </c>
      <c r="J943" s="30">
        <f t="shared" si="536"/>
        <v>44200</v>
      </c>
      <c r="K943" s="144" t="b">
        <f t="shared" si="535"/>
        <v>1</v>
      </c>
      <c r="L943" s="5"/>
      <c r="M943" s="5"/>
      <c r="N943" s="5"/>
      <c r="O943" s="5"/>
    </row>
    <row r="944" spans="1:15" x14ac:dyDescent="0.3">
      <c r="A944" s="122" t="str">
        <f t="shared" si="534"/>
        <v>DECEMBRE</v>
      </c>
      <c r="B944" s="127" t="s">
        <v>30</v>
      </c>
      <c r="C944" s="32">
        <f t="shared" si="537"/>
        <v>6800</v>
      </c>
      <c r="D944" s="31"/>
      <c r="E944" s="32">
        <f t="shared" si="538"/>
        <v>861000</v>
      </c>
      <c r="F944" s="32"/>
      <c r="G944" s="104"/>
      <c r="H944" s="55">
        <f t="shared" si="539"/>
        <v>0</v>
      </c>
      <c r="I944" s="32">
        <f t="shared" si="540"/>
        <v>855750</v>
      </c>
      <c r="J944" s="30">
        <f t="shared" si="536"/>
        <v>12050</v>
      </c>
      <c r="K944" s="144" t="b">
        <f t="shared" si="535"/>
        <v>1</v>
      </c>
    </row>
    <row r="945" spans="1:16" x14ac:dyDescent="0.3">
      <c r="A945" s="122" t="str">
        <f>+A943</f>
        <v>DECEMBRE</v>
      </c>
      <c r="B945" s="127" t="s">
        <v>93</v>
      </c>
      <c r="C945" s="32">
        <f t="shared" si="537"/>
        <v>5500</v>
      </c>
      <c r="D945" s="31"/>
      <c r="E945" s="32">
        <f t="shared" si="538"/>
        <v>0</v>
      </c>
      <c r="F945" s="32"/>
      <c r="G945" s="104"/>
      <c r="H945" s="55">
        <f t="shared" si="539"/>
        <v>0</v>
      </c>
      <c r="I945" s="32">
        <f t="shared" si="540"/>
        <v>0</v>
      </c>
      <c r="J945" s="30">
        <f t="shared" si="536"/>
        <v>5500</v>
      </c>
      <c r="K945" s="144" t="b">
        <f t="shared" si="535"/>
        <v>1</v>
      </c>
    </row>
    <row r="946" spans="1:16" x14ac:dyDescent="0.3">
      <c r="A946" s="122" t="str">
        <f>+A944</f>
        <v>DECEMBRE</v>
      </c>
      <c r="B946" s="127" t="s">
        <v>29</v>
      </c>
      <c r="C946" s="32">
        <f t="shared" si="537"/>
        <v>30700</v>
      </c>
      <c r="D946" s="31"/>
      <c r="E946" s="32">
        <f t="shared" si="538"/>
        <v>1215000</v>
      </c>
      <c r="F946" s="32"/>
      <c r="G946" s="104"/>
      <c r="H946" s="55">
        <f t="shared" si="539"/>
        <v>490000</v>
      </c>
      <c r="I946" s="32">
        <f t="shared" si="540"/>
        <v>697500</v>
      </c>
      <c r="J946" s="30">
        <f t="shared" si="536"/>
        <v>58200</v>
      </c>
      <c r="K946" s="144" t="b">
        <f t="shared" si="535"/>
        <v>1</v>
      </c>
    </row>
    <row r="947" spans="1:16" x14ac:dyDescent="0.3">
      <c r="A947" s="122" t="str">
        <f t="shared" si="534"/>
        <v>DECEMBRE</v>
      </c>
      <c r="B947" s="128" t="s">
        <v>113</v>
      </c>
      <c r="C947" s="32">
        <f t="shared" si="537"/>
        <v>9193</v>
      </c>
      <c r="D947" s="119"/>
      <c r="E947" s="32">
        <f t="shared" si="538"/>
        <v>1100180</v>
      </c>
      <c r="F947" s="51"/>
      <c r="G947" s="138"/>
      <c r="H947" s="55">
        <f t="shared" si="539"/>
        <v>650000</v>
      </c>
      <c r="I947" s="32">
        <f t="shared" si="540"/>
        <v>195700</v>
      </c>
      <c r="J947" s="30">
        <f t="shared" si="536"/>
        <v>263673</v>
      </c>
      <c r="K947" s="144" t="b">
        <f t="shared" si="535"/>
        <v>1</v>
      </c>
    </row>
    <row r="948" spans="1:16" x14ac:dyDescent="0.3">
      <c r="A948" s="34" t="s">
        <v>60</v>
      </c>
      <c r="B948" s="35"/>
      <c r="C948" s="35"/>
      <c r="D948" s="35"/>
      <c r="E948" s="35"/>
      <c r="F948" s="35"/>
      <c r="G948" s="35"/>
      <c r="H948" s="35"/>
      <c r="I948" s="35"/>
      <c r="J948" s="36"/>
      <c r="K948" s="143"/>
    </row>
    <row r="949" spans="1:16" x14ac:dyDescent="0.3">
      <c r="A949" s="122" t="str">
        <f>+A947</f>
        <v>DECEMBRE</v>
      </c>
      <c r="B949" s="37" t="s">
        <v>61</v>
      </c>
      <c r="C949" s="38">
        <f>+C914</f>
        <v>926369</v>
      </c>
      <c r="D949" s="49"/>
      <c r="E949" s="49">
        <f>D914</f>
        <v>10580357</v>
      </c>
      <c r="F949" s="49"/>
      <c r="G949" s="125"/>
      <c r="H949" s="51">
        <f>+F914</f>
        <v>6750500</v>
      </c>
      <c r="I949" s="126">
        <f>+E914</f>
        <v>3713706</v>
      </c>
      <c r="J949" s="30">
        <f>+SUM(C949:G949)-(H949+I949)</f>
        <v>1042520</v>
      </c>
      <c r="K949" s="144" t="b">
        <f>J949=I914</f>
        <v>1</v>
      </c>
    </row>
    <row r="950" spans="1:16" x14ac:dyDescent="0.3">
      <c r="A950" s="43" t="s">
        <v>62</v>
      </c>
      <c r="B950" s="24"/>
      <c r="C950" s="35"/>
      <c r="D950" s="24"/>
      <c r="E950" s="24"/>
      <c r="F950" s="24"/>
      <c r="G950" s="24"/>
      <c r="H950" s="24"/>
      <c r="I950" s="24"/>
      <c r="J950" s="36"/>
      <c r="K950" s="143"/>
    </row>
    <row r="951" spans="1:16" x14ac:dyDescent="0.3">
      <c r="A951" s="122" t="str">
        <f>+A949</f>
        <v>DECEMBRE</v>
      </c>
      <c r="B951" s="37" t="s">
        <v>156</v>
      </c>
      <c r="C951" s="125">
        <f>+C912</f>
        <v>5738718</v>
      </c>
      <c r="D951" s="132">
        <f>+G912</f>
        <v>0</v>
      </c>
      <c r="E951" s="49"/>
      <c r="F951" s="49"/>
      <c r="G951" s="49"/>
      <c r="H951" s="51">
        <f>+F912</f>
        <v>2000000</v>
      </c>
      <c r="I951" s="53">
        <f>+E912</f>
        <v>283345</v>
      </c>
      <c r="J951" s="30">
        <f>+SUM(C951:G951)-(H951+I951)</f>
        <v>3455373</v>
      </c>
      <c r="K951" s="144" t="b">
        <f>+J951=I912</f>
        <v>1</v>
      </c>
    </row>
    <row r="952" spans="1:16" x14ac:dyDescent="0.3">
      <c r="A952" s="122" t="str">
        <f t="shared" ref="A952" si="541">+A951</f>
        <v>DECEMBRE</v>
      </c>
      <c r="B952" s="37" t="s">
        <v>64</v>
      </c>
      <c r="C952" s="125">
        <f>+C913</f>
        <v>16087207</v>
      </c>
      <c r="D952" s="49">
        <f>+G913</f>
        <v>0</v>
      </c>
      <c r="E952" s="48"/>
      <c r="F952" s="48"/>
      <c r="G952" s="48"/>
      <c r="H952" s="32">
        <f>+F913</f>
        <v>8000000</v>
      </c>
      <c r="I952" s="50">
        <f>+E913</f>
        <v>3245592</v>
      </c>
      <c r="J952" s="30">
        <f>SUM(C952:G952)-(H952+I952)</f>
        <v>4841615</v>
      </c>
      <c r="K952" s="144" t="b">
        <f>+J952=I913</f>
        <v>1</v>
      </c>
    </row>
    <row r="953" spans="1:16" ht="15.6" x14ac:dyDescent="0.3">
      <c r="C953" s="141">
        <f>SUM(C937:C952)</f>
        <v>23338190</v>
      </c>
      <c r="I953" s="140">
        <f>SUM(I937:I952)</f>
        <v>12136053</v>
      </c>
      <c r="J953" s="105">
        <f>+SUM(J936:J952)</f>
        <v>10222494</v>
      </c>
      <c r="K953" s="5" t="b">
        <f>J953=I925</f>
        <v>1</v>
      </c>
    </row>
    <row r="954" spans="1:16" x14ac:dyDescent="0.3">
      <c r="G954" s="9"/>
    </row>
    <row r="955" spans="1:16" x14ac:dyDescent="0.3">
      <c r="A955" s="160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4"/>
      <c r="M955" s="164"/>
      <c r="N955" s="164"/>
      <c r="O955" s="164"/>
      <c r="P955" s="160"/>
    </row>
    <row r="956" spans="1:16" x14ac:dyDescent="0.3">
      <c r="A956" s="4">
        <v>44530</v>
      </c>
    </row>
    <row r="957" spans="1:16" ht="15.6" x14ac:dyDescent="0.3">
      <c r="A957" s="6" t="s">
        <v>36</v>
      </c>
      <c r="B957" s="6" t="s">
        <v>1</v>
      </c>
      <c r="C957" s="6">
        <v>44501</v>
      </c>
      <c r="D957" s="7" t="s">
        <v>37</v>
      </c>
      <c r="E957" s="7" t="s">
        <v>38</v>
      </c>
      <c r="F957" s="7" t="s">
        <v>39</v>
      </c>
      <c r="G957" s="7" t="s">
        <v>40</v>
      </c>
      <c r="H957" s="6">
        <v>44530</v>
      </c>
      <c r="I957" s="7" t="s">
        <v>41</v>
      </c>
      <c r="K957" s="45"/>
      <c r="L957" s="45" t="s">
        <v>42</v>
      </c>
      <c r="M957" s="45" t="s">
        <v>43</v>
      </c>
      <c r="N957" s="45" t="s">
        <v>44</v>
      </c>
      <c r="O957" s="45" t="s">
        <v>45</v>
      </c>
    </row>
    <row r="958" spans="1:16" s="156" customFormat="1" ht="15.6" x14ac:dyDescent="0.3">
      <c r="A958" s="58" t="str">
        <f>+K958</f>
        <v>Axel</v>
      </c>
      <c r="B958" s="158" t="s">
        <v>154</v>
      </c>
      <c r="C958" s="60">
        <v>6757</v>
      </c>
      <c r="D958" s="61">
        <f t="shared" ref="D958:D971" si="542">+L958</f>
        <v>337000</v>
      </c>
      <c r="E958" s="61">
        <f>+N958</f>
        <v>314650</v>
      </c>
      <c r="F958" s="61">
        <f>+M958</f>
        <v>0</v>
      </c>
      <c r="G958" s="61">
        <f t="shared" ref="G958:G960" si="543">+O958</f>
        <v>0</v>
      </c>
      <c r="H958" s="61">
        <v>29107</v>
      </c>
      <c r="I958" s="61">
        <f>+C958+D958-E958-F958+G958</f>
        <v>29107</v>
      </c>
      <c r="J958" s="9">
        <f>I958-H958</f>
        <v>0</v>
      </c>
      <c r="K958" s="157" t="s">
        <v>153</v>
      </c>
      <c r="L958" s="157">
        <v>337000</v>
      </c>
      <c r="M958" s="157">
        <v>0</v>
      </c>
      <c r="N958" s="157">
        <v>314650</v>
      </c>
      <c r="O958" s="157">
        <v>0</v>
      </c>
    </row>
    <row r="959" spans="1:16" x14ac:dyDescent="0.3">
      <c r="A959" s="58" t="str">
        <f>+K959</f>
        <v>B52</v>
      </c>
      <c r="B959" s="59" t="s">
        <v>4</v>
      </c>
      <c r="C959" s="60">
        <v>0</v>
      </c>
      <c r="D959" s="61">
        <f t="shared" si="542"/>
        <v>118000</v>
      </c>
      <c r="E959" s="61">
        <f>+N959</f>
        <v>114000</v>
      </c>
      <c r="F959" s="61">
        <f>+M959</f>
        <v>0</v>
      </c>
      <c r="G959" s="61">
        <f t="shared" si="543"/>
        <v>0</v>
      </c>
      <c r="H959" s="61">
        <v>4000</v>
      </c>
      <c r="I959" s="61">
        <f>+C959+D959-E959-F959+G959</f>
        <v>4000</v>
      </c>
      <c r="J959" s="9">
        <f>I959-H959</f>
        <v>0</v>
      </c>
      <c r="K959" s="45" t="s">
        <v>162</v>
      </c>
      <c r="L959" s="47">
        <v>118000</v>
      </c>
      <c r="M959" s="47">
        <v>0</v>
      </c>
      <c r="N959" s="47">
        <v>114000</v>
      </c>
      <c r="O959" s="47">
        <v>0</v>
      </c>
    </row>
    <row r="960" spans="1:16" x14ac:dyDescent="0.3">
      <c r="A960" s="58" t="str">
        <f>+K960</f>
        <v>BCI</v>
      </c>
      <c r="B960" s="59" t="s">
        <v>46</v>
      </c>
      <c r="C960" s="60">
        <v>6762063</v>
      </c>
      <c r="D960" s="61">
        <f t="shared" si="542"/>
        <v>0</v>
      </c>
      <c r="E960" s="61">
        <f>+N960</f>
        <v>23345</v>
      </c>
      <c r="F960" s="61">
        <f>+M960</f>
        <v>1000000</v>
      </c>
      <c r="G960" s="61">
        <f t="shared" si="543"/>
        <v>0</v>
      </c>
      <c r="H960" s="61">
        <v>5738718</v>
      </c>
      <c r="I960" s="61">
        <f>+C960+D960-E960-F960+G960</f>
        <v>5738718</v>
      </c>
      <c r="J960" s="9">
        <f t="shared" ref="J960:J967" si="544">I960-H960</f>
        <v>0</v>
      </c>
      <c r="K960" s="45" t="s">
        <v>24</v>
      </c>
      <c r="L960" s="47">
        <v>0</v>
      </c>
      <c r="M960" s="47">
        <v>1000000</v>
      </c>
      <c r="N960" s="47">
        <v>23345</v>
      </c>
      <c r="O960" s="47">
        <v>0</v>
      </c>
    </row>
    <row r="961" spans="1:15" x14ac:dyDescent="0.3">
      <c r="A961" s="58" t="str">
        <f t="shared" ref="A961:A963" si="545">+K961</f>
        <v>BCI-Sous Compte</v>
      </c>
      <c r="B961" s="59" t="s">
        <v>46</v>
      </c>
      <c r="C961" s="60">
        <v>23107840</v>
      </c>
      <c r="D961" s="61">
        <f t="shared" si="542"/>
        <v>0</v>
      </c>
      <c r="E961" s="61">
        <f>+N961</f>
        <v>4020633</v>
      </c>
      <c r="F961" s="61">
        <f>+M961</f>
        <v>3000000</v>
      </c>
      <c r="G961" s="61">
        <f t="shared" ref="G961:G972" si="546">+O961</f>
        <v>0</v>
      </c>
      <c r="H961" s="61">
        <v>16087207</v>
      </c>
      <c r="I961" s="61">
        <f>+C961+D961-E961-F961+G961</f>
        <v>16087207</v>
      </c>
      <c r="J961" s="102">
        <f t="shared" si="544"/>
        <v>0</v>
      </c>
      <c r="K961" s="45" t="s">
        <v>148</v>
      </c>
      <c r="L961" s="47">
        <v>0</v>
      </c>
      <c r="M961" s="47">
        <v>3000000</v>
      </c>
      <c r="N961" s="47">
        <v>4020633</v>
      </c>
      <c r="O961" s="47">
        <v>0</v>
      </c>
    </row>
    <row r="962" spans="1:15" x14ac:dyDescent="0.3">
      <c r="A962" s="58" t="str">
        <f t="shared" si="545"/>
        <v>Caisse</v>
      </c>
      <c r="B962" s="59" t="s">
        <v>25</v>
      </c>
      <c r="C962" s="60">
        <v>1685107</v>
      </c>
      <c r="D962" s="61">
        <f t="shared" si="542"/>
        <v>4090000</v>
      </c>
      <c r="E962" s="61">
        <f t="shared" ref="E962" si="547">+N962</f>
        <v>2854238</v>
      </c>
      <c r="F962" s="61">
        <f t="shared" ref="F962:F969" si="548">+M962</f>
        <v>1994500</v>
      </c>
      <c r="G962" s="61">
        <f t="shared" si="546"/>
        <v>0</v>
      </c>
      <c r="H962" s="61">
        <v>926369</v>
      </c>
      <c r="I962" s="61">
        <f>+C962+D962-E962-F962+G962</f>
        <v>926369</v>
      </c>
      <c r="J962" s="9">
        <f t="shared" si="544"/>
        <v>0</v>
      </c>
      <c r="K962" s="45" t="s">
        <v>25</v>
      </c>
      <c r="L962" s="47">
        <v>4090000</v>
      </c>
      <c r="M962" s="47">
        <v>1994500</v>
      </c>
      <c r="N962" s="47">
        <v>2854238</v>
      </c>
      <c r="O962" s="47">
        <v>0</v>
      </c>
    </row>
    <row r="963" spans="1:15" x14ac:dyDescent="0.3">
      <c r="A963" s="58" t="str">
        <f t="shared" si="545"/>
        <v>Crépin</v>
      </c>
      <c r="B963" s="59" t="s">
        <v>154</v>
      </c>
      <c r="C963" s="60">
        <v>7200</v>
      </c>
      <c r="D963" s="61">
        <f t="shared" si="542"/>
        <v>286000</v>
      </c>
      <c r="E963" s="61">
        <f>+N963</f>
        <v>226875</v>
      </c>
      <c r="F963" s="61">
        <f t="shared" si="548"/>
        <v>70000</v>
      </c>
      <c r="G963" s="61">
        <f t="shared" si="546"/>
        <v>0</v>
      </c>
      <c r="H963" s="61">
        <v>-3675</v>
      </c>
      <c r="I963" s="61">
        <f t="shared" ref="I963" si="549">+C963+D963-E963-F963+G963</f>
        <v>-3675</v>
      </c>
      <c r="J963" s="9">
        <f t="shared" si="544"/>
        <v>0</v>
      </c>
      <c r="K963" s="45" t="s">
        <v>47</v>
      </c>
      <c r="L963" s="47">
        <v>286000</v>
      </c>
      <c r="M963" s="47">
        <v>70000</v>
      </c>
      <c r="N963" s="47">
        <v>226875</v>
      </c>
      <c r="O963" s="47">
        <v>0</v>
      </c>
    </row>
    <row r="964" spans="1:15" x14ac:dyDescent="0.3">
      <c r="A964" s="58" t="str">
        <f>K964</f>
        <v>Evariste</v>
      </c>
      <c r="B964" s="59" t="s">
        <v>155</v>
      </c>
      <c r="C964" s="60">
        <v>10095</v>
      </c>
      <c r="D964" s="61">
        <f t="shared" si="542"/>
        <v>70500</v>
      </c>
      <c r="E964" s="61">
        <f t="shared" ref="E964" si="550">+N964</f>
        <v>73000</v>
      </c>
      <c r="F964" s="61">
        <f t="shared" si="548"/>
        <v>0</v>
      </c>
      <c r="G964" s="61">
        <f t="shared" si="546"/>
        <v>0</v>
      </c>
      <c r="H964" s="61">
        <v>7595</v>
      </c>
      <c r="I964" s="61">
        <f>+C964+D964-E964-F964+G964</f>
        <v>7595</v>
      </c>
      <c r="J964" s="9">
        <f t="shared" si="544"/>
        <v>0</v>
      </c>
      <c r="K964" s="45" t="s">
        <v>31</v>
      </c>
      <c r="L964" s="47">
        <v>70500</v>
      </c>
      <c r="M964" s="47">
        <v>0</v>
      </c>
      <c r="N964" s="47">
        <v>73000</v>
      </c>
      <c r="O964" s="47">
        <v>0</v>
      </c>
    </row>
    <row r="965" spans="1:15" x14ac:dyDescent="0.3">
      <c r="A965" s="115" t="str">
        <f t="shared" ref="A965:A972" si="551">+K965</f>
        <v>I55S</v>
      </c>
      <c r="B965" s="116" t="s">
        <v>4</v>
      </c>
      <c r="C965" s="117">
        <v>233614</v>
      </c>
      <c r="D965" s="118">
        <f t="shared" si="542"/>
        <v>0</v>
      </c>
      <c r="E965" s="118">
        <f>+N965</f>
        <v>0</v>
      </c>
      <c r="F965" s="118">
        <f t="shared" si="548"/>
        <v>0</v>
      </c>
      <c r="G965" s="118">
        <f t="shared" si="546"/>
        <v>0</v>
      </c>
      <c r="H965" s="118">
        <v>233614</v>
      </c>
      <c r="I965" s="118">
        <f>+C965+D965-E965-F965+G965</f>
        <v>233614</v>
      </c>
      <c r="J965" s="9">
        <f t="shared" si="544"/>
        <v>0</v>
      </c>
      <c r="K965" s="45" t="s">
        <v>84</v>
      </c>
      <c r="L965" s="47">
        <v>0</v>
      </c>
      <c r="M965" s="47">
        <v>0</v>
      </c>
      <c r="N965" s="47">
        <v>0</v>
      </c>
      <c r="O965" s="47">
        <v>0</v>
      </c>
    </row>
    <row r="966" spans="1:15" x14ac:dyDescent="0.3">
      <c r="A966" s="115" t="str">
        <f t="shared" si="551"/>
        <v>I73X</v>
      </c>
      <c r="B966" s="116" t="s">
        <v>4</v>
      </c>
      <c r="C966" s="117">
        <v>249769</v>
      </c>
      <c r="D966" s="118">
        <f t="shared" si="542"/>
        <v>0</v>
      </c>
      <c r="E966" s="118">
        <f>+N966</f>
        <v>0</v>
      </c>
      <c r="F966" s="118">
        <f t="shared" si="548"/>
        <v>0</v>
      </c>
      <c r="G966" s="118">
        <f t="shared" si="546"/>
        <v>0</v>
      </c>
      <c r="H966" s="118">
        <v>249769</v>
      </c>
      <c r="I966" s="118">
        <f t="shared" ref="I966:I969" si="552">+C966+D966-E966-F966+G966</f>
        <v>249769</v>
      </c>
      <c r="J966" s="9">
        <f t="shared" si="544"/>
        <v>0</v>
      </c>
      <c r="K966" s="45" t="s">
        <v>83</v>
      </c>
      <c r="L966" s="47">
        <v>0</v>
      </c>
      <c r="M966" s="47">
        <v>0</v>
      </c>
      <c r="N966" s="47">
        <v>0</v>
      </c>
      <c r="O966" s="47">
        <v>0</v>
      </c>
    </row>
    <row r="967" spans="1:15" x14ac:dyDescent="0.3">
      <c r="A967" s="58" t="str">
        <f t="shared" si="551"/>
        <v>Godfré</v>
      </c>
      <c r="B967" s="98" t="s">
        <v>154</v>
      </c>
      <c r="C967" s="60">
        <v>3550</v>
      </c>
      <c r="D967" s="61">
        <f t="shared" si="542"/>
        <v>43000</v>
      </c>
      <c r="E967" s="154">
        <f t="shared" ref="E967:E972" si="553">+N967</f>
        <v>52550</v>
      </c>
      <c r="F967" s="61">
        <f t="shared" si="548"/>
        <v>0</v>
      </c>
      <c r="G967" s="61">
        <f t="shared" si="546"/>
        <v>0</v>
      </c>
      <c r="H967" s="61">
        <v>-6000</v>
      </c>
      <c r="I967" s="61">
        <f t="shared" si="552"/>
        <v>-6000</v>
      </c>
      <c r="J967" s="9">
        <f t="shared" si="544"/>
        <v>0</v>
      </c>
      <c r="K967" s="45" t="s">
        <v>144</v>
      </c>
      <c r="L967" s="47">
        <v>43000</v>
      </c>
      <c r="M967" s="47">
        <v>0</v>
      </c>
      <c r="N967" s="47">
        <v>52550</v>
      </c>
      <c r="O967" s="47">
        <v>0</v>
      </c>
    </row>
    <row r="968" spans="1:15" x14ac:dyDescent="0.3">
      <c r="A968" s="58" t="str">
        <f t="shared" si="551"/>
        <v>Grace</v>
      </c>
      <c r="B968" s="59" t="s">
        <v>2</v>
      </c>
      <c r="C968" s="60">
        <v>61300</v>
      </c>
      <c r="D968" s="61">
        <f t="shared" si="542"/>
        <v>53000</v>
      </c>
      <c r="E968" s="154">
        <f t="shared" si="553"/>
        <v>45900</v>
      </c>
      <c r="F968" s="61">
        <f t="shared" si="548"/>
        <v>20000</v>
      </c>
      <c r="G968" s="61">
        <f t="shared" si="546"/>
        <v>0</v>
      </c>
      <c r="H968" s="61">
        <v>48400</v>
      </c>
      <c r="I968" s="61">
        <f t="shared" si="552"/>
        <v>48400</v>
      </c>
      <c r="J968" s="9">
        <f>I968-H968</f>
        <v>0</v>
      </c>
      <c r="K968" s="45" t="s">
        <v>143</v>
      </c>
      <c r="L968" s="47">
        <v>53000</v>
      </c>
      <c r="M968" s="47">
        <v>20000</v>
      </c>
      <c r="N968" s="47">
        <v>45900</v>
      </c>
      <c r="O968" s="47">
        <v>0</v>
      </c>
    </row>
    <row r="969" spans="1:15" x14ac:dyDescent="0.3">
      <c r="A969" s="58" t="str">
        <f t="shared" si="551"/>
        <v>I23C</v>
      </c>
      <c r="B969" s="98" t="s">
        <v>4</v>
      </c>
      <c r="C969" s="60">
        <v>10800</v>
      </c>
      <c r="D969" s="61">
        <f t="shared" si="542"/>
        <v>488000</v>
      </c>
      <c r="E969" s="154">
        <f t="shared" si="553"/>
        <v>492000</v>
      </c>
      <c r="F969" s="61">
        <f t="shared" si="548"/>
        <v>0</v>
      </c>
      <c r="G969" s="61">
        <f t="shared" si="546"/>
        <v>0</v>
      </c>
      <c r="H969" s="61">
        <v>6800</v>
      </c>
      <c r="I969" s="61">
        <f t="shared" si="552"/>
        <v>6800</v>
      </c>
      <c r="J969" s="9">
        <f t="shared" ref="J969" si="554">I969-H969</f>
        <v>0</v>
      </c>
      <c r="K969" s="45" t="s">
        <v>30</v>
      </c>
      <c r="L969" s="47">
        <v>488000</v>
      </c>
      <c r="M969" s="47">
        <v>0</v>
      </c>
      <c r="N969" s="47">
        <v>492000</v>
      </c>
      <c r="O969" s="47">
        <v>0</v>
      </c>
    </row>
    <row r="970" spans="1:15" x14ac:dyDescent="0.3">
      <c r="A970" s="58" t="str">
        <f t="shared" si="551"/>
        <v>Merveille</v>
      </c>
      <c r="B970" s="59" t="s">
        <v>2</v>
      </c>
      <c r="C970" s="60">
        <v>9500</v>
      </c>
      <c r="D970" s="61">
        <f t="shared" si="542"/>
        <v>20000</v>
      </c>
      <c r="E970" s="154">
        <f t="shared" si="553"/>
        <v>24000</v>
      </c>
      <c r="F970" s="61">
        <f t="shared" ref="F970" si="555">+M970</f>
        <v>0</v>
      </c>
      <c r="G970" s="61">
        <f t="shared" ref="G970" si="556">+O970</f>
        <v>0</v>
      </c>
      <c r="H970" s="61">
        <v>5500</v>
      </c>
      <c r="I970" s="61">
        <f t="shared" ref="I970" si="557">+C970+D970-E970-F970+G970</f>
        <v>5500</v>
      </c>
      <c r="J970" s="9">
        <f t="shared" ref="J970" si="558">I970-H970</f>
        <v>0</v>
      </c>
      <c r="K970" s="45" t="s">
        <v>93</v>
      </c>
      <c r="L970" s="47">
        <v>20000</v>
      </c>
      <c r="M970" s="47">
        <v>0</v>
      </c>
      <c r="N970" s="47">
        <v>24000</v>
      </c>
      <c r="O970" s="47"/>
    </row>
    <row r="971" spans="1:15" x14ac:dyDescent="0.3">
      <c r="A971" s="58" t="str">
        <f t="shared" si="551"/>
        <v>P29</v>
      </c>
      <c r="B971" s="59" t="s">
        <v>4</v>
      </c>
      <c r="C971" s="60">
        <v>21200</v>
      </c>
      <c r="D971" s="61">
        <f t="shared" si="542"/>
        <v>543000</v>
      </c>
      <c r="E971" s="154">
        <f t="shared" si="553"/>
        <v>533500</v>
      </c>
      <c r="F971" s="61">
        <f>+M971</f>
        <v>0</v>
      </c>
      <c r="G971" s="61">
        <f>+O971</f>
        <v>0</v>
      </c>
      <c r="H971" s="61">
        <v>30700</v>
      </c>
      <c r="I971" s="61">
        <f>+C971+D971-E971-F971+G971</f>
        <v>30700</v>
      </c>
      <c r="J971" s="9">
        <f>I971-H971</f>
        <v>0</v>
      </c>
      <c r="K971" s="45" t="s">
        <v>29</v>
      </c>
      <c r="L971" s="47">
        <v>543000</v>
      </c>
      <c r="M971" s="47">
        <v>0</v>
      </c>
      <c r="N971" s="47">
        <v>533500</v>
      </c>
      <c r="O971" s="47">
        <v>0</v>
      </c>
    </row>
    <row r="972" spans="1:15" x14ac:dyDescent="0.3">
      <c r="A972" s="58" t="str">
        <f t="shared" si="551"/>
        <v>Tiffany</v>
      </c>
      <c r="B972" s="59" t="s">
        <v>2</v>
      </c>
      <c r="C972" s="60">
        <v>26193</v>
      </c>
      <c r="D972" s="61">
        <f t="shared" ref="D972" si="559">+L972</f>
        <v>36000</v>
      </c>
      <c r="E972" s="154">
        <f t="shared" si="553"/>
        <v>53000</v>
      </c>
      <c r="F972" s="61">
        <f t="shared" ref="F972" si="560">+M972</f>
        <v>0</v>
      </c>
      <c r="G972" s="61">
        <f t="shared" si="546"/>
        <v>0</v>
      </c>
      <c r="H972" s="61">
        <v>9193</v>
      </c>
      <c r="I972" s="61">
        <f t="shared" ref="I972" si="561">+C972+D972-E972-F972+G972</f>
        <v>9193</v>
      </c>
      <c r="J972" s="9">
        <f t="shared" ref="J972" si="562">I972-H972</f>
        <v>0</v>
      </c>
      <c r="K972" s="45" t="s">
        <v>113</v>
      </c>
      <c r="L972" s="47">
        <v>36000</v>
      </c>
      <c r="M972" s="47">
        <v>0</v>
      </c>
      <c r="N972" s="47">
        <v>53000</v>
      </c>
      <c r="O972" s="47">
        <v>0</v>
      </c>
    </row>
    <row r="973" spans="1:15" x14ac:dyDescent="0.3">
      <c r="A973" s="10" t="s">
        <v>50</v>
      </c>
      <c r="B973" s="11"/>
      <c r="C973" s="12">
        <f>SUM(C958:C972)</f>
        <v>32194988</v>
      </c>
      <c r="D973" s="57">
        <f t="shared" ref="D973:G973" si="563">SUM(D958:D972)</f>
        <v>6084500</v>
      </c>
      <c r="E973" s="57">
        <f t="shared" si="563"/>
        <v>8827691</v>
      </c>
      <c r="F973" s="57">
        <f t="shared" si="563"/>
        <v>6084500</v>
      </c>
      <c r="G973" s="57">
        <f t="shared" si="563"/>
        <v>0</v>
      </c>
      <c r="H973" s="57">
        <f>SUM(H958:H972)</f>
        <v>23367297</v>
      </c>
      <c r="I973" s="57">
        <f>SUM(I958:I972)</f>
        <v>23367297</v>
      </c>
      <c r="J973" s="9">
        <f>I973-H973</f>
        <v>0</v>
      </c>
      <c r="K973" s="3"/>
      <c r="L973" s="47">
        <v>6084500</v>
      </c>
      <c r="M973" s="47">
        <v>6084500</v>
      </c>
      <c r="N973" s="47">
        <v>8828291</v>
      </c>
      <c r="O973" s="47">
        <v>0</v>
      </c>
    </row>
    <row r="974" spans="1:15" x14ac:dyDescent="0.3">
      <c r="A974" s="10"/>
      <c r="B974" s="11"/>
      <c r="C974" s="12"/>
      <c r="D974" s="13"/>
      <c r="E974" s="12"/>
      <c r="F974" s="13"/>
      <c r="G974" s="12"/>
      <c r="H974" s="12"/>
      <c r="I974" s="134" t="b">
        <f>I973=D976</f>
        <v>1</v>
      </c>
      <c r="L974" s="5"/>
      <c r="M974" s="5"/>
      <c r="N974" s="5"/>
      <c r="O974" s="5"/>
    </row>
    <row r="975" spans="1:15" x14ac:dyDescent="0.3">
      <c r="A975" s="10" t="s">
        <v>158</v>
      </c>
      <c r="B975" s="11" t="s">
        <v>160</v>
      </c>
      <c r="C975" s="12" t="s">
        <v>163</v>
      </c>
      <c r="D975" s="12" t="s">
        <v>157</v>
      </c>
      <c r="E975" s="12" t="s">
        <v>51</v>
      </c>
      <c r="F975" s="12"/>
      <c r="G975" s="12">
        <f>+D973-F973</f>
        <v>0</v>
      </c>
      <c r="H975" s="12"/>
      <c r="I975" s="12"/>
    </row>
    <row r="976" spans="1:15" x14ac:dyDescent="0.3">
      <c r="A976" s="14">
        <f>C973</f>
        <v>32194988</v>
      </c>
      <c r="B976" s="15">
        <f>G973</f>
        <v>0</v>
      </c>
      <c r="C976" s="12">
        <f>E973</f>
        <v>8827691</v>
      </c>
      <c r="D976" s="12">
        <f>A976+B976-C976</f>
        <v>23367297</v>
      </c>
      <c r="E976" s="13">
        <f>I973-D976</f>
        <v>0</v>
      </c>
      <c r="F976" s="12"/>
      <c r="G976" s="12"/>
      <c r="H976" s="12"/>
      <c r="I976" s="12"/>
      <c r="L976" s="5"/>
      <c r="M976" s="5"/>
      <c r="N976" s="5"/>
      <c r="O976" s="5"/>
    </row>
    <row r="977" spans="1:15" x14ac:dyDescent="0.3">
      <c r="A977" s="14"/>
      <c r="B977" s="15"/>
      <c r="C977" s="12"/>
      <c r="D977" s="12"/>
      <c r="E977" s="13"/>
      <c r="F977" s="12"/>
      <c r="G977" s="12"/>
      <c r="H977" s="12"/>
      <c r="I977" s="12"/>
      <c r="L977" s="5"/>
      <c r="M977" s="5"/>
      <c r="N977" s="5"/>
      <c r="O977" s="5"/>
    </row>
    <row r="978" spans="1:15" x14ac:dyDescent="0.3">
      <c r="A978" s="16" t="s">
        <v>52</v>
      </c>
      <c r="B978" s="16"/>
      <c r="C978" s="16"/>
      <c r="D978" s="17"/>
      <c r="E978" s="17"/>
      <c r="F978" s="17"/>
      <c r="G978" s="17"/>
      <c r="H978" s="17"/>
      <c r="I978" s="17"/>
      <c r="L978" s="5"/>
      <c r="M978" s="5"/>
      <c r="N978" s="5"/>
      <c r="O978" s="5"/>
    </row>
    <row r="979" spans="1:15" x14ac:dyDescent="0.3">
      <c r="A979" s="18" t="s">
        <v>159</v>
      </c>
      <c r="B979" s="18"/>
      <c r="C979" s="18"/>
      <c r="D979" s="18"/>
      <c r="E979" s="18"/>
      <c r="F979" s="18"/>
      <c r="G979" s="18"/>
      <c r="H979" s="18"/>
      <c r="I979" s="18"/>
      <c r="J979" s="18"/>
      <c r="L979" s="5"/>
      <c r="M979" s="5"/>
      <c r="N979" s="5"/>
      <c r="O979" s="5"/>
    </row>
    <row r="980" spans="1:15" x14ac:dyDescent="0.3">
      <c r="A980" s="19"/>
      <c r="B980" s="17"/>
      <c r="C980" s="20"/>
      <c r="D980" s="20"/>
      <c r="E980" s="20"/>
      <c r="F980" s="20"/>
      <c r="G980" s="20"/>
      <c r="H980" s="17"/>
      <c r="I980" s="17"/>
      <c r="L980" s="5"/>
      <c r="M980" s="5"/>
      <c r="N980" s="5"/>
      <c r="O980" s="5"/>
    </row>
    <row r="981" spans="1:15" x14ac:dyDescent="0.3">
      <c r="A981" s="449" t="s">
        <v>53</v>
      </c>
      <c r="B981" s="451" t="s">
        <v>54</v>
      </c>
      <c r="C981" s="453" t="s">
        <v>161</v>
      </c>
      <c r="D981" s="455" t="s">
        <v>55</v>
      </c>
      <c r="E981" s="456"/>
      <c r="F981" s="456"/>
      <c r="G981" s="457"/>
      <c r="H981" s="458" t="s">
        <v>56</v>
      </c>
      <c r="I981" s="460" t="s">
        <v>57</v>
      </c>
      <c r="J981" s="17"/>
      <c r="L981" s="5"/>
      <c r="M981" s="5"/>
      <c r="N981" s="5"/>
      <c r="O981" s="5"/>
    </row>
    <row r="982" spans="1:15" ht="28.5" customHeight="1" x14ac:dyDescent="0.3">
      <c r="A982" s="450"/>
      <c r="B982" s="452"/>
      <c r="C982" s="454"/>
      <c r="D982" s="21" t="s">
        <v>24</v>
      </c>
      <c r="E982" s="21" t="s">
        <v>25</v>
      </c>
      <c r="F982" s="22" t="s">
        <v>123</v>
      </c>
      <c r="G982" s="21" t="s">
        <v>58</v>
      </c>
      <c r="H982" s="459"/>
      <c r="I982" s="461"/>
      <c r="J982" s="462" t="s">
        <v>169</v>
      </c>
      <c r="K982" s="143"/>
      <c r="L982" s="5"/>
      <c r="M982" s="5"/>
      <c r="N982" s="5"/>
      <c r="O982" s="5"/>
    </row>
    <row r="983" spans="1:15" x14ac:dyDescent="0.3">
      <c r="A983" s="23"/>
      <c r="B983" s="24" t="s">
        <v>59</v>
      </c>
      <c r="C983" s="25"/>
      <c r="D983" s="25"/>
      <c r="E983" s="25"/>
      <c r="F983" s="25"/>
      <c r="G983" s="25"/>
      <c r="H983" s="25"/>
      <c r="I983" s="26"/>
      <c r="J983" s="463"/>
      <c r="K983" s="143"/>
      <c r="L983" s="5"/>
      <c r="M983" s="5"/>
      <c r="N983" s="5"/>
      <c r="O983" s="5"/>
    </row>
    <row r="984" spans="1:15" x14ac:dyDescent="0.3">
      <c r="A984" s="122" t="s">
        <v>98</v>
      </c>
      <c r="B984" s="127" t="s">
        <v>153</v>
      </c>
      <c r="C984" s="32">
        <f>+C958</f>
        <v>6757</v>
      </c>
      <c r="D984" s="31"/>
      <c r="E984" s="32">
        <f>D958</f>
        <v>337000</v>
      </c>
      <c r="F984" s="32"/>
      <c r="G984" s="32"/>
      <c r="H984" s="55">
        <f>+F958</f>
        <v>0</v>
      </c>
      <c r="I984" s="32">
        <f>+E958</f>
        <v>314650</v>
      </c>
      <c r="J984" s="30">
        <f>+SUM(C984:G984)-(H984+I984)</f>
        <v>29107</v>
      </c>
      <c r="K984" s="144" t="b">
        <f>J984=I958</f>
        <v>1</v>
      </c>
      <c r="L984" s="5"/>
      <c r="M984" s="5"/>
      <c r="N984" s="5"/>
      <c r="O984" s="5"/>
    </row>
    <row r="985" spans="1:15" x14ac:dyDescent="0.3">
      <c r="A985" s="122" t="str">
        <f>A984</f>
        <v>NOVEMBRE</v>
      </c>
      <c r="B985" s="127" t="s">
        <v>162</v>
      </c>
      <c r="C985" s="32">
        <f>+C959</f>
        <v>0</v>
      </c>
      <c r="D985" s="31"/>
      <c r="E985" s="32">
        <f>+D959</f>
        <v>118000</v>
      </c>
      <c r="F985" s="32"/>
      <c r="G985" s="32"/>
      <c r="H985" s="55">
        <f>+F959</f>
        <v>0</v>
      </c>
      <c r="I985" s="32">
        <f>+E959</f>
        <v>114000</v>
      </c>
      <c r="J985" s="30">
        <f t="shared" ref="J985:J986" si="564">+SUM(C985:G985)-(H985+I985)</f>
        <v>4000</v>
      </c>
      <c r="K985" s="144" t="b">
        <f>J985=I959</f>
        <v>1</v>
      </c>
      <c r="L985" s="5"/>
      <c r="M985" s="5"/>
      <c r="N985" s="5"/>
      <c r="O985" s="5"/>
    </row>
    <row r="986" spans="1:15" x14ac:dyDescent="0.3">
      <c r="A986" s="122" t="str">
        <f>+A985</f>
        <v>NOVEMBRE</v>
      </c>
      <c r="B986" s="127" t="s">
        <v>47</v>
      </c>
      <c r="C986" s="32">
        <f>+C963</f>
        <v>7200</v>
      </c>
      <c r="D986" s="31"/>
      <c r="E986" s="32">
        <f>+D963</f>
        <v>286000</v>
      </c>
      <c r="F986" s="32"/>
      <c r="G986" s="32"/>
      <c r="H986" s="55">
        <f>+F963</f>
        <v>70000</v>
      </c>
      <c r="I986" s="32">
        <f>+E963</f>
        <v>226875</v>
      </c>
      <c r="J986" s="101">
        <f t="shared" si="564"/>
        <v>-3675</v>
      </c>
      <c r="K986" s="144" t="b">
        <f>J986=I963</f>
        <v>1</v>
      </c>
      <c r="L986" s="5"/>
      <c r="M986" s="5"/>
      <c r="N986" s="5"/>
      <c r="O986" s="5"/>
    </row>
    <row r="987" spans="1:15" x14ac:dyDescent="0.3">
      <c r="A987" s="122" t="str">
        <f t="shared" ref="A987:A995" si="565">+A986</f>
        <v>NOVEMBRE</v>
      </c>
      <c r="B987" s="128" t="s">
        <v>31</v>
      </c>
      <c r="C987" s="32">
        <f>+C964</f>
        <v>10095</v>
      </c>
      <c r="D987" s="119"/>
      <c r="E987" s="32">
        <f>+D964</f>
        <v>70500</v>
      </c>
      <c r="F987" s="51"/>
      <c r="G987" s="51"/>
      <c r="H987" s="55">
        <f>+F964</f>
        <v>0</v>
      </c>
      <c r="I987" s="32">
        <f>+E964</f>
        <v>73000</v>
      </c>
      <c r="J987" s="124">
        <f>+SUM(C987:G987)-(H987+I987)</f>
        <v>7595</v>
      </c>
      <c r="K987" s="144" t="b">
        <f t="shared" ref="K987:K995" si="566">J987=I964</f>
        <v>1</v>
      </c>
      <c r="L987" s="5"/>
      <c r="M987" s="5"/>
      <c r="N987" s="5"/>
      <c r="O987" s="5"/>
    </row>
    <row r="988" spans="1:15" x14ac:dyDescent="0.3">
      <c r="A988" s="122" t="str">
        <f t="shared" si="565"/>
        <v>NOVEMBRE</v>
      </c>
      <c r="B988" s="129" t="s">
        <v>84</v>
      </c>
      <c r="C988" s="120">
        <f>+C965</f>
        <v>233614</v>
      </c>
      <c r="D988" s="123"/>
      <c r="E988" s="120">
        <f>+D965</f>
        <v>0</v>
      </c>
      <c r="F988" s="137"/>
      <c r="G988" s="137"/>
      <c r="H988" s="155">
        <f>+F965</f>
        <v>0</v>
      </c>
      <c r="I988" s="120">
        <f>+E965</f>
        <v>0</v>
      </c>
      <c r="J988" s="121">
        <f>+SUM(C988:G988)-(H988+I988)</f>
        <v>233614</v>
      </c>
      <c r="K988" s="144" t="b">
        <f t="shared" si="566"/>
        <v>1</v>
      </c>
      <c r="L988" s="5"/>
      <c r="M988" s="5"/>
      <c r="N988" s="5"/>
      <c r="O988" s="5"/>
    </row>
    <row r="989" spans="1:15" x14ac:dyDescent="0.3">
      <c r="A989" s="122" t="str">
        <f t="shared" si="565"/>
        <v>NOVEMBRE</v>
      </c>
      <c r="B989" s="129" t="s">
        <v>83</v>
      </c>
      <c r="C989" s="120">
        <f>+C966</f>
        <v>249769</v>
      </c>
      <c r="D989" s="123"/>
      <c r="E989" s="120">
        <f>+D966</f>
        <v>0</v>
      </c>
      <c r="F989" s="137"/>
      <c r="G989" s="137"/>
      <c r="H989" s="155">
        <f>+F966</f>
        <v>0</v>
      </c>
      <c r="I989" s="120">
        <f>+E966</f>
        <v>0</v>
      </c>
      <c r="J989" s="121">
        <f t="shared" ref="J989:J995" si="567">+SUM(C989:G989)-(H989+I989)</f>
        <v>249769</v>
      </c>
      <c r="K989" s="144" t="b">
        <f t="shared" si="566"/>
        <v>1</v>
      </c>
      <c r="L989" s="5"/>
      <c r="M989" s="5"/>
      <c r="N989" s="5"/>
      <c r="O989" s="5"/>
    </row>
    <row r="990" spans="1:15" x14ac:dyDescent="0.3">
      <c r="A990" s="122" t="str">
        <f t="shared" si="565"/>
        <v>NOVEMBRE</v>
      </c>
      <c r="B990" s="127" t="s">
        <v>144</v>
      </c>
      <c r="C990" s="32">
        <f>+C967</f>
        <v>3550</v>
      </c>
      <c r="D990" s="31"/>
      <c r="E990" s="32">
        <f>+D967</f>
        <v>43000</v>
      </c>
      <c r="F990" s="32"/>
      <c r="G990" s="104"/>
      <c r="H990" s="55">
        <f>+F967</f>
        <v>0</v>
      </c>
      <c r="I990" s="32">
        <f>+E967</f>
        <v>52550</v>
      </c>
      <c r="J990" s="30">
        <f t="shared" si="567"/>
        <v>-6000</v>
      </c>
      <c r="K990" s="144" t="b">
        <f t="shared" si="566"/>
        <v>1</v>
      </c>
      <c r="L990" s="5"/>
      <c r="M990" s="5"/>
      <c r="N990" s="5"/>
      <c r="O990" s="5"/>
    </row>
    <row r="991" spans="1:15" x14ac:dyDescent="0.3">
      <c r="A991" s="122" t="str">
        <f t="shared" si="565"/>
        <v>NOVEMBRE</v>
      </c>
      <c r="B991" s="127" t="s">
        <v>143</v>
      </c>
      <c r="C991" s="32">
        <f t="shared" ref="C991:C995" si="568">+C968</f>
        <v>61300</v>
      </c>
      <c r="D991" s="31"/>
      <c r="E991" s="32">
        <f t="shared" ref="E991:E995" si="569">+D968</f>
        <v>53000</v>
      </c>
      <c r="F991" s="32"/>
      <c r="G991" s="104"/>
      <c r="H991" s="55">
        <f t="shared" ref="H991:H995" si="570">+F968</f>
        <v>20000</v>
      </c>
      <c r="I991" s="32">
        <f t="shared" ref="I991:I995" si="571">+E968</f>
        <v>45900</v>
      </c>
      <c r="J991" s="30">
        <f t="shared" si="567"/>
        <v>48400</v>
      </c>
      <c r="K991" s="144" t="b">
        <f t="shared" si="566"/>
        <v>1</v>
      </c>
      <c r="L991" s="5"/>
      <c r="M991" s="5"/>
      <c r="N991" s="5"/>
      <c r="O991" s="5"/>
    </row>
    <row r="992" spans="1:15" x14ac:dyDescent="0.3">
      <c r="A992" s="122" t="str">
        <f t="shared" si="565"/>
        <v>NOVEMBRE</v>
      </c>
      <c r="B992" s="127" t="s">
        <v>30</v>
      </c>
      <c r="C992" s="32">
        <f t="shared" si="568"/>
        <v>10800</v>
      </c>
      <c r="D992" s="31"/>
      <c r="E992" s="32">
        <f t="shared" si="569"/>
        <v>488000</v>
      </c>
      <c r="F992" s="32"/>
      <c r="G992" s="104"/>
      <c r="H992" s="55">
        <f t="shared" si="570"/>
        <v>0</v>
      </c>
      <c r="I992" s="32">
        <f t="shared" si="571"/>
        <v>492000</v>
      </c>
      <c r="J992" s="30">
        <f t="shared" si="567"/>
        <v>6800</v>
      </c>
      <c r="K992" s="144" t="b">
        <f t="shared" si="566"/>
        <v>1</v>
      </c>
      <c r="L992" s="5"/>
      <c r="M992" s="5"/>
      <c r="N992" s="5"/>
      <c r="O992" s="5"/>
    </row>
    <row r="993" spans="1:15" x14ac:dyDescent="0.3">
      <c r="A993" s="122" t="str">
        <f>+A991</f>
        <v>NOVEMBRE</v>
      </c>
      <c r="B993" s="127" t="s">
        <v>93</v>
      </c>
      <c r="C993" s="32">
        <f t="shared" si="568"/>
        <v>9500</v>
      </c>
      <c r="D993" s="31"/>
      <c r="E993" s="32">
        <f t="shared" si="569"/>
        <v>20000</v>
      </c>
      <c r="F993" s="32"/>
      <c r="G993" s="104"/>
      <c r="H993" s="55">
        <f t="shared" si="570"/>
        <v>0</v>
      </c>
      <c r="I993" s="32">
        <f t="shared" si="571"/>
        <v>24000</v>
      </c>
      <c r="J993" s="30">
        <f t="shared" si="567"/>
        <v>5500</v>
      </c>
      <c r="K993" s="144" t="b">
        <f t="shared" si="566"/>
        <v>1</v>
      </c>
      <c r="L993" s="5"/>
      <c r="M993" s="5"/>
      <c r="N993" s="5"/>
      <c r="O993" s="5"/>
    </row>
    <row r="994" spans="1:15" x14ac:dyDescent="0.3">
      <c r="A994" s="122" t="str">
        <f>+A992</f>
        <v>NOVEMBRE</v>
      </c>
      <c r="B994" s="127" t="s">
        <v>29</v>
      </c>
      <c r="C994" s="32">
        <f t="shared" si="568"/>
        <v>21200</v>
      </c>
      <c r="D994" s="31"/>
      <c r="E994" s="32">
        <f t="shared" si="569"/>
        <v>543000</v>
      </c>
      <c r="F994" s="32"/>
      <c r="G994" s="104"/>
      <c r="H994" s="55">
        <f t="shared" si="570"/>
        <v>0</v>
      </c>
      <c r="I994" s="32">
        <f t="shared" si="571"/>
        <v>533500</v>
      </c>
      <c r="J994" s="30">
        <f t="shared" si="567"/>
        <v>30700</v>
      </c>
      <c r="K994" s="144" t="b">
        <f t="shared" si="566"/>
        <v>1</v>
      </c>
      <c r="L994" s="5"/>
      <c r="M994" s="5"/>
      <c r="N994" s="5"/>
      <c r="O994" s="5"/>
    </row>
    <row r="995" spans="1:15" x14ac:dyDescent="0.3">
      <c r="A995" s="122" t="str">
        <f t="shared" si="565"/>
        <v>NOVEMBRE</v>
      </c>
      <c r="B995" s="128" t="s">
        <v>113</v>
      </c>
      <c r="C995" s="32">
        <f t="shared" si="568"/>
        <v>26193</v>
      </c>
      <c r="D995" s="119"/>
      <c r="E995" s="32">
        <f t="shared" si="569"/>
        <v>36000</v>
      </c>
      <c r="F995" s="51"/>
      <c r="G995" s="138"/>
      <c r="H995" s="55">
        <f t="shared" si="570"/>
        <v>0</v>
      </c>
      <c r="I995" s="32">
        <f t="shared" si="571"/>
        <v>53000</v>
      </c>
      <c r="J995" s="30">
        <f t="shared" si="567"/>
        <v>9193</v>
      </c>
      <c r="K995" s="144" t="b">
        <f t="shared" si="566"/>
        <v>1</v>
      </c>
      <c r="L995" s="5"/>
      <c r="M995" s="5"/>
      <c r="N995" s="5"/>
      <c r="O995" s="5"/>
    </row>
    <row r="996" spans="1:15" x14ac:dyDescent="0.3">
      <c r="A996" s="34" t="s">
        <v>60</v>
      </c>
      <c r="B996" s="35"/>
      <c r="C996" s="35"/>
      <c r="D996" s="35"/>
      <c r="E996" s="35"/>
      <c r="F996" s="35"/>
      <c r="G996" s="35"/>
      <c r="H996" s="35"/>
      <c r="I996" s="35"/>
      <c r="J996" s="36"/>
      <c r="K996" s="143"/>
      <c r="L996" s="5"/>
      <c r="M996" s="5"/>
      <c r="N996" s="5"/>
      <c r="O996" s="5"/>
    </row>
    <row r="997" spans="1:15" x14ac:dyDescent="0.3">
      <c r="A997" s="122" t="str">
        <f>+A995</f>
        <v>NOVEMBRE</v>
      </c>
      <c r="B997" s="37" t="s">
        <v>61</v>
      </c>
      <c r="C997" s="38">
        <f>+C962</f>
        <v>1685107</v>
      </c>
      <c r="D997" s="49"/>
      <c r="E997" s="49">
        <f>D962</f>
        <v>4090000</v>
      </c>
      <c r="F997" s="49"/>
      <c r="G997" s="125"/>
      <c r="H997" s="51">
        <f>+F962</f>
        <v>1994500</v>
      </c>
      <c r="I997" s="126">
        <f>+E962</f>
        <v>2854238</v>
      </c>
      <c r="J997" s="30">
        <f>+SUM(C997:G997)-(H997+I997)</f>
        <v>926369</v>
      </c>
      <c r="K997" s="144" t="b">
        <f>J997=I962</f>
        <v>1</v>
      </c>
      <c r="L997" s="5"/>
      <c r="M997" s="5"/>
      <c r="N997" s="5"/>
      <c r="O997" s="5"/>
    </row>
    <row r="998" spans="1:15" x14ac:dyDescent="0.3">
      <c r="A998" s="43" t="s">
        <v>62</v>
      </c>
      <c r="B998" s="24"/>
      <c r="C998" s="35"/>
      <c r="D998" s="24"/>
      <c r="E998" s="24"/>
      <c r="F998" s="24"/>
      <c r="G998" s="24"/>
      <c r="H998" s="24"/>
      <c r="I998" s="24"/>
      <c r="J998" s="36"/>
      <c r="K998" s="143"/>
      <c r="L998" s="5"/>
      <c r="M998" s="5"/>
      <c r="N998" s="5"/>
      <c r="O998" s="5"/>
    </row>
    <row r="999" spans="1:15" x14ac:dyDescent="0.3">
      <c r="A999" s="122" t="str">
        <f>+A997</f>
        <v>NOVEMBRE</v>
      </c>
      <c r="B999" s="37" t="s">
        <v>156</v>
      </c>
      <c r="C999" s="125">
        <f>+C960</f>
        <v>6762063</v>
      </c>
      <c r="D999" s="132">
        <f>+G960</f>
        <v>0</v>
      </c>
      <c r="E999" s="49"/>
      <c r="F999" s="49"/>
      <c r="G999" s="49"/>
      <c r="H999" s="51">
        <f>+F960</f>
        <v>1000000</v>
      </c>
      <c r="I999" s="53">
        <f>+E960</f>
        <v>23345</v>
      </c>
      <c r="J999" s="30">
        <f>+SUM(C999:G999)-(H999+I999)</f>
        <v>5738718</v>
      </c>
      <c r="K999" s="144" t="b">
        <f>+J999=I960</f>
        <v>1</v>
      </c>
      <c r="L999" s="5"/>
      <c r="M999" s="5"/>
      <c r="N999" s="5"/>
      <c r="O999" s="5"/>
    </row>
    <row r="1000" spans="1:15" x14ac:dyDescent="0.3">
      <c r="A1000" s="122" t="str">
        <f t="shared" ref="A1000" si="572">+A999</f>
        <v>NOVEMBRE</v>
      </c>
      <c r="B1000" s="37" t="s">
        <v>64</v>
      </c>
      <c r="C1000" s="125">
        <f>+C961</f>
        <v>23107840</v>
      </c>
      <c r="D1000" s="49">
        <f>+G961</f>
        <v>0</v>
      </c>
      <c r="E1000" s="48"/>
      <c r="F1000" s="48"/>
      <c r="G1000" s="48"/>
      <c r="H1000" s="32">
        <f>+F961</f>
        <v>3000000</v>
      </c>
      <c r="I1000" s="50">
        <f>+E961</f>
        <v>4020633</v>
      </c>
      <c r="J1000" s="30">
        <f>SUM(C1000:G1000)-(H1000+I1000)</f>
        <v>16087207</v>
      </c>
      <c r="K1000" s="144" t="b">
        <f>+J1000=I961</f>
        <v>1</v>
      </c>
      <c r="L1000" s="5"/>
      <c r="M1000" s="5"/>
      <c r="N1000" s="5"/>
      <c r="O1000" s="5"/>
    </row>
    <row r="1001" spans="1:15" ht="15.6" x14ac:dyDescent="0.3">
      <c r="C1001" s="141">
        <f>SUM(C985:C1000)</f>
        <v>32188231</v>
      </c>
      <c r="I1001" s="140">
        <f>SUM(I985:I1000)</f>
        <v>8513041</v>
      </c>
      <c r="J1001" s="105">
        <f>+SUM(J984:J1000)</f>
        <v>23367297</v>
      </c>
      <c r="K1001" s="5" t="b">
        <f>J1001=I973</f>
        <v>1</v>
      </c>
      <c r="L1001" s="5"/>
      <c r="M1001" s="5"/>
      <c r="N1001" s="5"/>
      <c r="O1001" s="5"/>
    </row>
    <row r="1002" spans="1:15" x14ac:dyDescent="0.3">
      <c r="G1002" s="9"/>
      <c r="L1002" s="5"/>
      <c r="M1002" s="5"/>
      <c r="N1002" s="5"/>
      <c r="O1002" s="5"/>
    </row>
    <row r="1003" spans="1:15" x14ac:dyDescent="0.3">
      <c r="A1003" s="16" t="s">
        <v>52</v>
      </c>
      <c r="B1003" s="16"/>
      <c r="C1003" s="16"/>
      <c r="D1003" s="17"/>
      <c r="E1003" s="17"/>
      <c r="F1003" s="17"/>
      <c r="G1003" s="17"/>
      <c r="H1003" s="17"/>
      <c r="I1003" s="17"/>
      <c r="L1003" s="5"/>
      <c r="M1003" s="5"/>
      <c r="N1003" s="5"/>
      <c r="O1003" s="5"/>
    </row>
    <row r="1004" spans="1:15" x14ac:dyDescent="0.3">
      <c r="A1004" s="18" t="s">
        <v>152</v>
      </c>
      <c r="B1004" s="18"/>
      <c r="C1004" s="18"/>
      <c r="D1004" s="18"/>
      <c r="E1004" s="18"/>
      <c r="F1004" s="18"/>
      <c r="G1004" s="18"/>
      <c r="H1004" s="18"/>
      <c r="I1004" s="18"/>
      <c r="J1004" s="18"/>
      <c r="L1004" s="5"/>
      <c r="M1004" s="5"/>
      <c r="N1004" s="5"/>
      <c r="O1004" s="5"/>
    </row>
    <row r="1005" spans="1:15" x14ac:dyDescent="0.3">
      <c r="A1005" s="19"/>
      <c r="B1005" s="17"/>
      <c r="C1005" s="20"/>
      <c r="D1005" s="20"/>
      <c r="E1005" s="20"/>
      <c r="F1005" s="20"/>
      <c r="G1005" s="20"/>
      <c r="H1005" s="17"/>
      <c r="I1005" s="17"/>
      <c r="L1005" s="5"/>
      <c r="M1005" s="5"/>
      <c r="N1005" s="5"/>
      <c r="O1005" s="5"/>
    </row>
    <row r="1006" spans="1:15" x14ac:dyDescent="0.3">
      <c r="A1006" s="449" t="s">
        <v>53</v>
      </c>
      <c r="B1006" s="451" t="s">
        <v>54</v>
      </c>
      <c r="C1006" s="453" t="s">
        <v>149</v>
      </c>
      <c r="D1006" s="455" t="s">
        <v>55</v>
      </c>
      <c r="E1006" s="456"/>
      <c r="F1006" s="456"/>
      <c r="G1006" s="457"/>
      <c r="H1006" s="458" t="s">
        <v>56</v>
      </c>
      <c r="I1006" s="460" t="s">
        <v>57</v>
      </c>
      <c r="J1006" s="17"/>
      <c r="L1006" s="5"/>
      <c r="M1006" s="5"/>
      <c r="N1006" s="5"/>
      <c r="O1006" s="5"/>
    </row>
    <row r="1007" spans="1:15" x14ac:dyDescent="0.3">
      <c r="A1007" s="450"/>
      <c r="B1007" s="452"/>
      <c r="C1007" s="454"/>
      <c r="D1007" s="21" t="s">
        <v>24</v>
      </c>
      <c r="E1007" s="21" t="s">
        <v>25</v>
      </c>
      <c r="F1007" s="22" t="s">
        <v>123</v>
      </c>
      <c r="G1007" s="21" t="s">
        <v>58</v>
      </c>
      <c r="H1007" s="459"/>
      <c r="I1007" s="461"/>
      <c r="J1007" s="462" t="s">
        <v>150</v>
      </c>
      <c r="K1007" s="143"/>
      <c r="L1007" s="5"/>
      <c r="M1007" s="5"/>
      <c r="N1007" s="5"/>
      <c r="O1007" s="5"/>
    </row>
    <row r="1008" spans="1:15" x14ac:dyDescent="0.3">
      <c r="A1008" s="23"/>
      <c r="B1008" s="24" t="s">
        <v>59</v>
      </c>
      <c r="C1008" s="25"/>
      <c r="D1008" s="25"/>
      <c r="E1008" s="25"/>
      <c r="F1008" s="25"/>
      <c r="G1008" s="25"/>
      <c r="H1008" s="25"/>
      <c r="I1008" s="26"/>
      <c r="J1008" s="463"/>
      <c r="K1008" s="143"/>
      <c r="L1008" s="5"/>
      <c r="M1008" s="5"/>
      <c r="N1008" s="5"/>
      <c r="O1008" s="5"/>
    </row>
    <row r="1009" spans="1:15" x14ac:dyDescent="0.3">
      <c r="A1009" s="122" t="s">
        <v>90</v>
      </c>
      <c r="B1009" s="127" t="s">
        <v>153</v>
      </c>
      <c r="C1009" s="32">
        <f>+C958</f>
        <v>6757</v>
      </c>
      <c r="D1009" s="31"/>
      <c r="E1009" s="32">
        <f>+D958</f>
        <v>337000</v>
      </c>
      <c r="F1009" s="32"/>
      <c r="G1009" s="32"/>
      <c r="H1009" s="55">
        <f>+F958</f>
        <v>0</v>
      </c>
      <c r="I1009" s="32">
        <f>+E958</f>
        <v>314650</v>
      </c>
      <c r="J1009" s="30">
        <f>+SUM(C1009:G1009)-(H1009+I1009)</f>
        <v>29107</v>
      </c>
      <c r="K1009" s="144" t="b">
        <f>J1009=I958</f>
        <v>1</v>
      </c>
      <c r="L1009" s="5"/>
      <c r="M1009" s="5"/>
      <c r="N1009" s="5"/>
      <c r="O1009" s="5"/>
    </row>
    <row r="1010" spans="1:15" x14ac:dyDescent="0.3">
      <c r="A1010" s="122" t="s">
        <v>90</v>
      </c>
      <c r="B1010" s="127" t="s">
        <v>47</v>
      </c>
      <c r="C1010" s="32">
        <f t="shared" ref="C1010:C1019" si="573">C962</f>
        <v>1685107</v>
      </c>
      <c r="D1010" s="31"/>
      <c r="E1010" s="32">
        <f>+D962</f>
        <v>4090000</v>
      </c>
      <c r="F1010" s="32"/>
      <c r="G1010" s="32"/>
      <c r="H1010" s="55">
        <f t="shared" ref="H1010:H1019" si="574">+F962</f>
        <v>1994500</v>
      </c>
      <c r="I1010" s="32">
        <f t="shared" ref="I1010:I1019" si="575">+E962</f>
        <v>2854238</v>
      </c>
      <c r="J1010" s="30">
        <f t="shared" ref="J1010:J1011" si="576">+SUM(C1010:G1010)-(H1010+I1010)</f>
        <v>926369</v>
      </c>
      <c r="K1010" s="144" t="b">
        <f t="shared" ref="K1010:K1020" si="577">J1010=I962</f>
        <v>1</v>
      </c>
      <c r="L1010" s="5"/>
      <c r="M1010" s="5"/>
      <c r="N1010" s="5"/>
      <c r="O1010" s="5"/>
    </row>
    <row r="1011" spans="1:15" x14ac:dyDescent="0.3">
      <c r="A1011" s="122" t="str">
        <f>+A1010</f>
        <v>OCTOBRE</v>
      </c>
      <c r="B1011" s="127" t="s">
        <v>31</v>
      </c>
      <c r="C1011" s="32">
        <f t="shared" si="573"/>
        <v>7200</v>
      </c>
      <c r="D1011" s="31"/>
      <c r="E1011" s="32">
        <f>+D963</f>
        <v>286000</v>
      </c>
      <c r="F1011" s="32"/>
      <c r="G1011" s="32"/>
      <c r="H1011" s="55">
        <f t="shared" si="574"/>
        <v>70000</v>
      </c>
      <c r="I1011" s="32">
        <f t="shared" si="575"/>
        <v>226875</v>
      </c>
      <c r="J1011" s="101">
        <f t="shared" si="576"/>
        <v>-3675</v>
      </c>
      <c r="K1011" s="144" t="b">
        <f t="shared" si="577"/>
        <v>1</v>
      </c>
      <c r="L1011" s="5"/>
      <c r="M1011" s="5"/>
      <c r="N1011" s="5"/>
      <c r="O1011" s="5"/>
    </row>
    <row r="1012" spans="1:15" x14ac:dyDescent="0.3">
      <c r="A1012" s="122" t="str">
        <f t="shared" ref="A1012:A1020" si="578">+A1011</f>
        <v>OCTOBRE</v>
      </c>
      <c r="B1012" s="128" t="s">
        <v>144</v>
      </c>
      <c r="C1012" s="32">
        <f t="shared" si="573"/>
        <v>10095</v>
      </c>
      <c r="D1012" s="119"/>
      <c r="E1012" s="32">
        <f>D964</f>
        <v>70500</v>
      </c>
      <c r="F1012" s="51"/>
      <c r="G1012" s="51"/>
      <c r="H1012" s="55">
        <f t="shared" si="574"/>
        <v>0</v>
      </c>
      <c r="I1012" s="32">
        <f t="shared" si="575"/>
        <v>73000</v>
      </c>
      <c r="J1012" s="124">
        <f>+SUM(C1012:G1012)-(H1012+I1012)</f>
        <v>7595</v>
      </c>
      <c r="K1012" s="144" t="b">
        <f t="shared" si="577"/>
        <v>1</v>
      </c>
      <c r="L1012" s="5"/>
      <c r="M1012" s="5"/>
      <c r="N1012" s="5"/>
      <c r="O1012" s="5"/>
    </row>
    <row r="1013" spans="1:15" x14ac:dyDescent="0.3">
      <c r="A1013" s="122" t="str">
        <f t="shared" si="578"/>
        <v>OCTOBRE</v>
      </c>
      <c r="B1013" s="129" t="s">
        <v>84</v>
      </c>
      <c r="C1013" s="120">
        <f t="shared" si="573"/>
        <v>233614</v>
      </c>
      <c r="D1013" s="123"/>
      <c r="E1013" s="120">
        <f t="shared" ref="E1013:E1017" si="579">+D965</f>
        <v>0</v>
      </c>
      <c r="F1013" s="137"/>
      <c r="G1013" s="137"/>
      <c r="H1013" s="155">
        <f t="shared" si="574"/>
        <v>0</v>
      </c>
      <c r="I1013" s="120">
        <f t="shared" si="575"/>
        <v>0</v>
      </c>
      <c r="J1013" s="121">
        <f>+SUM(C1013:G1013)-(H1013+I1013)</f>
        <v>233614</v>
      </c>
      <c r="K1013" s="144" t="b">
        <f t="shared" si="577"/>
        <v>1</v>
      </c>
      <c r="L1013" s="5"/>
      <c r="M1013" s="5"/>
      <c r="N1013" s="5"/>
      <c r="O1013" s="5"/>
    </row>
    <row r="1014" spans="1:15" x14ac:dyDescent="0.3">
      <c r="A1014" s="122" t="str">
        <f t="shared" si="578"/>
        <v>OCTOBRE</v>
      </c>
      <c r="B1014" s="129" t="s">
        <v>83</v>
      </c>
      <c r="C1014" s="120">
        <f t="shared" si="573"/>
        <v>249769</v>
      </c>
      <c r="D1014" s="123"/>
      <c r="E1014" s="120">
        <f t="shared" si="579"/>
        <v>0</v>
      </c>
      <c r="F1014" s="137"/>
      <c r="G1014" s="137"/>
      <c r="H1014" s="155">
        <f t="shared" si="574"/>
        <v>0</v>
      </c>
      <c r="I1014" s="120">
        <f t="shared" si="575"/>
        <v>0</v>
      </c>
      <c r="J1014" s="121">
        <f t="shared" ref="J1014:J1020" si="580">+SUM(C1014:G1014)-(H1014+I1014)</f>
        <v>249769</v>
      </c>
      <c r="K1014" s="144" t="b">
        <f t="shared" si="577"/>
        <v>1</v>
      </c>
      <c r="L1014" s="5"/>
      <c r="M1014" s="5"/>
      <c r="N1014" s="5"/>
      <c r="O1014" s="5"/>
    </row>
    <row r="1015" spans="1:15" x14ac:dyDescent="0.3">
      <c r="A1015" s="122" t="str">
        <f t="shared" si="578"/>
        <v>OCTOBRE</v>
      </c>
      <c r="B1015" s="127" t="s">
        <v>143</v>
      </c>
      <c r="C1015" s="32">
        <f t="shared" si="573"/>
        <v>3550</v>
      </c>
      <c r="D1015" s="31"/>
      <c r="E1015" s="32">
        <f t="shared" si="579"/>
        <v>43000</v>
      </c>
      <c r="F1015" s="32"/>
      <c r="G1015" s="104"/>
      <c r="H1015" s="55">
        <f t="shared" si="574"/>
        <v>0</v>
      </c>
      <c r="I1015" s="32">
        <f t="shared" si="575"/>
        <v>52550</v>
      </c>
      <c r="J1015" s="30">
        <f t="shared" si="580"/>
        <v>-6000</v>
      </c>
      <c r="K1015" s="144" t="b">
        <f t="shared" si="577"/>
        <v>1</v>
      </c>
      <c r="L1015" s="5"/>
      <c r="M1015" s="5"/>
      <c r="N1015" s="5"/>
      <c r="O1015" s="5"/>
    </row>
    <row r="1016" spans="1:15" x14ac:dyDescent="0.3">
      <c r="A1016" s="122" t="str">
        <f t="shared" si="578"/>
        <v>OCTOBRE</v>
      </c>
      <c r="B1016" s="127" t="s">
        <v>30</v>
      </c>
      <c r="C1016" s="32">
        <f t="shared" si="573"/>
        <v>61300</v>
      </c>
      <c r="D1016" s="31"/>
      <c r="E1016" s="32">
        <f t="shared" si="579"/>
        <v>53000</v>
      </c>
      <c r="F1016" s="32"/>
      <c r="G1016" s="104"/>
      <c r="H1016" s="55">
        <f t="shared" si="574"/>
        <v>20000</v>
      </c>
      <c r="I1016" s="32">
        <f t="shared" si="575"/>
        <v>45900</v>
      </c>
      <c r="J1016" s="30">
        <f t="shared" si="580"/>
        <v>48400</v>
      </c>
      <c r="K1016" s="144" t="b">
        <f t="shared" si="577"/>
        <v>1</v>
      </c>
      <c r="L1016" s="5"/>
      <c r="M1016" s="5"/>
      <c r="N1016" s="5"/>
      <c r="O1016" s="5"/>
    </row>
    <row r="1017" spans="1:15" x14ac:dyDescent="0.3">
      <c r="A1017" s="122" t="str">
        <f t="shared" si="578"/>
        <v>OCTOBRE</v>
      </c>
      <c r="B1017" s="127" t="s">
        <v>93</v>
      </c>
      <c r="C1017" s="32">
        <f t="shared" si="573"/>
        <v>10800</v>
      </c>
      <c r="D1017" s="31"/>
      <c r="E1017" s="32">
        <f t="shared" si="579"/>
        <v>488000</v>
      </c>
      <c r="F1017" s="32"/>
      <c r="G1017" s="104"/>
      <c r="H1017" s="55">
        <f t="shared" si="574"/>
        <v>0</v>
      </c>
      <c r="I1017" s="32">
        <f t="shared" si="575"/>
        <v>492000</v>
      </c>
      <c r="J1017" s="30">
        <f t="shared" si="580"/>
        <v>6800</v>
      </c>
      <c r="K1017" s="144" t="b">
        <f t="shared" si="577"/>
        <v>1</v>
      </c>
      <c r="L1017" s="5"/>
      <c r="M1017" s="5"/>
      <c r="N1017" s="5"/>
      <c r="O1017" s="5"/>
    </row>
    <row r="1018" spans="1:15" x14ac:dyDescent="0.3">
      <c r="A1018" s="122" t="str">
        <f>+A1016</f>
        <v>OCTOBRE</v>
      </c>
      <c r="B1018" s="127" t="s">
        <v>29</v>
      </c>
      <c r="C1018" s="32">
        <f t="shared" si="573"/>
        <v>9500</v>
      </c>
      <c r="D1018" s="31"/>
      <c r="E1018" s="32">
        <f>+D970</f>
        <v>20000</v>
      </c>
      <c r="F1018" s="32"/>
      <c r="G1018" s="104"/>
      <c r="H1018" s="55">
        <f t="shared" si="574"/>
        <v>0</v>
      </c>
      <c r="I1018" s="32">
        <f t="shared" si="575"/>
        <v>24000</v>
      </c>
      <c r="J1018" s="30">
        <f t="shared" ref="J1018" si="581">+SUM(C1018:G1018)-(H1018+I1018)</f>
        <v>5500</v>
      </c>
      <c r="K1018" s="144" t="b">
        <f t="shared" si="577"/>
        <v>1</v>
      </c>
      <c r="L1018" s="5"/>
      <c r="M1018" s="5"/>
      <c r="N1018" s="5"/>
      <c r="O1018" s="5"/>
    </row>
    <row r="1019" spans="1:15" x14ac:dyDescent="0.3">
      <c r="A1019" s="122" t="str">
        <f>+A1017</f>
        <v>OCTOBRE</v>
      </c>
      <c r="B1019" s="127" t="s">
        <v>147</v>
      </c>
      <c r="C1019" s="32">
        <f t="shared" si="573"/>
        <v>21200</v>
      </c>
      <c r="D1019" s="31"/>
      <c r="E1019" s="32">
        <f>+D971</f>
        <v>543000</v>
      </c>
      <c r="F1019" s="32"/>
      <c r="G1019" s="104"/>
      <c r="H1019" s="55">
        <f t="shared" si="574"/>
        <v>0</v>
      </c>
      <c r="I1019" s="32">
        <f t="shared" si="575"/>
        <v>533500</v>
      </c>
      <c r="J1019" s="30">
        <f t="shared" si="580"/>
        <v>30700</v>
      </c>
      <c r="K1019" s="144" t="b">
        <f t="shared" si="577"/>
        <v>1</v>
      </c>
      <c r="L1019" s="5"/>
      <c r="M1019" s="5"/>
      <c r="N1019" s="5"/>
      <c r="O1019" s="5"/>
    </row>
    <row r="1020" spans="1:15" x14ac:dyDescent="0.3">
      <c r="A1020" s="122" t="str">
        <f t="shared" si="578"/>
        <v>OCTOBRE</v>
      </c>
      <c r="B1020" s="128" t="s">
        <v>113</v>
      </c>
      <c r="C1020" s="32">
        <f t="shared" ref="C1020" si="582">C972</f>
        <v>26193</v>
      </c>
      <c r="D1020" s="119"/>
      <c r="E1020" s="32">
        <f t="shared" ref="E1020" si="583">+D972</f>
        <v>36000</v>
      </c>
      <c r="F1020" s="51"/>
      <c r="G1020" s="138"/>
      <c r="H1020" s="55">
        <f t="shared" ref="H1020" si="584">+F972</f>
        <v>0</v>
      </c>
      <c r="I1020" s="32">
        <f t="shared" ref="I1020" si="585">+E972</f>
        <v>53000</v>
      </c>
      <c r="J1020" s="30">
        <f t="shared" si="580"/>
        <v>9193</v>
      </c>
      <c r="K1020" s="144" t="b">
        <f t="shared" si="577"/>
        <v>1</v>
      </c>
      <c r="L1020" s="5"/>
      <c r="M1020" s="5"/>
      <c r="N1020" s="5"/>
      <c r="O1020" s="5"/>
    </row>
    <row r="1021" spans="1:15" x14ac:dyDescent="0.3">
      <c r="A1021" s="34" t="s">
        <v>60</v>
      </c>
      <c r="B1021" s="35"/>
      <c r="C1021" s="35"/>
      <c r="D1021" s="35"/>
      <c r="E1021" s="35"/>
      <c r="F1021" s="35"/>
      <c r="G1021" s="35"/>
      <c r="H1021" s="35"/>
      <c r="I1021" s="35"/>
      <c r="J1021" s="36"/>
      <c r="K1021" s="143"/>
      <c r="L1021" s="5"/>
      <c r="M1021" s="5"/>
      <c r="N1021" s="5"/>
      <c r="O1021" s="5"/>
    </row>
    <row r="1022" spans="1:15" x14ac:dyDescent="0.3">
      <c r="A1022" s="122" t="str">
        <f>+A1020</f>
        <v>OCTOBRE</v>
      </c>
      <c r="B1022" s="37" t="s">
        <v>61</v>
      </c>
      <c r="C1022" s="38">
        <f>C961</f>
        <v>23107840</v>
      </c>
      <c r="D1022" s="49"/>
      <c r="E1022" s="49">
        <f>D961</f>
        <v>0</v>
      </c>
      <c r="F1022" s="49"/>
      <c r="G1022" s="125"/>
      <c r="H1022" s="51">
        <f>+F961</f>
        <v>3000000</v>
      </c>
      <c r="I1022" s="126">
        <f>+E961</f>
        <v>4020633</v>
      </c>
      <c r="J1022" s="30">
        <f>+SUM(C1022:G1022)-(H1022+I1022)</f>
        <v>16087207</v>
      </c>
      <c r="K1022" s="144" t="b">
        <f>J1022=I961</f>
        <v>1</v>
      </c>
      <c r="L1022" s="5"/>
      <c r="M1022" s="5"/>
      <c r="N1022" s="5"/>
      <c r="O1022" s="5"/>
    </row>
    <row r="1023" spans="1:15" x14ac:dyDescent="0.3">
      <c r="A1023" s="43" t="s">
        <v>62</v>
      </c>
      <c r="B1023" s="24"/>
      <c r="C1023" s="35"/>
      <c r="D1023" s="24"/>
      <c r="E1023" s="24"/>
      <c r="F1023" s="24"/>
      <c r="G1023" s="24"/>
      <c r="H1023" s="24"/>
      <c r="I1023" s="24"/>
      <c r="J1023" s="36"/>
      <c r="K1023" s="143"/>
      <c r="L1023" s="5"/>
      <c r="M1023" s="5"/>
      <c r="N1023" s="5"/>
      <c r="O1023" s="5"/>
    </row>
    <row r="1024" spans="1:15" x14ac:dyDescent="0.3">
      <c r="A1024" s="122" t="str">
        <f>+A1022</f>
        <v>OCTOBRE</v>
      </c>
      <c r="B1024" s="37" t="s">
        <v>156</v>
      </c>
      <c r="C1024" s="125">
        <f>C959</f>
        <v>0</v>
      </c>
      <c r="D1024" s="132">
        <f>G959</f>
        <v>0</v>
      </c>
      <c r="E1024" s="49"/>
      <c r="F1024" s="49"/>
      <c r="G1024" s="49"/>
      <c r="H1024" s="51">
        <f>+F959</f>
        <v>0</v>
      </c>
      <c r="I1024" s="53">
        <f>+E959</f>
        <v>114000</v>
      </c>
      <c r="J1024" s="30">
        <f>+SUM(C1024:G1024)-(H1024+I1024)</f>
        <v>-114000</v>
      </c>
      <c r="K1024" s="144" t="b">
        <f>+J1024=I959</f>
        <v>0</v>
      </c>
      <c r="L1024" s="5"/>
      <c r="M1024" s="5"/>
      <c r="N1024" s="5"/>
      <c r="O1024" s="5"/>
    </row>
    <row r="1025" spans="1:15" x14ac:dyDescent="0.3">
      <c r="A1025" s="122" t="str">
        <f t="shared" ref="A1025" si="586">+A1024</f>
        <v>OCTOBRE</v>
      </c>
      <c r="B1025" s="37" t="s">
        <v>64</v>
      </c>
      <c r="C1025" s="125">
        <f>C960</f>
        <v>6762063</v>
      </c>
      <c r="D1025" s="49">
        <f>G960</f>
        <v>0</v>
      </c>
      <c r="E1025" s="48"/>
      <c r="F1025" s="48"/>
      <c r="G1025" s="48"/>
      <c r="H1025" s="32">
        <f>+F960</f>
        <v>1000000</v>
      </c>
      <c r="I1025" s="50">
        <f>+E960</f>
        <v>23345</v>
      </c>
      <c r="J1025" s="30">
        <f>SUM(C1025:G1025)-(H1025+I1025)</f>
        <v>5738718</v>
      </c>
      <c r="K1025" s="144" t="b">
        <f>+J1025=I960</f>
        <v>1</v>
      </c>
      <c r="L1025" s="5"/>
      <c r="M1025" s="5"/>
      <c r="N1025" s="5"/>
      <c r="O1025" s="5"/>
    </row>
    <row r="1026" spans="1:15" ht="15.6" x14ac:dyDescent="0.3">
      <c r="C1026" s="141">
        <f>SUM(C1010:C1025)</f>
        <v>32188231</v>
      </c>
      <c r="I1026" s="140">
        <f>SUM(I1010:I1025)</f>
        <v>8513041</v>
      </c>
      <c r="J1026" s="105">
        <f>+SUM(J1009:J1025)</f>
        <v>23249297</v>
      </c>
      <c r="K1026" s="5" t="b">
        <f>J1026=I973</f>
        <v>0</v>
      </c>
      <c r="L1026" s="5"/>
      <c r="M1026" s="5"/>
      <c r="N1026" s="5"/>
      <c r="O1026" s="5"/>
    </row>
    <row r="1027" spans="1:15" x14ac:dyDescent="0.3">
      <c r="G1027" s="9"/>
      <c r="L1027" s="5"/>
      <c r="M1027" s="5"/>
      <c r="N1027" s="5"/>
      <c r="O1027" s="5"/>
    </row>
    <row r="1028" spans="1:15" x14ac:dyDescent="0.3">
      <c r="A1028" s="16" t="s">
        <v>52</v>
      </c>
      <c r="B1028" s="16"/>
      <c r="C1028" s="16"/>
      <c r="D1028" s="17"/>
      <c r="E1028" s="17"/>
      <c r="F1028" s="17"/>
      <c r="G1028" s="17"/>
      <c r="H1028" s="17"/>
      <c r="I1028" s="17"/>
      <c r="L1028" s="5"/>
      <c r="M1028" s="5"/>
      <c r="N1028" s="5"/>
      <c r="O1028" s="5"/>
    </row>
    <row r="1029" spans="1:15" x14ac:dyDescent="0.3">
      <c r="A1029" s="18" t="s">
        <v>145</v>
      </c>
      <c r="B1029" s="18"/>
      <c r="C1029" s="18"/>
      <c r="D1029" s="18"/>
      <c r="E1029" s="18"/>
      <c r="F1029" s="18"/>
      <c r="G1029" s="18"/>
      <c r="H1029" s="18"/>
      <c r="I1029" s="18"/>
      <c r="J1029" s="18"/>
      <c r="L1029" s="5"/>
      <c r="M1029" s="5"/>
      <c r="N1029" s="5"/>
      <c r="O1029" s="5"/>
    </row>
    <row r="1030" spans="1:15" x14ac:dyDescent="0.3">
      <c r="A1030" s="19"/>
      <c r="B1030" s="17"/>
      <c r="C1030" s="20"/>
      <c r="D1030" s="20"/>
      <c r="E1030" s="20"/>
      <c r="F1030" s="20"/>
      <c r="G1030" s="20"/>
      <c r="H1030" s="17"/>
      <c r="I1030" s="17"/>
      <c r="L1030" s="5"/>
      <c r="M1030" s="5"/>
      <c r="N1030" s="5"/>
      <c r="O1030" s="5"/>
    </row>
    <row r="1031" spans="1:15" x14ac:dyDescent="0.3">
      <c r="A1031" s="449" t="s">
        <v>53</v>
      </c>
      <c r="B1031" s="451" t="s">
        <v>54</v>
      </c>
      <c r="C1031" s="453" t="s">
        <v>146</v>
      </c>
      <c r="D1031" s="455" t="s">
        <v>55</v>
      </c>
      <c r="E1031" s="456"/>
      <c r="F1031" s="456"/>
      <c r="G1031" s="457"/>
      <c r="H1031" s="458" t="s">
        <v>56</v>
      </c>
      <c r="I1031" s="460" t="s">
        <v>57</v>
      </c>
      <c r="J1031" s="17"/>
      <c r="L1031" s="5"/>
      <c r="M1031" s="5"/>
      <c r="N1031" s="5"/>
      <c r="O1031" s="5"/>
    </row>
    <row r="1032" spans="1:15" x14ac:dyDescent="0.3">
      <c r="A1032" s="450"/>
      <c r="B1032" s="452"/>
      <c r="C1032" s="454"/>
      <c r="D1032" s="21" t="s">
        <v>24</v>
      </c>
      <c r="E1032" s="21" t="s">
        <v>25</v>
      </c>
      <c r="F1032" s="22" t="s">
        <v>123</v>
      </c>
      <c r="G1032" s="21" t="s">
        <v>58</v>
      </c>
      <c r="H1032" s="459"/>
      <c r="I1032" s="461"/>
      <c r="J1032" s="462" t="s">
        <v>151</v>
      </c>
      <c r="K1032" s="143"/>
      <c r="L1032" s="5"/>
      <c r="M1032" s="5"/>
      <c r="N1032" s="5"/>
      <c r="O1032" s="5"/>
    </row>
    <row r="1033" spans="1:15" x14ac:dyDescent="0.3">
      <c r="A1033" s="23"/>
      <c r="B1033" s="24" t="s">
        <v>59</v>
      </c>
      <c r="C1033" s="25"/>
      <c r="D1033" s="25"/>
      <c r="E1033" s="25"/>
      <c r="F1033" s="25"/>
      <c r="G1033" s="25"/>
      <c r="H1033" s="25"/>
      <c r="I1033" s="26"/>
      <c r="J1033" s="463"/>
      <c r="K1033" s="143"/>
      <c r="L1033" s="5"/>
      <c r="M1033" s="5"/>
      <c r="N1033" s="5"/>
      <c r="O1033" s="5"/>
    </row>
    <row r="1034" spans="1:15" x14ac:dyDescent="0.3">
      <c r="A1034" s="122" t="s">
        <v>79</v>
      </c>
      <c r="B1034" s="127" t="s">
        <v>47</v>
      </c>
      <c r="C1034" s="32" t="e">
        <f>#REF!</f>
        <v>#REF!</v>
      </c>
      <c r="D1034" s="31"/>
      <c r="E1034" s="32" t="e">
        <f>+#REF!</f>
        <v>#REF!</v>
      </c>
      <c r="F1034" s="32"/>
      <c r="G1034" s="32"/>
      <c r="H1034" s="55" t="e">
        <f>+#REF!</f>
        <v>#REF!</v>
      </c>
      <c r="I1034" s="32" t="e">
        <f>+#REF!</f>
        <v>#REF!</v>
      </c>
      <c r="J1034" s="30" t="e">
        <f t="shared" ref="J1034:J1035" si="587">+SUM(C1034:G1034)-(H1034+I1034)</f>
        <v>#REF!</v>
      </c>
      <c r="K1034" s="144" t="e">
        <f>J1034=#REF!</f>
        <v>#REF!</v>
      </c>
      <c r="L1034" s="5"/>
      <c r="M1034" s="5"/>
      <c r="N1034" s="5"/>
      <c r="O1034" s="5"/>
    </row>
    <row r="1035" spans="1:15" x14ac:dyDescent="0.3">
      <c r="A1035" s="122" t="str">
        <f>+A1034</f>
        <v>SEPTEMBRE</v>
      </c>
      <c r="B1035" s="127" t="s">
        <v>31</v>
      </c>
      <c r="C1035" s="32" t="e">
        <f>#REF!</f>
        <v>#REF!</v>
      </c>
      <c r="D1035" s="31"/>
      <c r="E1035" s="32" t="e">
        <f>+#REF!</f>
        <v>#REF!</v>
      </c>
      <c r="F1035" s="32"/>
      <c r="G1035" s="32"/>
      <c r="H1035" s="55" t="e">
        <f>+#REF!</f>
        <v>#REF!</v>
      </c>
      <c r="I1035" s="32" t="e">
        <f>+#REF!</f>
        <v>#REF!</v>
      </c>
      <c r="J1035" s="101" t="e">
        <f t="shared" si="587"/>
        <v>#REF!</v>
      </c>
      <c r="K1035" s="144" t="e">
        <f>J1035=#REF!</f>
        <v>#REF!</v>
      </c>
      <c r="L1035" s="5"/>
      <c r="M1035" s="5"/>
      <c r="N1035" s="5"/>
      <c r="O1035" s="5"/>
    </row>
    <row r="1036" spans="1:15" x14ac:dyDescent="0.3">
      <c r="A1036" s="122" t="str">
        <f t="shared" ref="A1036:A1043" si="588">+A1035</f>
        <v>SEPTEMBRE</v>
      </c>
      <c r="B1036" s="128" t="s">
        <v>144</v>
      </c>
      <c r="C1036" s="32" t="e">
        <f>#REF!</f>
        <v>#REF!</v>
      </c>
      <c r="D1036" s="119"/>
      <c r="E1036" s="32" t="e">
        <f>#REF!</f>
        <v>#REF!</v>
      </c>
      <c r="F1036" s="51"/>
      <c r="G1036" s="51"/>
      <c r="H1036" s="55" t="e">
        <f>+#REF!</f>
        <v>#REF!</v>
      </c>
      <c r="I1036" s="32" t="e">
        <f>+#REF!</f>
        <v>#REF!</v>
      </c>
      <c r="J1036" s="124" t="e">
        <f>+SUM(C1036:G1036)-(H1036+I1036)</f>
        <v>#REF!</v>
      </c>
      <c r="K1036" s="144" t="e">
        <f>J1036=#REF!</f>
        <v>#REF!</v>
      </c>
      <c r="L1036" s="5"/>
      <c r="M1036" s="5"/>
      <c r="N1036" s="5"/>
      <c r="O1036" s="5"/>
    </row>
    <row r="1037" spans="1:15" x14ac:dyDescent="0.3">
      <c r="A1037" s="122" t="str">
        <f t="shared" si="588"/>
        <v>SEPTEMBRE</v>
      </c>
      <c r="B1037" s="129" t="s">
        <v>84</v>
      </c>
      <c r="C1037" s="120" t="e">
        <f>#REF!</f>
        <v>#REF!</v>
      </c>
      <c r="D1037" s="123"/>
      <c r="E1037" s="120" t="e">
        <f>+#REF!</f>
        <v>#REF!</v>
      </c>
      <c r="F1037" s="137"/>
      <c r="G1037" s="137"/>
      <c r="H1037" s="155" t="e">
        <f>+#REF!</f>
        <v>#REF!</v>
      </c>
      <c r="I1037" s="120" t="e">
        <f>+#REF!</f>
        <v>#REF!</v>
      </c>
      <c r="J1037" s="121" t="e">
        <f>+SUM(C1037:G1037)-(H1037+I1037)</f>
        <v>#REF!</v>
      </c>
      <c r="K1037" s="144" t="e">
        <f>J1037=#REF!</f>
        <v>#REF!</v>
      </c>
      <c r="L1037" s="5"/>
      <c r="M1037" s="5"/>
      <c r="N1037" s="5"/>
      <c r="O1037" s="5"/>
    </row>
    <row r="1038" spans="1:15" x14ac:dyDescent="0.3">
      <c r="A1038" s="122" t="str">
        <f t="shared" si="588"/>
        <v>SEPTEMBRE</v>
      </c>
      <c r="B1038" s="129" t="s">
        <v>83</v>
      </c>
      <c r="C1038" s="120" t="e">
        <f>#REF!</f>
        <v>#REF!</v>
      </c>
      <c r="D1038" s="123"/>
      <c r="E1038" s="120" t="e">
        <f>+#REF!</f>
        <v>#REF!</v>
      </c>
      <c r="F1038" s="137"/>
      <c r="G1038" s="137"/>
      <c r="H1038" s="155" t="e">
        <f>+#REF!</f>
        <v>#REF!</v>
      </c>
      <c r="I1038" s="120" t="e">
        <f>+#REF!</f>
        <v>#REF!</v>
      </c>
      <c r="J1038" s="121" t="e">
        <f t="shared" ref="J1038:J1043" si="589">+SUM(C1038:G1038)-(H1038+I1038)</f>
        <v>#REF!</v>
      </c>
      <c r="K1038" s="144" t="e">
        <f>J1038=#REF!</f>
        <v>#REF!</v>
      </c>
      <c r="L1038" s="5"/>
      <c r="M1038" s="5"/>
      <c r="N1038" s="5"/>
      <c r="O1038" s="5"/>
    </row>
    <row r="1039" spans="1:15" x14ac:dyDescent="0.3">
      <c r="A1039" s="122" t="str">
        <f t="shared" si="588"/>
        <v>SEPTEMBRE</v>
      </c>
      <c r="B1039" s="127" t="s">
        <v>143</v>
      </c>
      <c r="C1039" s="32" t="e">
        <f>#REF!</f>
        <v>#REF!</v>
      </c>
      <c r="D1039" s="31"/>
      <c r="E1039" s="32" t="e">
        <f>+#REF!</f>
        <v>#REF!</v>
      </c>
      <c r="F1039" s="32"/>
      <c r="G1039" s="104"/>
      <c r="H1039" s="55" t="e">
        <f>+#REF!</f>
        <v>#REF!</v>
      </c>
      <c r="I1039" s="32" t="e">
        <f>+#REF!</f>
        <v>#REF!</v>
      </c>
      <c r="J1039" s="30" t="e">
        <f t="shared" si="589"/>
        <v>#REF!</v>
      </c>
      <c r="K1039" s="144" t="e">
        <f>J1039=#REF!</f>
        <v>#REF!</v>
      </c>
      <c r="L1039" s="5"/>
      <c r="M1039" s="5"/>
      <c r="N1039" s="5"/>
      <c r="O1039" s="5"/>
    </row>
    <row r="1040" spans="1:15" x14ac:dyDescent="0.3">
      <c r="A1040" s="122" t="str">
        <f t="shared" si="588"/>
        <v>SEPTEMBRE</v>
      </c>
      <c r="B1040" s="127" t="s">
        <v>30</v>
      </c>
      <c r="C1040" s="32" t="e">
        <f>#REF!</f>
        <v>#REF!</v>
      </c>
      <c r="D1040" s="31"/>
      <c r="E1040" s="32" t="e">
        <f>+#REF!</f>
        <v>#REF!</v>
      </c>
      <c r="F1040" s="32"/>
      <c r="G1040" s="104"/>
      <c r="H1040" s="55" t="e">
        <f>+#REF!</f>
        <v>#REF!</v>
      </c>
      <c r="I1040" s="32" t="e">
        <f>+#REF!</f>
        <v>#REF!</v>
      </c>
      <c r="J1040" s="30" t="e">
        <f t="shared" si="589"/>
        <v>#REF!</v>
      </c>
      <c r="K1040" s="144" t="e">
        <f>J1040=#REF!</f>
        <v>#REF!</v>
      </c>
      <c r="L1040" s="5"/>
      <c r="M1040" s="5"/>
      <c r="N1040" s="5"/>
      <c r="O1040" s="5"/>
    </row>
    <row r="1041" spans="1:15" x14ac:dyDescent="0.3">
      <c r="A1041" s="122" t="str">
        <f t="shared" si="588"/>
        <v>SEPTEMBRE</v>
      </c>
      <c r="B1041" s="127" t="s">
        <v>93</v>
      </c>
      <c r="C1041" s="32" t="e">
        <f>#REF!</f>
        <v>#REF!</v>
      </c>
      <c r="D1041" s="31"/>
      <c r="E1041" s="32" t="e">
        <f>+#REF!</f>
        <v>#REF!</v>
      </c>
      <c r="F1041" s="32"/>
      <c r="G1041" s="104"/>
      <c r="H1041" s="55" t="e">
        <f>+#REF!</f>
        <v>#REF!</v>
      </c>
      <c r="I1041" s="32" t="e">
        <f>+#REF!</f>
        <v>#REF!</v>
      </c>
      <c r="J1041" s="30" t="e">
        <f t="shared" si="589"/>
        <v>#REF!</v>
      </c>
      <c r="K1041" s="144" t="e">
        <f>J1041=#REF!</f>
        <v>#REF!</v>
      </c>
      <c r="L1041" s="5"/>
      <c r="M1041" s="5"/>
      <c r="N1041" s="5"/>
      <c r="O1041" s="5"/>
    </row>
    <row r="1042" spans="1:15" x14ac:dyDescent="0.3">
      <c r="A1042" s="122" t="str">
        <f t="shared" si="588"/>
        <v>SEPTEMBRE</v>
      </c>
      <c r="B1042" s="127" t="s">
        <v>147</v>
      </c>
      <c r="C1042" s="32" t="e">
        <f>#REF!</f>
        <v>#REF!</v>
      </c>
      <c r="D1042" s="31"/>
      <c r="E1042" s="32" t="e">
        <f>+#REF!</f>
        <v>#REF!</v>
      </c>
      <c r="F1042" s="32"/>
      <c r="G1042" s="104"/>
      <c r="H1042" s="55" t="e">
        <f>+#REF!</f>
        <v>#REF!</v>
      </c>
      <c r="I1042" s="32" t="e">
        <f>+#REF!</f>
        <v>#REF!</v>
      </c>
      <c r="J1042" s="30" t="e">
        <f t="shared" si="589"/>
        <v>#REF!</v>
      </c>
      <c r="K1042" s="144" t="e">
        <f>J1042=#REF!</f>
        <v>#REF!</v>
      </c>
      <c r="L1042" s="5"/>
      <c r="M1042" s="5"/>
      <c r="N1042" s="5"/>
      <c r="O1042" s="5"/>
    </row>
    <row r="1043" spans="1:15" x14ac:dyDescent="0.3">
      <c r="A1043" s="122" t="str">
        <f t="shared" si="588"/>
        <v>SEPTEMBRE</v>
      </c>
      <c r="B1043" s="128" t="s">
        <v>113</v>
      </c>
      <c r="C1043" s="32" t="e">
        <f>#REF!</f>
        <v>#REF!</v>
      </c>
      <c r="D1043" s="119"/>
      <c r="E1043" s="32" t="e">
        <f>+#REF!</f>
        <v>#REF!</v>
      </c>
      <c r="F1043" s="51"/>
      <c r="G1043" s="138"/>
      <c r="H1043" s="55" t="e">
        <f>+#REF!</f>
        <v>#REF!</v>
      </c>
      <c r="I1043" s="32" t="e">
        <f>+#REF!</f>
        <v>#REF!</v>
      </c>
      <c r="J1043" s="30" t="e">
        <f t="shared" si="589"/>
        <v>#REF!</v>
      </c>
      <c r="K1043" s="144" t="e">
        <f>J1043=#REF!</f>
        <v>#REF!</v>
      </c>
      <c r="L1043" s="5"/>
      <c r="M1043" s="5"/>
      <c r="N1043" s="5"/>
      <c r="O1043" s="5"/>
    </row>
    <row r="1044" spans="1:15" x14ac:dyDescent="0.3">
      <c r="A1044" s="34" t="s">
        <v>60</v>
      </c>
      <c r="B1044" s="35"/>
      <c r="C1044" s="35"/>
      <c r="D1044" s="35"/>
      <c r="E1044" s="35"/>
      <c r="F1044" s="35"/>
      <c r="G1044" s="35"/>
      <c r="H1044" s="35"/>
      <c r="I1044" s="35"/>
      <c r="J1044" s="36"/>
      <c r="K1044" s="143"/>
      <c r="L1044" s="5"/>
      <c r="M1044" s="5"/>
      <c r="N1044" s="5"/>
      <c r="O1044" s="5"/>
    </row>
    <row r="1045" spans="1:15" x14ac:dyDescent="0.3">
      <c r="A1045" s="122" t="str">
        <f>+A1043</f>
        <v>SEPTEMBRE</v>
      </c>
      <c r="B1045" s="37" t="s">
        <v>61</v>
      </c>
      <c r="C1045" s="38" t="e">
        <f>#REF!</f>
        <v>#REF!</v>
      </c>
      <c r="D1045" s="49"/>
      <c r="E1045" s="49" t="e">
        <f>#REF!</f>
        <v>#REF!</v>
      </c>
      <c r="F1045" s="49"/>
      <c r="G1045" s="125"/>
      <c r="H1045" s="51" t="e">
        <f>+#REF!</f>
        <v>#REF!</v>
      </c>
      <c r="I1045" s="126" t="e">
        <f>+#REF!</f>
        <v>#REF!</v>
      </c>
      <c r="J1045" s="30" t="e">
        <f>+SUM(C1045:G1045)-(H1045+I1045)</f>
        <v>#REF!</v>
      </c>
      <c r="K1045" s="144" t="e">
        <f>J1045=#REF!</f>
        <v>#REF!</v>
      </c>
      <c r="L1045" s="5"/>
      <c r="M1045" s="5"/>
      <c r="N1045" s="5"/>
      <c r="O1045" s="5"/>
    </row>
    <row r="1046" spans="1:15" x14ac:dyDescent="0.3">
      <c r="A1046" s="43" t="s">
        <v>62</v>
      </c>
      <c r="B1046" s="24"/>
      <c r="C1046" s="35"/>
      <c r="D1046" s="24"/>
      <c r="E1046" s="24"/>
      <c r="F1046" s="24"/>
      <c r="G1046" s="24"/>
      <c r="H1046" s="24"/>
      <c r="I1046" s="24"/>
      <c r="J1046" s="36"/>
      <c r="K1046" s="143"/>
      <c r="L1046" s="5"/>
      <c r="M1046" s="5"/>
      <c r="N1046" s="5"/>
      <c r="O1046" s="5"/>
    </row>
    <row r="1047" spans="1:15" x14ac:dyDescent="0.3">
      <c r="A1047" s="122" t="str">
        <f>+A1045</f>
        <v>SEPTEMBRE</v>
      </c>
      <c r="B1047" s="37" t="s">
        <v>63</v>
      </c>
      <c r="C1047" s="125" t="e">
        <f>#REF!</f>
        <v>#REF!</v>
      </c>
      <c r="D1047" s="132"/>
      <c r="E1047" s="49"/>
      <c r="F1047" s="49"/>
      <c r="G1047" s="49"/>
      <c r="H1047" s="51" t="e">
        <f>+#REF!</f>
        <v>#REF!</v>
      </c>
      <c r="I1047" s="53" t="e">
        <f>+#REF!</f>
        <v>#REF!</v>
      </c>
      <c r="J1047" s="30" t="e">
        <f>+SUM(C1047:G1047)-(H1047+I1047)</f>
        <v>#REF!</v>
      </c>
      <c r="K1047" s="144" t="e">
        <f>+J1047=#REF!</f>
        <v>#REF!</v>
      </c>
      <c r="L1047" s="5"/>
      <c r="M1047" s="5"/>
      <c r="N1047" s="5"/>
      <c r="O1047" s="5"/>
    </row>
    <row r="1048" spans="1:15" x14ac:dyDescent="0.3">
      <c r="A1048" s="122" t="str">
        <f t="shared" ref="A1048" si="590">+A1047</f>
        <v>SEPTEMBRE</v>
      </c>
      <c r="B1048" s="37" t="s">
        <v>64</v>
      </c>
      <c r="C1048" s="125" t="e">
        <f>#REF!</f>
        <v>#REF!</v>
      </c>
      <c r="D1048" s="49"/>
      <c r="E1048" s="48"/>
      <c r="F1048" s="48"/>
      <c r="G1048" s="48"/>
      <c r="H1048" s="32" t="e">
        <f>+#REF!</f>
        <v>#REF!</v>
      </c>
      <c r="I1048" s="50" t="e">
        <f>+#REF!</f>
        <v>#REF!</v>
      </c>
      <c r="J1048" s="30" t="e">
        <f>SUM(C1048:G1048)-(H1048+I1048)</f>
        <v>#REF!</v>
      </c>
      <c r="K1048" s="144" t="e">
        <f>+J1048=#REF!</f>
        <v>#REF!</v>
      </c>
      <c r="L1048" s="5"/>
      <c r="M1048" s="5"/>
      <c r="N1048" s="5"/>
      <c r="O1048" s="5"/>
    </row>
    <row r="1049" spans="1:15" ht="15.6" x14ac:dyDescent="0.3">
      <c r="C1049" s="141" t="e">
        <f>SUM(C1034:C1048)</f>
        <v>#REF!</v>
      </c>
      <c r="I1049" s="140" t="e">
        <f>SUM(I1034:I1048)</f>
        <v>#REF!</v>
      </c>
      <c r="J1049" s="105" t="e">
        <f>+SUM(J1034:J1048)</f>
        <v>#REF!</v>
      </c>
      <c r="K1049" s="5" t="e">
        <f>J1049=#REF!</f>
        <v>#REF!</v>
      </c>
      <c r="L1049" s="5"/>
      <c r="M1049" s="5"/>
      <c r="N1049" s="5"/>
      <c r="O1049" s="5"/>
    </row>
    <row r="1050" spans="1:15" x14ac:dyDescent="0.3">
      <c r="G1050" s="9"/>
      <c r="L1050" s="5"/>
      <c r="M1050" s="5"/>
      <c r="N1050" s="5"/>
      <c r="O1050" s="5"/>
    </row>
    <row r="1051" spans="1:15" x14ac:dyDescent="0.3">
      <c r="A1051" s="16" t="s">
        <v>52</v>
      </c>
      <c r="B1051" s="16"/>
      <c r="C1051" s="16"/>
      <c r="D1051" s="17"/>
      <c r="E1051" s="17"/>
      <c r="F1051" s="17"/>
      <c r="G1051" s="17"/>
      <c r="H1051" s="17"/>
      <c r="I1051" s="17"/>
      <c r="L1051" s="5"/>
      <c r="M1051" s="5"/>
      <c r="N1051" s="5"/>
      <c r="O1051" s="5"/>
    </row>
    <row r="1052" spans="1:15" x14ac:dyDescent="0.3">
      <c r="A1052" s="18" t="s">
        <v>141</v>
      </c>
      <c r="B1052" s="18"/>
      <c r="C1052" s="18"/>
      <c r="D1052" s="18"/>
      <c r="E1052" s="18"/>
      <c r="F1052" s="18"/>
      <c r="G1052" s="18"/>
      <c r="H1052" s="18"/>
      <c r="I1052" s="18"/>
      <c r="J1052" s="17"/>
      <c r="L1052" s="5"/>
      <c r="M1052" s="5"/>
      <c r="N1052" s="5"/>
      <c r="O1052" s="5"/>
    </row>
    <row r="1053" spans="1:15" x14ac:dyDescent="0.3">
      <c r="A1053" s="19"/>
      <c r="B1053" s="17"/>
      <c r="C1053" s="20"/>
      <c r="D1053" s="20"/>
      <c r="E1053" s="20"/>
      <c r="F1053" s="20"/>
      <c r="G1053" s="20"/>
      <c r="H1053" s="17"/>
      <c r="I1053" s="17"/>
      <c r="J1053" s="18"/>
      <c r="L1053" s="5"/>
      <c r="M1053" s="5"/>
      <c r="N1053" s="5"/>
      <c r="O1053" s="5"/>
    </row>
    <row r="1054" spans="1:15" x14ac:dyDescent="0.3">
      <c r="A1054" s="449" t="s">
        <v>53</v>
      </c>
      <c r="B1054" s="451" t="s">
        <v>54</v>
      </c>
      <c r="C1054" s="453" t="s">
        <v>140</v>
      </c>
      <c r="D1054" s="455" t="s">
        <v>55</v>
      </c>
      <c r="E1054" s="456"/>
      <c r="F1054" s="456"/>
      <c r="G1054" s="457"/>
      <c r="H1054" s="458" t="s">
        <v>56</v>
      </c>
      <c r="I1054" s="460" t="s">
        <v>57</v>
      </c>
      <c r="J1054" s="17"/>
      <c r="L1054" s="5"/>
      <c r="M1054" s="5"/>
      <c r="N1054" s="5"/>
      <c r="O1054" s="5"/>
    </row>
    <row r="1055" spans="1:15" x14ac:dyDescent="0.3">
      <c r="A1055" s="450"/>
      <c r="B1055" s="452"/>
      <c r="C1055" s="454"/>
      <c r="D1055" s="21" t="s">
        <v>24</v>
      </c>
      <c r="E1055" s="21" t="s">
        <v>25</v>
      </c>
      <c r="F1055" s="22" t="s">
        <v>123</v>
      </c>
      <c r="G1055" s="21" t="s">
        <v>58</v>
      </c>
      <c r="H1055" s="459"/>
      <c r="I1055" s="461"/>
      <c r="J1055" s="462" t="s">
        <v>142</v>
      </c>
      <c r="K1055" s="143"/>
      <c r="L1055" s="5"/>
      <c r="M1055" s="5"/>
      <c r="N1055" s="5"/>
      <c r="O1055" s="5"/>
    </row>
    <row r="1056" spans="1:15" x14ac:dyDescent="0.3">
      <c r="A1056" s="23"/>
      <c r="B1056" s="24" t="s">
        <v>59</v>
      </c>
      <c r="C1056" s="25"/>
      <c r="D1056" s="25"/>
      <c r="E1056" s="25"/>
      <c r="F1056" s="25"/>
      <c r="G1056" s="25"/>
      <c r="H1056" s="25"/>
      <c r="I1056" s="26"/>
      <c r="J1056" s="463"/>
      <c r="K1056" s="143"/>
      <c r="L1056" s="5"/>
      <c r="M1056" s="5"/>
      <c r="N1056" s="5"/>
      <c r="O1056" s="5"/>
    </row>
    <row r="1057" spans="1:15" x14ac:dyDescent="0.3">
      <c r="A1057" s="122" t="s">
        <v>139</v>
      </c>
      <c r="B1057" s="127" t="s">
        <v>47</v>
      </c>
      <c r="C1057" s="32" t="e">
        <f>#REF!</f>
        <v>#REF!</v>
      </c>
      <c r="D1057" s="31"/>
      <c r="E1057" s="32" t="e">
        <f>+#REF!</f>
        <v>#REF!</v>
      </c>
      <c r="F1057" s="32"/>
      <c r="G1057" s="32"/>
      <c r="H1057" s="55" t="e">
        <f>+#REF!</f>
        <v>#REF!</v>
      </c>
      <c r="I1057" s="32" t="e">
        <f>+#REF!</f>
        <v>#REF!</v>
      </c>
      <c r="J1057" s="30" t="e">
        <f t="shared" ref="J1057:J1058" si="591">+SUM(C1057:G1057)-(H1057+I1057)</f>
        <v>#REF!</v>
      </c>
      <c r="K1057" s="144" t="e">
        <f>J1057=#REF!</f>
        <v>#REF!</v>
      </c>
      <c r="L1057" s="5"/>
      <c r="M1057" s="5"/>
      <c r="N1057" s="5"/>
      <c r="O1057" s="5"/>
    </row>
    <row r="1058" spans="1:15" x14ac:dyDescent="0.3">
      <c r="A1058" s="122" t="s">
        <v>139</v>
      </c>
      <c r="B1058" s="127" t="s">
        <v>31</v>
      </c>
      <c r="C1058" s="32" t="e">
        <f>#REF!</f>
        <v>#REF!</v>
      </c>
      <c r="D1058" s="31"/>
      <c r="E1058" s="32" t="e">
        <f>+#REF!</f>
        <v>#REF!</v>
      </c>
      <c r="F1058" s="32"/>
      <c r="G1058" s="32"/>
      <c r="H1058" s="55" t="e">
        <f>+#REF!</f>
        <v>#REF!</v>
      </c>
      <c r="I1058" s="32" t="e">
        <f>+#REF!</f>
        <v>#REF!</v>
      </c>
      <c r="J1058" s="101" t="e">
        <f t="shared" si="591"/>
        <v>#REF!</v>
      </c>
      <c r="K1058" s="144" t="e">
        <f>J1058=#REF!</f>
        <v>#REF!</v>
      </c>
      <c r="L1058" s="5"/>
      <c r="M1058" s="5"/>
      <c r="N1058" s="5"/>
      <c r="O1058" s="5"/>
    </row>
    <row r="1059" spans="1:15" x14ac:dyDescent="0.3">
      <c r="A1059" s="122" t="s">
        <v>139</v>
      </c>
      <c r="B1059" s="128" t="s">
        <v>144</v>
      </c>
      <c r="C1059" s="32" t="e">
        <f>#REF!</f>
        <v>#REF!</v>
      </c>
      <c r="D1059" s="119"/>
      <c r="E1059" s="32">
        <v>30000</v>
      </c>
      <c r="F1059" s="51">
        <v>240000</v>
      </c>
      <c r="G1059" s="51"/>
      <c r="H1059" s="55" t="e">
        <f>+#REF!</f>
        <v>#REF!</v>
      </c>
      <c r="I1059" s="32" t="e">
        <f>+#REF!</f>
        <v>#REF!</v>
      </c>
      <c r="J1059" s="124" t="e">
        <f>+SUM(C1059:G1059)-(H1059+I1059)</f>
        <v>#REF!</v>
      </c>
      <c r="K1059" s="144" t="e">
        <f>J1059=#REF!</f>
        <v>#REF!</v>
      </c>
      <c r="L1059" s="5"/>
      <c r="M1059" s="5"/>
      <c r="N1059" s="5"/>
      <c r="O1059" s="5"/>
    </row>
    <row r="1060" spans="1:15" x14ac:dyDescent="0.3">
      <c r="A1060" s="122" t="s">
        <v>139</v>
      </c>
      <c r="B1060" s="129" t="s">
        <v>84</v>
      </c>
      <c r="C1060" s="120" t="e">
        <f>#REF!</f>
        <v>#REF!</v>
      </c>
      <c r="D1060" s="123"/>
      <c r="E1060" s="120" t="e">
        <f>+#REF!</f>
        <v>#REF!</v>
      </c>
      <c r="F1060" s="137"/>
      <c r="G1060" s="137"/>
      <c r="H1060" s="155" t="e">
        <f>+#REF!</f>
        <v>#REF!</v>
      </c>
      <c r="I1060" s="120" t="e">
        <f>+#REF!</f>
        <v>#REF!</v>
      </c>
      <c r="J1060" s="121" t="e">
        <f>+SUM(C1060:G1060)-(H1060+I1060)</f>
        <v>#REF!</v>
      </c>
      <c r="K1060" s="144" t="e">
        <f>J1060=#REF!</f>
        <v>#REF!</v>
      </c>
      <c r="L1060" s="5"/>
      <c r="M1060" s="5"/>
      <c r="N1060" s="5"/>
      <c r="O1060" s="5"/>
    </row>
    <row r="1061" spans="1:15" x14ac:dyDescent="0.3">
      <c r="A1061" s="122" t="s">
        <v>139</v>
      </c>
      <c r="B1061" s="129" t="s">
        <v>83</v>
      </c>
      <c r="C1061" s="120" t="e">
        <f>#REF!</f>
        <v>#REF!</v>
      </c>
      <c r="D1061" s="123"/>
      <c r="E1061" s="120" t="e">
        <f>+#REF!</f>
        <v>#REF!</v>
      </c>
      <c r="F1061" s="137"/>
      <c r="G1061" s="137"/>
      <c r="H1061" s="155" t="e">
        <f>+#REF!</f>
        <v>#REF!</v>
      </c>
      <c r="I1061" s="120" t="e">
        <f>+#REF!</f>
        <v>#REF!</v>
      </c>
      <c r="J1061" s="121" t="e">
        <f t="shared" ref="J1061:J1067" si="592">+SUM(C1061:G1061)-(H1061+I1061)</f>
        <v>#REF!</v>
      </c>
      <c r="K1061" s="144" t="e">
        <f>J1061=#REF!</f>
        <v>#REF!</v>
      </c>
      <c r="L1061" s="5"/>
      <c r="M1061" s="5"/>
      <c r="N1061" s="5"/>
      <c r="O1061" s="5"/>
    </row>
    <row r="1062" spans="1:15" x14ac:dyDescent="0.3">
      <c r="A1062" s="122" t="s">
        <v>139</v>
      </c>
      <c r="B1062" s="127" t="s">
        <v>143</v>
      </c>
      <c r="C1062" s="32" t="e">
        <f>#REF!</f>
        <v>#REF!</v>
      </c>
      <c r="D1062" s="31"/>
      <c r="E1062" s="32" t="e">
        <f>+#REF!</f>
        <v>#REF!</v>
      </c>
      <c r="F1062" s="32"/>
      <c r="G1062" s="104"/>
      <c r="H1062" s="55" t="e">
        <f>+#REF!</f>
        <v>#REF!</v>
      </c>
      <c r="I1062" s="32" t="e">
        <f>+#REF!</f>
        <v>#REF!</v>
      </c>
      <c r="J1062" s="30" t="e">
        <f t="shared" si="592"/>
        <v>#REF!</v>
      </c>
      <c r="K1062" s="144" t="e">
        <f>J1062=#REF!</f>
        <v>#REF!</v>
      </c>
      <c r="L1062" s="5"/>
      <c r="M1062" s="5"/>
      <c r="N1062" s="5"/>
      <c r="O1062" s="5"/>
    </row>
    <row r="1063" spans="1:15" x14ac:dyDescent="0.3">
      <c r="A1063" s="122" t="s">
        <v>139</v>
      </c>
      <c r="B1063" s="127" t="s">
        <v>30</v>
      </c>
      <c r="C1063" s="32" t="e">
        <f>#REF!</f>
        <v>#REF!</v>
      </c>
      <c r="D1063" s="31"/>
      <c r="E1063" s="32" t="e">
        <f>+#REF!</f>
        <v>#REF!</v>
      </c>
      <c r="F1063" s="32"/>
      <c r="G1063" s="104"/>
      <c r="H1063" s="55" t="e">
        <f>+#REF!</f>
        <v>#REF!</v>
      </c>
      <c r="I1063" s="32" t="e">
        <f>+#REF!</f>
        <v>#REF!</v>
      </c>
      <c r="J1063" s="30" t="e">
        <f t="shared" si="592"/>
        <v>#REF!</v>
      </c>
      <c r="K1063" s="144" t="e">
        <f>J1063=#REF!</f>
        <v>#REF!</v>
      </c>
      <c r="L1063" s="5"/>
      <c r="M1063" s="5"/>
      <c r="N1063" s="5"/>
      <c r="O1063" s="5"/>
    </row>
    <row r="1064" spans="1:15" x14ac:dyDescent="0.3">
      <c r="A1064" s="122" t="s">
        <v>139</v>
      </c>
      <c r="B1064" s="127" t="s">
        <v>35</v>
      </c>
      <c r="C1064" s="32" t="e">
        <f>#REF!</f>
        <v>#REF!</v>
      </c>
      <c r="D1064" s="31"/>
      <c r="E1064" s="32">
        <v>15000</v>
      </c>
      <c r="F1064" s="32">
        <v>496625</v>
      </c>
      <c r="G1064" s="104"/>
      <c r="H1064" s="55" t="e">
        <f>+#REF!</f>
        <v>#REF!</v>
      </c>
      <c r="I1064" s="32" t="e">
        <f>+#REF!</f>
        <v>#REF!</v>
      </c>
      <c r="J1064" s="30" t="e">
        <f t="shared" si="592"/>
        <v>#REF!</v>
      </c>
      <c r="K1064" s="144" t="e">
        <f>J1064=#REF!</f>
        <v>#REF!</v>
      </c>
      <c r="L1064" s="5"/>
      <c r="M1064" s="5"/>
      <c r="N1064" s="5"/>
      <c r="O1064" s="5"/>
    </row>
    <row r="1065" spans="1:15" x14ac:dyDescent="0.3">
      <c r="A1065" s="122" t="s">
        <v>139</v>
      </c>
      <c r="B1065" s="127" t="s">
        <v>93</v>
      </c>
      <c r="C1065" s="32" t="e">
        <f>#REF!</f>
        <v>#REF!</v>
      </c>
      <c r="D1065" s="31"/>
      <c r="E1065" s="32" t="e">
        <f>+#REF!</f>
        <v>#REF!</v>
      </c>
      <c r="F1065" s="32"/>
      <c r="G1065" s="104"/>
      <c r="H1065" s="55" t="e">
        <f>+#REF!</f>
        <v>#REF!</v>
      </c>
      <c r="I1065" s="32" t="e">
        <f>+#REF!</f>
        <v>#REF!</v>
      </c>
      <c r="J1065" s="30" t="e">
        <f t="shared" si="592"/>
        <v>#REF!</v>
      </c>
      <c r="K1065" s="144" t="e">
        <f>J1065=#REF!</f>
        <v>#REF!</v>
      </c>
      <c r="L1065" s="5"/>
      <c r="M1065" s="5"/>
      <c r="N1065" s="5"/>
      <c r="O1065" s="5"/>
    </row>
    <row r="1066" spans="1:15" x14ac:dyDescent="0.3">
      <c r="A1066" s="122" t="s">
        <v>139</v>
      </c>
      <c r="B1066" s="127" t="s">
        <v>29</v>
      </c>
      <c r="C1066" s="32" t="e">
        <f>#REF!</f>
        <v>#REF!</v>
      </c>
      <c r="D1066" s="31"/>
      <c r="E1066" s="32" t="e">
        <f>+#REF!</f>
        <v>#REF!</v>
      </c>
      <c r="F1066" s="32"/>
      <c r="G1066" s="104"/>
      <c r="H1066" s="55" t="e">
        <f>+#REF!</f>
        <v>#REF!</v>
      </c>
      <c r="I1066" s="32" t="e">
        <f>+#REF!</f>
        <v>#REF!</v>
      </c>
      <c r="J1066" s="30" t="e">
        <f t="shared" ref="J1066" si="593">+SUM(C1066:G1066)-(H1066+I1066)</f>
        <v>#REF!</v>
      </c>
      <c r="K1066" s="144" t="e">
        <f>J1066=#REF!</f>
        <v>#REF!</v>
      </c>
      <c r="L1066" s="5"/>
      <c r="M1066" s="5"/>
      <c r="N1066" s="5"/>
      <c r="O1066" s="5"/>
    </row>
    <row r="1067" spans="1:15" x14ac:dyDescent="0.3">
      <c r="A1067" s="122" t="s">
        <v>139</v>
      </c>
      <c r="B1067" s="128" t="s">
        <v>113</v>
      </c>
      <c r="C1067" s="32" t="e">
        <f>#REF!</f>
        <v>#REF!</v>
      </c>
      <c r="D1067" s="119"/>
      <c r="E1067" s="32" t="e">
        <f>+#REF!</f>
        <v>#REF!</v>
      </c>
      <c r="F1067" s="51"/>
      <c r="G1067" s="138"/>
      <c r="H1067" s="55" t="e">
        <f>+#REF!</f>
        <v>#REF!</v>
      </c>
      <c r="I1067" s="32" t="e">
        <f>+#REF!</f>
        <v>#REF!</v>
      </c>
      <c r="J1067" s="30" t="e">
        <f t="shared" si="592"/>
        <v>#REF!</v>
      </c>
      <c r="K1067" s="144" t="e">
        <f>J1067=#REF!</f>
        <v>#REF!</v>
      </c>
      <c r="L1067" s="5"/>
      <c r="M1067" s="5"/>
      <c r="N1067" s="5"/>
      <c r="O1067" s="5"/>
    </row>
    <row r="1068" spans="1:15" x14ac:dyDescent="0.3">
      <c r="A1068" s="34" t="s">
        <v>60</v>
      </c>
      <c r="B1068" s="35"/>
      <c r="C1068" s="35"/>
      <c r="D1068" s="35"/>
      <c r="E1068" s="35"/>
      <c r="F1068" s="35"/>
      <c r="G1068" s="35"/>
      <c r="H1068" s="35"/>
      <c r="I1068" s="35"/>
      <c r="J1068" s="36"/>
      <c r="K1068" s="143"/>
      <c r="L1068" s="5"/>
      <c r="M1068" s="5"/>
      <c r="N1068" s="5"/>
      <c r="O1068" s="5"/>
    </row>
    <row r="1069" spans="1:15" x14ac:dyDescent="0.3">
      <c r="A1069" s="122" t="s">
        <v>139</v>
      </c>
      <c r="B1069" s="37" t="s">
        <v>61</v>
      </c>
      <c r="C1069" s="38" t="e">
        <f>#REF!</f>
        <v>#REF!</v>
      </c>
      <c r="D1069" s="49">
        <v>4000000</v>
      </c>
      <c r="E1069" s="103"/>
      <c r="F1069" s="49"/>
      <c r="G1069" s="125">
        <v>15000</v>
      </c>
      <c r="H1069" s="51" t="e">
        <f>+#REF!</f>
        <v>#REF!</v>
      </c>
      <c r="I1069" s="126" t="e">
        <f>+#REF!</f>
        <v>#REF!</v>
      </c>
      <c r="J1069" s="30" t="e">
        <f>+SUM(C1069:G1069)-(H1069+I1069)</f>
        <v>#REF!</v>
      </c>
      <c r="K1069" s="144" t="e">
        <f>J1069=#REF!</f>
        <v>#REF!</v>
      </c>
      <c r="L1069" s="5"/>
      <c r="M1069" s="5"/>
      <c r="N1069" s="5"/>
      <c r="O1069" s="5"/>
    </row>
    <row r="1070" spans="1:15" x14ac:dyDescent="0.3">
      <c r="A1070" s="43" t="s">
        <v>62</v>
      </c>
      <c r="B1070" s="24"/>
      <c r="C1070" s="35"/>
      <c r="D1070" s="24"/>
      <c r="E1070" s="24"/>
      <c r="F1070" s="24"/>
      <c r="G1070" s="24"/>
      <c r="H1070" s="24"/>
      <c r="I1070" s="24"/>
      <c r="J1070" s="36"/>
      <c r="K1070" s="143"/>
      <c r="L1070" s="5"/>
      <c r="M1070" s="5"/>
      <c r="N1070" s="5"/>
      <c r="O1070" s="5"/>
    </row>
    <row r="1071" spans="1:15" x14ac:dyDescent="0.3">
      <c r="A1071" s="122" t="s">
        <v>139</v>
      </c>
      <c r="B1071" s="37" t="s">
        <v>63</v>
      </c>
      <c r="C1071" s="125" t="e">
        <f>#REF!</f>
        <v>#REF!</v>
      </c>
      <c r="D1071" s="132"/>
      <c r="E1071" s="49"/>
      <c r="F1071" s="49"/>
      <c r="G1071" s="49"/>
      <c r="H1071" s="51" t="e">
        <f>+#REF!</f>
        <v>#REF!</v>
      </c>
      <c r="I1071" s="53" t="e">
        <f>+#REF!</f>
        <v>#REF!</v>
      </c>
      <c r="J1071" s="30" t="e">
        <f>+SUM(C1071:G1071)-(H1071+I1071)</f>
        <v>#REF!</v>
      </c>
      <c r="K1071" s="144" t="e">
        <f>+J1071=#REF!</f>
        <v>#REF!</v>
      </c>
      <c r="L1071" s="5"/>
      <c r="M1071" s="5"/>
      <c r="N1071" s="5"/>
      <c r="O1071" s="5"/>
    </row>
    <row r="1072" spans="1:15" x14ac:dyDescent="0.3">
      <c r="A1072" s="122" t="s">
        <v>139</v>
      </c>
      <c r="B1072" s="37" t="s">
        <v>64</v>
      </c>
      <c r="C1072" s="125" t="e">
        <f>#REF!</f>
        <v>#REF!</v>
      </c>
      <c r="D1072" s="49"/>
      <c r="E1072" s="48"/>
      <c r="F1072" s="48"/>
      <c r="G1072" s="48"/>
      <c r="H1072" s="32" t="e">
        <f>+#REF!</f>
        <v>#REF!</v>
      </c>
      <c r="I1072" s="50" t="e">
        <f>+#REF!</f>
        <v>#REF!</v>
      </c>
      <c r="J1072" s="30" t="e">
        <f>SUM(C1072:G1072)-(H1072+I1072)</f>
        <v>#REF!</v>
      </c>
      <c r="K1072" s="144" t="e">
        <f>+J1072=#REF!</f>
        <v>#REF!</v>
      </c>
    </row>
    <row r="1073" spans="1:11" ht="15.6" x14ac:dyDescent="0.3">
      <c r="C1073" s="141" t="e">
        <f>SUM(C1057:C1072)</f>
        <v>#REF!</v>
      </c>
      <c r="I1073" s="140" t="e">
        <f>SUM(I1057:I1072)</f>
        <v>#REF!</v>
      </c>
      <c r="J1073" s="105" t="e">
        <f>+SUM(J1057:J1072)</f>
        <v>#REF!</v>
      </c>
      <c r="K1073" s="5" t="e">
        <f>J1073=#REF!</f>
        <v>#REF!</v>
      </c>
    </row>
    <row r="1074" spans="1:11" x14ac:dyDescent="0.3">
      <c r="A1074" s="14"/>
      <c r="B1074" s="15"/>
      <c r="C1074" s="153"/>
      <c r="D1074" s="153"/>
      <c r="E1074" s="152"/>
      <c r="F1074" s="153"/>
      <c r="G1074" s="153" t="e">
        <f>+#REF!-J1073</f>
        <v>#REF!</v>
      </c>
      <c r="H1074" s="153"/>
      <c r="I1074" s="153"/>
    </row>
    <row r="1075" spans="1:11" x14ac:dyDescent="0.3">
      <c r="A1075" s="16" t="s">
        <v>52</v>
      </c>
      <c r="B1075" s="16"/>
      <c r="C1075" s="16"/>
      <c r="D1075" s="17"/>
      <c r="E1075" s="17"/>
      <c r="F1075" s="17"/>
      <c r="G1075" s="17"/>
      <c r="H1075" s="17"/>
      <c r="I1075" s="17"/>
    </row>
    <row r="1076" spans="1:11" x14ac:dyDescent="0.3">
      <c r="A1076" s="18" t="s">
        <v>136</v>
      </c>
      <c r="B1076" s="18"/>
      <c r="C1076" s="18"/>
      <c r="D1076" s="18"/>
      <c r="E1076" s="18"/>
      <c r="F1076" s="18"/>
      <c r="G1076" s="18"/>
      <c r="H1076" s="18"/>
      <c r="I1076" s="18"/>
      <c r="J1076" s="17"/>
    </row>
    <row r="1077" spans="1:11" x14ac:dyDescent="0.3">
      <c r="A1077" s="19"/>
      <c r="B1077" s="17"/>
      <c r="C1077" s="20"/>
      <c r="D1077" s="20"/>
      <c r="E1077" s="20"/>
      <c r="F1077" s="20"/>
      <c r="G1077" s="20"/>
      <c r="H1077" s="17"/>
      <c r="I1077" s="17"/>
      <c r="J1077" s="18"/>
    </row>
    <row r="1078" spans="1:11" x14ac:dyDescent="0.3">
      <c r="A1078" s="449" t="s">
        <v>53</v>
      </c>
      <c r="B1078" s="451" t="s">
        <v>54</v>
      </c>
      <c r="C1078" s="453" t="s">
        <v>137</v>
      </c>
      <c r="D1078" s="455" t="s">
        <v>55</v>
      </c>
      <c r="E1078" s="456"/>
      <c r="F1078" s="456"/>
      <c r="G1078" s="457"/>
      <c r="H1078" s="458" t="s">
        <v>56</v>
      </c>
      <c r="I1078" s="460" t="s">
        <v>57</v>
      </c>
      <c r="J1078" s="17"/>
    </row>
    <row r="1079" spans="1:11" x14ac:dyDescent="0.3">
      <c r="A1079" s="450"/>
      <c r="B1079" s="452"/>
      <c r="C1079" s="454"/>
      <c r="D1079" s="21" t="s">
        <v>24</v>
      </c>
      <c r="E1079" s="21" t="s">
        <v>25</v>
      </c>
      <c r="F1079" s="22" t="s">
        <v>123</v>
      </c>
      <c r="G1079" s="21" t="s">
        <v>58</v>
      </c>
      <c r="H1079" s="459"/>
      <c r="I1079" s="461"/>
      <c r="J1079" s="462" t="s">
        <v>138</v>
      </c>
      <c r="K1079" s="143"/>
    </row>
    <row r="1080" spans="1:11" x14ac:dyDescent="0.3">
      <c r="A1080" s="23"/>
      <c r="B1080" s="24" t="s">
        <v>59</v>
      </c>
      <c r="C1080" s="25"/>
      <c r="D1080" s="25"/>
      <c r="E1080" s="25"/>
      <c r="F1080" s="25"/>
      <c r="G1080" s="25"/>
      <c r="H1080" s="25"/>
      <c r="I1080" s="26"/>
      <c r="J1080" s="463"/>
      <c r="K1080" s="143"/>
    </row>
    <row r="1081" spans="1:11" x14ac:dyDescent="0.3">
      <c r="A1081" s="122" t="s">
        <v>72</v>
      </c>
      <c r="B1081" s="127" t="s">
        <v>47</v>
      </c>
      <c r="C1081" s="32" t="e">
        <f>#REF!</f>
        <v>#REF!</v>
      </c>
      <c r="D1081" s="31"/>
      <c r="E1081" s="32">
        <v>970765</v>
      </c>
      <c r="F1081" s="32"/>
      <c r="G1081" s="32"/>
      <c r="H1081" s="55">
        <v>0</v>
      </c>
      <c r="I1081" s="32">
        <v>980165</v>
      </c>
      <c r="J1081" s="30" t="e">
        <f t="shared" ref="J1081:J1082" si="594">+SUM(C1081:G1081)-(H1081+I1081)</f>
        <v>#REF!</v>
      </c>
      <c r="K1081" s="144" t="e">
        <f>J1081=#REF!</f>
        <v>#REF!</v>
      </c>
    </row>
    <row r="1082" spans="1:11" x14ac:dyDescent="0.3">
      <c r="A1082" s="122" t="s">
        <v>72</v>
      </c>
      <c r="B1082" s="127" t="s">
        <v>31</v>
      </c>
      <c r="C1082" s="32" t="e">
        <f>#REF!</f>
        <v>#REF!</v>
      </c>
      <c r="D1082" s="31"/>
      <c r="E1082" s="32">
        <v>58000</v>
      </c>
      <c r="F1082" s="32"/>
      <c r="G1082" s="32"/>
      <c r="H1082" s="32">
        <v>0</v>
      </c>
      <c r="I1082" s="32">
        <v>59500</v>
      </c>
      <c r="J1082" s="101" t="e">
        <f t="shared" si="594"/>
        <v>#REF!</v>
      </c>
      <c r="K1082" s="144" t="e">
        <f>J1082=#REF!</f>
        <v>#REF!</v>
      </c>
    </row>
    <row r="1083" spans="1:11" x14ac:dyDescent="0.3">
      <c r="A1083" s="122" t="s">
        <v>72</v>
      </c>
      <c r="B1083" s="128" t="s">
        <v>30</v>
      </c>
      <c r="C1083" s="32" t="e">
        <f>#REF!</f>
        <v>#REF!</v>
      </c>
      <c r="D1083" s="119"/>
      <c r="E1083" s="51">
        <v>557150</v>
      </c>
      <c r="F1083" s="51"/>
      <c r="G1083" s="51"/>
      <c r="H1083" s="51">
        <v>0</v>
      </c>
      <c r="I1083" s="51">
        <v>556650</v>
      </c>
      <c r="J1083" s="124" t="e">
        <f>+SUM(C1083:G1083)-(H1083+I1083)</f>
        <v>#REF!</v>
      </c>
      <c r="K1083" s="144" t="e">
        <f>J1083=#REF!</f>
        <v>#REF!</v>
      </c>
    </row>
    <row r="1084" spans="1:11" x14ac:dyDescent="0.3">
      <c r="A1084" s="122" t="s">
        <v>72</v>
      </c>
      <c r="B1084" s="129" t="s">
        <v>84</v>
      </c>
      <c r="C1084" s="120" t="e">
        <f>#REF!</f>
        <v>#REF!</v>
      </c>
      <c r="D1084" s="123"/>
      <c r="E1084" s="137"/>
      <c r="F1084" s="137"/>
      <c r="G1084" s="137"/>
      <c r="H1084" s="137">
        <v>0</v>
      </c>
      <c r="I1084" s="137">
        <v>0</v>
      </c>
      <c r="J1084" s="121" t="e">
        <f>+SUM(C1084:G1084)-(H1084+I1084)</f>
        <v>#REF!</v>
      </c>
      <c r="K1084" s="144" t="e">
        <f>J1084=#REF!</f>
        <v>#REF!</v>
      </c>
    </row>
    <row r="1085" spans="1:11" x14ac:dyDescent="0.3">
      <c r="A1085" s="122" t="s">
        <v>72</v>
      </c>
      <c r="B1085" s="129" t="s">
        <v>83</v>
      </c>
      <c r="C1085" s="120" t="e">
        <f>#REF!</f>
        <v>#REF!</v>
      </c>
      <c r="D1085" s="123"/>
      <c r="E1085" s="137"/>
      <c r="F1085" s="137"/>
      <c r="G1085" s="137"/>
      <c r="H1085" s="137">
        <v>0</v>
      </c>
      <c r="I1085" s="137">
        <v>0</v>
      </c>
      <c r="J1085" s="121" t="e">
        <f t="shared" ref="J1085:J1090" si="595">+SUM(C1085:G1085)-(H1085+I1085)</f>
        <v>#REF!</v>
      </c>
      <c r="K1085" s="144" t="e">
        <f>J1085=#REF!</f>
        <v>#REF!</v>
      </c>
    </row>
    <row r="1086" spans="1:11" x14ac:dyDescent="0.3">
      <c r="A1086" s="122" t="s">
        <v>72</v>
      </c>
      <c r="B1086" s="127" t="s">
        <v>35</v>
      </c>
      <c r="C1086" s="32" t="e">
        <f>#REF!</f>
        <v>#REF!</v>
      </c>
      <c r="D1086" s="31"/>
      <c r="E1086" s="32">
        <v>941000</v>
      </c>
      <c r="F1086" s="32"/>
      <c r="G1086" s="104"/>
      <c r="H1086" s="104">
        <v>0</v>
      </c>
      <c r="I1086" s="32">
        <v>1084725</v>
      </c>
      <c r="J1086" s="30" t="e">
        <f t="shared" si="595"/>
        <v>#REF!</v>
      </c>
      <c r="K1086" s="144" t="e">
        <f>J1086=#REF!</f>
        <v>#REF!</v>
      </c>
    </row>
    <row r="1087" spans="1:11" x14ac:dyDescent="0.3">
      <c r="A1087" s="122" t="s">
        <v>72</v>
      </c>
      <c r="B1087" s="127" t="s">
        <v>93</v>
      </c>
      <c r="C1087" s="32" t="e">
        <f>#REF!</f>
        <v>#REF!</v>
      </c>
      <c r="D1087" s="31"/>
      <c r="E1087" s="32">
        <v>52000</v>
      </c>
      <c r="F1087" s="104"/>
      <c r="G1087" s="104"/>
      <c r="H1087" s="104">
        <v>0</v>
      </c>
      <c r="I1087" s="32">
        <v>67000</v>
      </c>
      <c r="J1087" s="30" t="e">
        <f t="shared" si="595"/>
        <v>#REF!</v>
      </c>
      <c r="K1087" s="144" t="e">
        <f>J1087=#REF!</f>
        <v>#REF!</v>
      </c>
    </row>
    <row r="1088" spans="1:11" x14ac:dyDescent="0.3">
      <c r="A1088" s="122" t="s">
        <v>72</v>
      </c>
      <c r="B1088" s="127" t="s">
        <v>29</v>
      </c>
      <c r="C1088" s="32" t="e">
        <f>#REF!</f>
        <v>#REF!</v>
      </c>
      <c r="D1088" s="31"/>
      <c r="E1088" s="32">
        <v>515000</v>
      </c>
      <c r="F1088" s="104"/>
      <c r="G1088" s="104"/>
      <c r="H1088" s="104">
        <v>0</v>
      </c>
      <c r="I1088" s="32">
        <v>655500</v>
      </c>
      <c r="J1088" s="30" t="e">
        <f t="shared" si="595"/>
        <v>#REF!</v>
      </c>
      <c r="K1088" s="144" t="e">
        <f>J1088=#REF!</f>
        <v>#REF!</v>
      </c>
    </row>
    <row r="1089" spans="1:15" x14ac:dyDescent="0.3">
      <c r="A1089" s="122" t="s">
        <v>72</v>
      </c>
      <c r="B1089" s="127" t="s">
        <v>32</v>
      </c>
      <c r="C1089" s="32" t="e">
        <f>#REF!</f>
        <v>#REF!</v>
      </c>
      <c r="D1089" s="31"/>
      <c r="E1089" s="32">
        <v>10000</v>
      </c>
      <c r="F1089" s="104"/>
      <c r="G1089" s="104"/>
      <c r="H1089" s="32">
        <v>500</v>
      </c>
      <c r="I1089" s="32">
        <v>15300</v>
      </c>
      <c r="J1089" s="30" t="e">
        <f t="shared" si="595"/>
        <v>#REF!</v>
      </c>
      <c r="K1089" s="144" t="e">
        <f>J1089=#REF!</f>
        <v>#REF!</v>
      </c>
    </row>
    <row r="1090" spans="1:15" x14ac:dyDescent="0.3">
      <c r="A1090" s="122" t="s">
        <v>72</v>
      </c>
      <c r="B1090" s="128" t="s">
        <v>113</v>
      </c>
      <c r="C1090" s="32" t="e">
        <f>#REF!</f>
        <v>#REF!</v>
      </c>
      <c r="D1090" s="119"/>
      <c r="E1090" s="51">
        <v>20000</v>
      </c>
      <c r="F1090" s="51"/>
      <c r="G1090" s="138"/>
      <c r="H1090" s="51">
        <v>0</v>
      </c>
      <c r="I1090" s="51">
        <v>28000</v>
      </c>
      <c r="J1090" s="30" t="e">
        <f t="shared" si="595"/>
        <v>#REF!</v>
      </c>
      <c r="K1090" s="144" t="e">
        <f>J1090=#REF!</f>
        <v>#REF!</v>
      </c>
    </row>
    <row r="1091" spans="1:15" x14ac:dyDescent="0.3">
      <c r="A1091" s="34" t="s">
        <v>60</v>
      </c>
      <c r="B1091" s="35"/>
      <c r="C1091" s="35"/>
      <c r="D1091" s="35"/>
      <c r="E1091" s="35"/>
      <c r="F1091" s="35"/>
      <c r="G1091" s="35"/>
      <c r="H1091" s="35"/>
      <c r="I1091" s="35"/>
      <c r="J1091" s="36"/>
      <c r="K1091" s="143"/>
    </row>
    <row r="1092" spans="1:15" x14ac:dyDescent="0.3">
      <c r="A1092" s="122" t="s">
        <v>72</v>
      </c>
      <c r="B1092" s="37" t="s">
        <v>61</v>
      </c>
      <c r="C1092" s="38" t="e">
        <f>#REF!</f>
        <v>#REF!</v>
      </c>
      <c r="D1092" s="49">
        <v>6000500</v>
      </c>
      <c r="E1092" s="103"/>
      <c r="F1092" s="49"/>
      <c r="G1092" s="139"/>
      <c r="H1092" s="51">
        <v>3123915</v>
      </c>
      <c r="I1092" s="126">
        <v>3367697</v>
      </c>
      <c r="J1092" s="30" t="e">
        <f>+SUM(C1092:G1092)-(H1092+I1092)</f>
        <v>#REF!</v>
      </c>
      <c r="K1092" s="144" t="e">
        <f>J1092=#REF!</f>
        <v>#REF!</v>
      </c>
    </row>
    <row r="1093" spans="1:15" x14ac:dyDescent="0.3">
      <c r="A1093" s="43" t="s">
        <v>62</v>
      </c>
      <c r="B1093" s="24"/>
      <c r="C1093" s="35"/>
      <c r="D1093" s="24"/>
      <c r="E1093" s="24"/>
      <c r="F1093" s="24"/>
      <c r="G1093" s="24"/>
      <c r="H1093" s="24"/>
      <c r="I1093" s="24"/>
      <c r="J1093" s="36"/>
      <c r="K1093" s="143"/>
    </row>
    <row r="1094" spans="1:15" x14ac:dyDescent="0.3">
      <c r="A1094" s="122" t="s">
        <v>72</v>
      </c>
      <c r="B1094" s="37" t="s">
        <v>63</v>
      </c>
      <c r="C1094" s="125" t="e">
        <f>#REF!</f>
        <v>#REF!</v>
      </c>
      <c r="D1094" s="132"/>
      <c r="E1094" s="49"/>
      <c r="F1094" s="49"/>
      <c r="G1094" s="49"/>
      <c r="H1094" s="51">
        <v>2000000</v>
      </c>
      <c r="I1094" s="53">
        <v>271244</v>
      </c>
      <c r="J1094" s="30" t="e">
        <f>+SUM(C1094:G1094)-(H1094+I1094)</f>
        <v>#REF!</v>
      </c>
      <c r="K1094" s="144" t="e">
        <f>+J1094=#REF!</f>
        <v>#REF!</v>
      </c>
    </row>
    <row r="1095" spans="1:15" x14ac:dyDescent="0.3">
      <c r="A1095" s="122" t="s">
        <v>72</v>
      </c>
      <c r="B1095" s="37" t="s">
        <v>64</v>
      </c>
      <c r="C1095" s="125" t="e">
        <f>#REF!</f>
        <v>#REF!</v>
      </c>
      <c r="D1095" s="49">
        <v>31201251</v>
      </c>
      <c r="E1095" s="48"/>
      <c r="F1095" s="48"/>
      <c r="G1095" s="48"/>
      <c r="H1095" s="32">
        <v>4000000</v>
      </c>
      <c r="I1095" s="50">
        <v>6204544</v>
      </c>
      <c r="J1095" s="30" t="e">
        <f>SUM(C1095:G1095)-(H1095+I1095)</f>
        <v>#REF!</v>
      </c>
      <c r="K1095" s="144" t="e">
        <f>+J1095=#REF!</f>
        <v>#REF!</v>
      </c>
    </row>
    <row r="1096" spans="1:15" ht="15.6" x14ac:dyDescent="0.3">
      <c r="C1096" s="141" t="e">
        <f>SUM(C1081:C1095)</f>
        <v>#REF!</v>
      </c>
      <c r="I1096" s="140">
        <f>SUM(I1081:I1095)</f>
        <v>13290325</v>
      </c>
      <c r="J1096" s="105" t="e">
        <f>+SUM(J1081:J1095)</f>
        <v>#REF!</v>
      </c>
      <c r="K1096" s="5" t="e">
        <f>J1096=#REF!</f>
        <v>#REF!</v>
      </c>
    </row>
    <row r="1097" spans="1:15" x14ac:dyDescent="0.3">
      <c r="A1097" s="14"/>
      <c r="B1097" s="15"/>
      <c r="C1097" s="153"/>
      <c r="D1097" s="153"/>
      <c r="E1097" s="152"/>
      <c r="F1097" s="153"/>
      <c r="G1097" s="153" t="e">
        <f>+#REF!-J1096</f>
        <v>#REF!</v>
      </c>
      <c r="H1097" s="153"/>
      <c r="I1097" s="153"/>
    </row>
    <row r="1098" spans="1:15" x14ac:dyDescent="0.3">
      <c r="A1098" s="14"/>
      <c r="B1098" s="15"/>
      <c r="C1098" s="12"/>
      <c r="D1098" s="12"/>
      <c r="E1098" s="13"/>
      <c r="F1098" s="12"/>
      <c r="G1098" s="12"/>
      <c r="H1098" s="12"/>
      <c r="I1098" s="12"/>
    </row>
    <row r="1099" spans="1:15" x14ac:dyDescent="0.3">
      <c r="A1099" s="16" t="s">
        <v>52</v>
      </c>
      <c r="B1099" s="16"/>
      <c r="C1099" s="16"/>
      <c r="D1099" s="17"/>
      <c r="E1099" s="17"/>
      <c r="F1099" s="17"/>
      <c r="G1099" s="17"/>
      <c r="H1099" s="17"/>
      <c r="I1099" s="17"/>
    </row>
    <row r="1100" spans="1:15" x14ac:dyDescent="0.3">
      <c r="A1100" s="18" t="s">
        <v>132</v>
      </c>
      <c r="B1100" s="18"/>
      <c r="C1100" s="18"/>
      <c r="D1100" s="18"/>
      <c r="E1100" s="18"/>
      <c r="F1100" s="18"/>
      <c r="G1100" s="18"/>
      <c r="H1100" s="18"/>
      <c r="I1100" s="18"/>
      <c r="J1100" s="17"/>
    </row>
    <row r="1101" spans="1:15" x14ac:dyDescent="0.3">
      <c r="A1101" s="19"/>
      <c r="B1101" s="17"/>
      <c r="C1101" s="20"/>
      <c r="D1101" s="20"/>
      <c r="E1101" s="20"/>
      <c r="F1101" s="20"/>
      <c r="G1101" s="20"/>
      <c r="H1101" s="17"/>
      <c r="I1101" s="17"/>
      <c r="J1101" s="18"/>
    </row>
    <row r="1102" spans="1:15" x14ac:dyDescent="0.3">
      <c r="A1102" s="449" t="s">
        <v>53</v>
      </c>
      <c r="B1102" s="451" t="s">
        <v>54</v>
      </c>
      <c r="C1102" s="453" t="s">
        <v>134</v>
      </c>
      <c r="D1102" s="455" t="s">
        <v>55</v>
      </c>
      <c r="E1102" s="456"/>
      <c r="F1102" s="456"/>
      <c r="G1102" s="457"/>
      <c r="H1102" s="458" t="s">
        <v>56</v>
      </c>
      <c r="I1102" s="460" t="s">
        <v>57</v>
      </c>
      <c r="J1102" s="17"/>
    </row>
    <row r="1103" spans="1:15" x14ac:dyDescent="0.3">
      <c r="A1103" s="450"/>
      <c r="B1103" s="452"/>
      <c r="C1103" s="454"/>
      <c r="D1103" s="21" t="s">
        <v>24</v>
      </c>
      <c r="E1103" s="21" t="s">
        <v>25</v>
      </c>
      <c r="F1103" s="22" t="s">
        <v>123</v>
      </c>
      <c r="G1103" s="21" t="s">
        <v>58</v>
      </c>
      <c r="H1103" s="459"/>
      <c r="I1103" s="461"/>
      <c r="J1103" s="462" t="s">
        <v>133</v>
      </c>
      <c r="K1103" s="143"/>
    </row>
    <row r="1104" spans="1:15" x14ac:dyDescent="0.3">
      <c r="A1104" s="23"/>
      <c r="B1104" s="24" t="s">
        <v>59</v>
      </c>
      <c r="C1104" s="25"/>
      <c r="D1104" s="25"/>
      <c r="E1104" s="25"/>
      <c r="F1104" s="25"/>
      <c r="G1104" s="25"/>
      <c r="H1104" s="25"/>
      <c r="I1104" s="26"/>
      <c r="J1104" s="463"/>
      <c r="K1104" s="143"/>
      <c r="L1104" s="5"/>
      <c r="M1104" s="5"/>
      <c r="N1104" s="5"/>
      <c r="O1104" s="5"/>
    </row>
    <row r="1105" spans="1:15" x14ac:dyDescent="0.3">
      <c r="A1105" s="122" t="s">
        <v>135</v>
      </c>
      <c r="B1105" s="127" t="s">
        <v>76</v>
      </c>
      <c r="C1105" s="32" t="e">
        <f>+#REF!</f>
        <v>#REF!</v>
      </c>
      <c r="D1105" s="31"/>
      <c r="E1105" s="32">
        <v>114000</v>
      </c>
      <c r="F1105" s="32"/>
      <c r="G1105" s="32"/>
      <c r="H1105" s="55">
        <v>11050</v>
      </c>
      <c r="I1105" s="32">
        <v>112000</v>
      </c>
      <c r="J1105" s="30" t="e">
        <f>+SUM(C1105:G1105)-(H1105+I1105)</f>
        <v>#REF!</v>
      </c>
      <c r="K1105" s="144" t="e">
        <f>J1105=#REF!</f>
        <v>#REF!</v>
      </c>
      <c r="L1105" s="5"/>
      <c r="M1105" s="5"/>
      <c r="N1105" s="5"/>
      <c r="O1105" s="5"/>
    </row>
    <row r="1106" spans="1:15" x14ac:dyDescent="0.3">
      <c r="A1106" s="122" t="s">
        <v>135</v>
      </c>
      <c r="B1106" s="127" t="s">
        <v>47</v>
      </c>
      <c r="C1106" s="32" t="e">
        <f t="shared" ref="C1106:C1116" si="596">+C1083</f>
        <v>#REF!</v>
      </c>
      <c r="D1106" s="31"/>
      <c r="E1106" s="32">
        <v>87350</v>
      </c>
      <c r="F1106" s="32">
        <f>60000+62000</f>
        <v>122000</v>
      </c>
      <c r="G1106" s="32"/>
      <c r="H1106" s="55">
        <v>161395</v>
      </c>
      <c r="I1106" s="32">
        <v>281200</v>
      </c>
      <c r="J1106" s="30" t="e">
        <f t="shared" ref="J1106:J1107" si="597">+SUM(C1106:G1106)-(H1106+I1106)</f>
        <v>#REF!</v>
      </c>
      <c r="K1106" s="144" t="e">
        <f t="shared" ref="K1106:K1116" si="598">J1106=I1083</f>
        <v>#REF!</v>
      </c>
      <c r="L1106" s="5"/>
      <c r="M1106" s="5"/>
      <c r="N1106" s="5"/>
      <c r="O1106" s="5"/>
    </row>
    <row r="1107" spans="1:15" x14ac:dyDescent="0.3">
      <c r="A1107" s="122" t="s">
        <v>135</v>
      </c>
      <c r="B1107" s="127" t="s">
        <v>31</v>
      </c>
      <c r="C1107" s="32" t="e">
        <f t="shared" si="596"/>
        <v>#REF!</v>
      </c>
      <c r="D1107" s="31"/>
      <c r="E1107" s="32">
        <v>371500</v>
      </c>
      <c r="F1107" s="32"/>
      <c r="G1107" s="32"/>
      <c r="H1107" s="32">
        <f>62000+81500+137000</f>
        <v>280500</v>
      </c>
      <c r="I1107" s="32">
        <v>177000</v>
      </c>
      <c r="J1107" s="101" t="e">
        <f t="shared" si="597"/>
        <v>#REF!</v>
      </c>
      <c r="K1107" s="144" t="e">
        <f t="shared" si="598"/>
        <v>#REF!</v>
      </c>
      <c r="L1107" s="5"/>
      <c r="M1107" s="5"/>
      <c r="N1107" s="5"/>
      <c r="O1107" s="5"/>
    </row>
    <row r="1108" spans="1:15" x14ac:dyDescent="0.3">
      <c r="A1108" s="122" t="s">
        <v>135</v>
      </c>
      <c r="B1108" s="127" t="s">
        <v>77</v>
      </c>
      <c r="C1108" s="32" t="e">
        <f t="shared" si="596"/>
        <v>#REF!</v>
      </c>
      <c r="D1108" s="104"/>
      <c r="E1108" s="32">
        <v>35560</v>
      </c>
      <c r="F1108" s="32">
        <f>10000+81500</f>
        <v>91500</v>
      </c>
      <c r="G1108" s="32"/>
      <c r="H1108" s="32">
        <v>35000</v>
      </c>
      <c r="I1108" s="32">
        <v>159750</v>
      </c>
      <c r="J1108" s="101" t="e">
        <f>+SUM(C1108:G1108)-(H1108+I1108)</f>
        <v>#REF!</v>
      </c>
      <c r="K1108" s="144" t="e">
        <f t="shared" si="598"/>
        <v>#REF!</v>
      </c>
      <c r="L1108" s="5"/>
      <c r="M1108" s="5"/>
      <c r="N1108" s="5"/>
      <c r="O1108" s="5"/>
    </row>
    <row r="1109" spans="1:15" x14ac:dyDescent="0.3">
      <c r="A1109" s="122" t="s">
        <v>135</v>
      </c>
      <c r="B1109" s="128" t="s">
        <v>30</v>
      </c>
      <c r="C1109" s="32" t="e">
        <f t="shared" si="596"/>
        <v>#REF!</v>
      </c>
      <c r="D1109" s="119"/>
      <c r="E1109" s="51">
        <v>372085</v>
      </c>
      <c r="F1109" s="51"/>
      <c r="G1109" s="51"/>
      <c r="H1109" s="51"/>
      <c r="I1109" s="51">
        <v>336400</v>
      </c>
      <c r="J1109" s="124" t="e">
        <f>+SUM(C1109:G1109)-(H1109+I1109)</f>
        <v>#REF!</v>
      </c>
      <c r="K1109" s="144" t="e">
        <f t="shared" si="598"/>
        <v>#REF!</v>
      </c>
      <c r="L1109" s="5"/>
      <c r="M1109" s="5"/>
      <c r="N1109" s="5"/>
      <c r="O1109" s="5"/>
    </row>
    <row r="1110" spans="1:15" x14ac:dyDescent="0.3">
      <c r="A1110" s="122" t="s">
        <v>135</v>
      </c>
      <c r="B1110" s="129" t="s">
        <v>84</v>
      </c>
      <c r="C1110" s="120" t="e">
        <f t="shared" si="596"/>
        <v>#REF!</v>
      </c>
      <c r="D1110" s="123"/>
      <c r="E1110" s="137"/>
      <c r="F1110" s="137"/>
      <c r="G1110" s="137"/>
      <c r="H1110" s="137"/>
      <c r="I1110" s="137"/>
      <c r="J1110" s="121" t="e">
        <f>+SUM(C1110:G1110)-(H1110+I1110)</f>
        <v>#REF!</v>
      </c>
      <c r="K1110" s="144" t="e">
        <f t="shared" si="598"/>
        <v>#REF!</v>
      </c>
      <c r="L1110" s="5"/>
      <c r="M1110" s="5"/>
      <c r="N1110" s="5"/>
      <c r="O1110" s="5"/>
    </row>
    <row r="1111" spans="1:15" x14ac:dyDescent="0.3">
      <c r="A1111" s="122" t="s">
        <v>135</v>
      </c>
      <c r="B1111" s="129" t="s">
        <v>83</v>
      </c>
      <c r="C1111" s="120" t="e">
        <f t="shared" si="596"/>
        <v>#REF!</v>
      </c>
      <c r="D1111" s="123"/>
      <c r="E1111" s="137"/>
      <c r="F1111" s="137"/>
      <c r="G1111" s="137"/>
      <c r="H1111" s="137"/>
      <c r="I1111" s="137"/>
      <c r="J1111" s="121" t="e">
        <f t="shared" ref="J1111:J1116" si="599">+SUM(C1111:G1111)-(H1111+I1111)</f>
        <v>#REF!</v>
      </c>
      <c r="K1111" s="144" t="e">
        <f t="shared" si="598"/>
        <v>#REF!</v>
      </c>
      <c r="L1111" s="5"/>
      <c r="M1111" s="5"/>
      <c r="N1111" s="5"/>
      <c r="O1111" s="5"/>
    </row>
    <row r="1112" spans="1:15" x14ac:dyDescent="0.3">
      <c r="A1112" s="122" t="s">
        <v>135</v>
      </c>
      <c r="B1112" s="127" t="s">
        <v>35</v>
      </c>
      <c r="C1112" s="32" t="e">
        <f t="shared" si="596"/>
        <v>#REF!</v>
      </c>
      <c r="D1112" s="31"/>
      <c r="E1112" s="32">
        <v>400000</v>
      </c>
      <c r="F1112" s="32">
        <v>137000</v>
      </c>
      <c r="G1112" s="104"/>
      <c r="H1112" s="104"/>
      <c r="I1112" s="32">
        <v>563500</v>
      </c>
      <c r="J1112" s="30" t="e">
        <f t="shared" si="599"/>
        <v>#REF!</v>
      </c>
      <c r="K1112" s="144" t="e">
        <f t="shared" si="598"/>
        <v>#REF!</v>
      </c>
      <c r="L1112" s="5"/>
      <c r="M1112" s="5"/>
      <c r="N1112" s="5"/>
      <c r="O1112" s="5"/>
    </row>
    <row r="1113" spans="1:15" x14ac:dyDescent="0.3">
      <c r="A1113" s="122" t="s">
        <v>135</v>
      </c>
      <c r="B1113" s="127" t="s">
        <v>93</v>
      </c>
      <c r="C1113" s="32" t="e">
        <f t="shared" si="596"/>
        <v>#REF!</v>
      </c>
      <c r="D1113" s="31"/>
      <c r="E1113" s="32">
        <v>35000</v>
      </c>
      <c r="F1113" s="104"/>
      <c r="G1113" s="104"/>
      <c r="H1113" s="104"/>
      <c r="I1113" s="32">
        <v>23500</v>
      </c>
      <c r="J1113" s="30" t="e">
        <f t="shared" si="599"/>
        <v>#REF!</v>
      </c>
      <c r="K1113" s="144" t="e">
        <f t="shared" si="598"/>
        <v>#REF!</v>
      </c>
      <c r="L1113" s="5"/>
      <c r="M1113" s="5"/>
      <c r="N1113" s="5"/>
      <c r="O1113" s="5"/>
    </row>
    <row r="1114" spans="1:15" x14ac:dyDescent="0.3">
      <c r="A1114" s="122" t="s">
        <v>135</v>
      </c>
      <c r="B1114" s="127" t="s">
        <v>29</v>
      </c>
      <c r="C1114" s="32">
        <f t="shared" si="596"/>
        <v>0</v>
      </c>
      <c r="D1114" s="31"/>
      <c r="E1114" s="32">
        <v>454000</v>
      </c>
      <c r="F1114" s="104"/>
      <c r="G1114" s="104"/>
      <c r="H1114" s="104"/>
      <c r="I1114" s="32">
        <v>329100</v>
      </c>
      <c r="J1114" s="30">
        <f t="shared" si="599"/>
        <v>124900</v>
      </c>
      <c r="K1114" s="144" t="b">
        <f t="shared" si="598"/>
        <v>0</v>
      </c>
      <c r="L1114" s="5"/>
      <c r="M1114" s="5"/>
      <c r="N1114" s="5"/>
      <c r="O1114" s="5"/>
    </row>
    <row r="1115" spans="1:15" x14ac:dyDescent="0.3">
      <c r="A1115" s="122" t="s">
        <v>135</v>
      </c>
      <c r="B1115" s="127" t="s">
        <v>32</v>
      </c>
      <c r="C1115" s="32" t="e">
        <f t="shared" si="596"/>
        <v>#REF!</v>
      </c>
      <c r="D1115" s="31"/>
      <c r="E1115" s="32"/>
      <c r="F1115" s="104"/>
      <c r="G1115" s="104"/>
      <c r="H1115" s="32">
        <v>20000</v>
      </c>
      <c r="I1115" s="32">
        <v>5000</v>
      </c>
      <c r="J1115" s="30" t="e">
        <f t="shared" si="599"/>
        <v>#REF!</v>
      </c>
      <c r="K1115" s="144" t="e">
        <f t="shared" si="598"/>
        <v>#REF!</v>
      </c>
      <c r="L1115" s="5"/>
      <c r="M1115" s="5"/>
      <c r="N1115" s="5"/>
      <c r="O1115" s="5"/>
    </row>
    <row r="1116" spans="1:15" x14ac:dyDescent="0.3">
      <c r="A1116" s="122" t="s">
        <v>135</v>
      </c>
      <c r="B1116" s="128" t="s">
        <v>113</v>
      </c>
      <c r="C1116" s="32">
        <f t="shared" si="596"/>
        <v>0</v>
      </c>
      <c r="D1116" s="119"/>
      <c r="E1116" s="51">
        <v>231000</v>
      </c>
      <c r="F1116" s="51"/>
      <c r="G1116" s="138"/>
      <c r="H1116" s="51">
        <v>90000</v>
      </c>
      <c r="I1116" s="51">
        <v>180000</v>
      </c>
      <c r="J1116" s="30">
        <f t="shared" si="599"/>
        <v>-39000</v>
      </c>
      <c r="K1116" s="144" t="b">
        <f t="shared" si="598"/>
        <v>0</v>
      </c>
      <c r="L1116" s="5"/>
      <c r="M1116" s="5"/>
      <c r="N1116" s="5"/>
      <c r="O1116" s="5"/>
    </row>
    <row r="1117" spans="1:15" x14ac:dyDescent="0.3">
      <c r="A1117" s="34" t="s">
        <v>60</v>
      </c>
      <c r="B1117" s="35"/>
      <c r="C1117" s="35"/>
      <c r="D1117" s="35"/>
      <c r="E1117" s="35"/>
      <c r="F1117" s="35"/>
      <c r="G1117" s="35"/>
      <c r="H1117" s="35"/>
      <c r="I1117" s="35"/>
      <c r="J1117" s="36"/>
      <c r="K1117" s="143"/>
      <c r="L1117" s="5"/>
      <c r="M1117" s="5"/>
      <c r="N1117" s="5"/>
      <c r="O1117" s="5"/>
    </row>
    <row r="1118" spans="1:15" x14ac:dyDescent="0.3">
      <c r="A1118" s="122" t="s">
        <v>135</v>
      </c>
      <c r="B1118" s="37" t="s">
        <v>61</v>
      </c>
      <c r="C1118" s="38" t="e">
        <f>+C1082</f>
        <v>#REF!</v>
      </c>
      <c r="D1118" s="49">
        <v>5000000</v>
      </c>
      <c r="E1118" s="103"/>
      <c r="F1118" s="49">
        <v>217445</v>
      </c>
      <c r="G1118" s="139"/>
      <c r="H1118" s="131">
        <v>2070495</v>
      </c>
      <c r="I1118" s="126">
        <v>3286349</v>
      </c>
      <c r="J1118" s="30" t="e">
        <f>+SUM(C1118:G1118)-(H1118+I1118)</f>
        <v>#REF!</v>
      </c>
      <c r="K1118" s="144" t="e">
        <f>J1118=I1082</f>
        <v>#REF!</v>
      </c>
      <c r="L1118" s="5"/>
      <c r="M1118" s="5"/>
      <c r="N1118" s="5"/>
      <c r="O1118" s="5"/>
    </row>
    <row r="1119" spans="1:15" x14ac:dyDescent="0.3">
      <c r="A1119" s="43" t="s">
        <v>62</v>
      </c>
      <c r="B1119" s="24"/>
      <c r="C1119" s="35"/>
      <c r="D1119" s="24"/>
      <c r="E1119" s="24"/>
      <c r="F1119" s="24"/>
      <c r="G1119" s="24"/>
      <c r="H1119" s="24"/>
      <c r="I1119" s="24"/>
      <c r="J1119" s="36"/>
      <c r="K1119" s="143"/>
      <c r="L1119" s="5"/>
      <c r="M1119" s="5"/>
      <c r="N1119" s="5"/>
      <c r="O1119" s="5"/>
    </row>
    <row r="1120" spans="1:15" x14ac:dyDescent="0.3">
      <c r="A1120" s="122" t="s">
        <v>135</v>
      </c>
      <c r="B1120" s="37" t="s">
        <v>63</v>
      </c>
      <c r="C1120" s="125" t="e">
        <f>+#REF!</f>
        <v>#REF!</v>
      </c>
      <c r="D1120" s="132">
        <v>7900099</v>
      </c>
      <c r="E1120" s="49"/>
      <c r="F1120" s="49"/>
      <c r="G1120" s="49"/>
      <c r="H1120" s="51">
        <v>3000000</v>
      </c>
      <c r="I1120" s="53">
        <v>379529</v>
      </c>
      <c r="J1120" s="30" t="e">
        <f>+SUM(C1120:G1120)-(H1120+I1120)</f>
        <v>#REF!</v>
      </c>
      <c r="K1120" s="144" t="e">
        <f>+J1120=#REF!</f>
        <v>#REF!</v>
      </c>
      <c r="L1120" s="5"/>
      <c r="M1120" s="5"/>
      <c r="N1120" s="5"/>
      <c r="O1120" s="5"/>
    </row>
    <row r="1121" spans="1:15" x14ac:dyDescent="0.3">
      <c r="A1121" s="122" t="s">
        <v>135</v>
      </c>
      <c r="B1121" s="37" t="s">
        <v>64</v>
      </c>
      <c r="C1121" s="125" t="e">
        <f>+C1081</f>
        <v>#REF!</v>
      </c>
      <c r="D1121" s="49"/>
      <c r="E1121" s="48"/>
      <c r="F1121" s="48"/>
      <c r="G1121" s="48"/>
      <c r="H1121" s="32">
        <v>2000000</v>
      </c>
      <c r="I1121" s="50">
        <v>5392233</v>
      </c>
      <c r="J1121" s="30" t="e">
        <f>SUM(C1121:G1121)-(H1121+I1121)</f>
        <v>#REF!</v>
      </c>
      <c r="K1121" s="144" t="e">
        <f>+J1121=I1081</f>
        <v>#REF!</v>
      </c>
      <c r="L1121" s="5"/>
      <c r="M1121" s="5"/>
      <c r="N1121" s="5"/>
      <c r="O1121" s="5"/>
    </row>
    <row r="1122" spans="1:15" ht="15.6" x14ac:dyDescent="0.3">
      <c r="C1122" s="141" t="e">
        <f>SUM(C1105:C1121)</f>
        <v>#REF!</v>
      </c>
      <c r="I1122" s="140">
        <f>SUM(I1105:I1121)</f>
        <v>11225561</v>
      </c>
      <c r="J1122" s="105" t="e">
        <f>+SUM(J1105:J1121)</f>
        <v>#REF!</v>
      </c>
      <c r="K1122" s="5" t="e">
        <f>J1122=I1094</f>
        <v>#REF!</v>
      </c>
      <c r="L1122" s="5"/>
      <c r="M1122" s="5"/>
      <c r="N1122" s="5"/>
      <c r="O1122" s="5"/>
    </row>
    <row r="1123" spans="1:15" x14ac:dyDescent="0.3">
      <c r="A1123" s="14"/>
      <c r="B1123" s="15"/>
      <c r="C1123" s="12"/>
      <c r="D1123" s="12"/>
      <c r="E1123" s="13"/>
      <c r="F1123" s="12"/>
      <c r="G1123" s="12"/>
      <c r="H1123" s="12"/>
      <c r="I1123" s="12"/>
      <c r="L1123" s="5"/>
      <c r="M1123" s="5"/>
      <c r="N1123" s="5"/>
      <c r="O1123" s="5"/>
    </row>
    <row r="1124" spans="1:15" x14ac:dyDescent="0.3">
      <c r="A1124" s="16" t="s">
        <v>52</v>
      </c>
      <c r="B1124" s="16"/>
      <c r="C1124" s="16"/>
      <c r="D1124" s="17"/>
      <c r="E1124" s="17"/>
      <c r="F1124" s="17"/>
      <c r="G1124" s="17"/>
      <c r="H1124" s="17"/>
      <c r="I1124" s="17"/>
      <c r="L1124" s="5"/>
      <c r="M1124" s="5"/>
      <c r="N1124" s="5"/>
      <c r="O1124" s="5"/>
    </row>
    <row r="1125" spans="1:15" x14ac:dyDescent="0.3">
      <c r="A1125" s="18" t="s">
        <v>128</v>
      </c>
      <c r="B1125" s="18"/>
      <c r="C1125" s="18"/>
      <c r="D1125" s="18"/>
      <c r="E1125" s="18"/>
      <c r="F1125" s="18"/>
      <c r="G1125" s="18"/>
      <c r="H1125" s="18"/>
      <c r="I1125" s="18"/>
      <c r="J1125" s="17"/>
      <c r="L1125" s="5"/>
      <c r="M1125" s="5"/>
      <c r="N1125" s="5"/>
      <c r="O1125" s="5"/>
    </row>
    <row r="1126" spans="1:15" x14ac:dyDescent="0.3">
      <c r="A1126" s="19"/>
      <c r="B1126" s="17"/>
      <c r="C1126" s="20"/>
      <c r="D1126" s="20"/>
      <c r="E1126" s="20"/>
      <c r="F1126" s="20"/>
      <c r="G1126" s="20"/>
      <c r="H1126" s="17"/>
      <c r="I1126" s="17"/>
      <c r="J1126" s="18"/>
      <c r="L1126" s="5"/>
      <c r="M1126" s="5"/>
      <c r="N1126" s="5"/>
      <c r="O1126" s="5"/>
    </row>
    <row r="1127" spans="1:15" x14ac:dyDescent="0.3">
      <c r="A1127" s="449" t="s">
        <v>53</v>
      </c>
      <c r="B1127" s="451" t="s">
        <v>54</v>
      </c>
      <c r="C1127" s="453" t="s">
        <v>129</v>
      </c>
      <c r="D1127" s="455" t="s">
        <v>55</v>
      </c>
      <c r="E1127" s="456"/>
      <c r="F1127" s="456"/>
      <c r="G1127" s="457"/>
      <c r="H1127" s="458" t="s">
        <v>56</v>
      </c>
      <c r="I1127" s="460" t="s">
        <v>57</v>
      </c>
      <c r="J1127" s="17"/>
      <c r="L1127" s="5"/>
      <c r="M1127" s="5"/>
      <c r="N1127" s="5"/>
      <c r="O1127" s="5"/>
    </row>
    <row r="1128" spans="1:15" x14ac:dyDescent="0.3">
      <c r="A1128" s="450"/>
      <c r="B1128" s="452"/>
      <c r="C1128" s="454"/>
      <c r="D1128" s="21" t="s">
        <v>24</v>
      </c>
      <c r="E1128" s="21" t="s">
        <v>25</v>
      </c>
      <c r="F1128" s="22" t="s">
        <v>123</v>
      </c>
      <c r="G1128" s="21" t="s">
        <v>58</v>
      </c>
      <c r="H1128" s="459"/>
      <c r="I1128" s="461"/>
      <c r="J1128" s="462" t="s">
        <v>130</v>
      </c>
      <c r="K1128" s="143"/>
      <c r="L1128" s="5"/>
      <c r="M1128" s="5"/>
      <c r="N1128" s="5"/>
      <c r="O1128" s="5"/>
    </row>
    <row r="1129" spans="1:15" x14ac:dyDescent="0.3">
      <c r="A1129" s="23"/>
      <c r="B1129" s="24" t="s">
        <v>59</v>
      </c>
      <c r="C1129" s="25"/>
      <c r="D1129" s="25"/>
      <c r="E1129" s="25"/>
      <c r="F1129" s="25"/>
      <c r="G1129" s="25"/>
      <c r="H1129" s="25"/>
      <c r="I1129" s="26"/>
      <c r="J1129" s="463"/>
      <c r="K1129" s="143"/>
      <c r="L1129" s="5"/>
      <c r="M1129" s="5"/>
      <c r="N1129" s="5"/>
      <c r="O1129" s="5"/>
    </row>
    <row r="1130" spans="1:15" x14ac:dyDescent="0.3">
      <c r="A1130" s="122" t="s">
        <v>131</v>
      </c>
      <c r="B1130" s="127" t="s">
        <v>76</v>
      </c>
      <c r="C1130" s="32">
        <v>40050</v>
      </c>
      <c r="D1130" s="31"/>
      <c r="E1130" s="32">
        <v>104000</v>
      </c>
      <c r="F1130" s="32"/>
      <c r="G1130" s="32"/>
      <c r="H1130" s="55">
        <v>54000</v>
      </c>
      <c r="I1130" s="32">
        <v>81000</v>
      </c>
      <c r="J1130" s="30">
        <f>+SUM(C1130:G1130)-(H1130+I1130)</f>
        <v>9050</v>
      </c>
      <c r="K1130" s="144" t="e">
        <f>J1130=#REF!</f>
        <v>#REF!</v>
      </c>
      <c r="L1130" s="5"/>
      <c r="M1130" s="5"/>
      <c r="N1130" s="5"/>
      <c r="O1130" s="5"/>
    </row>
    <row r="1131" spans="1:15" x14ac:dyDescent="0.3">
      <c r="A1131" s="122" t="s">
        <v>131</v>
      </c>
      <c r="B1131" s="127" t="s">
        <v>47</v>
      </c>
      <c r="C1131" s="32">
        <v>38845</v>
      </c>
      <c r="D1131" s="31"/>
      <c r="E1131" s="32">
        <v>1550000</v>
      </c>
      <c r="F1131" s="32"/>
      <c r="G1131" s="32"/>
      <c r="H1131" s="55">
        <v>311000</v>
      </c>
      <c r="I1131" s="32">
        <v>1017400</v>
      </c>
      <c r="J1131" s="30">
        <f t="shared" ref="J1131:J1132" si="600">+SUM(C1131:G1131)-(H1131+I1131)</f>
        <v>260445</v>
      </c>
      <c r="K1131" s="144" t="b">
        <f>J1131=I1083</f>
        <v>0</v>
      </c>
      <c r="L1131" s="5"/>
      <c r="M1131" s="5"/>
      <c r="N1131" s="5"/>
      <c r="O1131" s="5"/>
    </row>
    <row r="1132" spans="1:15" x14ac:dyDescent="0.3">
      <c r="A1132" s="122" t="s">
        <v>131</v>
      </c>
      <c r="B1132" s="127" t="s">
        <v>31</v>
      </c>
      <c r="C1132" s="32">
        <v>6895</v>
      </c>
      <c r="D1132" s="31"/>
      <c r="E1132" s="32">
        <v>581000</v>
      </c>
      <c r="F1132" s="32"/>
      <c r="G1132" s="32"/>
      <c r="H1132" s="32"/>
      <c r="I1132" s="32">
        <v>498900</v>
      </c>
      <c r="J1132" s="101">
        <f t="shared" si="600"/>
        <v>88995</v>
      </c>
      <c r="K1132" s="144" t="b">
        <f>J1132=I1084</f>
        <v>0</v>
      </c>
      <c r="L1132" s="5"/>
      <c r="M1132" s="5"/>
      <c r="N1132" s="5"/>
      <c r="O1132" s="5"/>
    </row>
    <row r="1133" spans="1:15" x14ac:dyDescent="0.3">
      <c r="A1133" s="122" t="s">
        <v>131</v>
      </c>
      <c r="B1133" s="127" t="s">
        <v>77</v>
      </c>
      <c r="C1133" s="32">
        <v>28540</v>
      </c>
      <c r="D1133" s="104"/>
      <c r="E1133" s="32">
        <v>332000</v>
      </c>
      <c r="F1133" s="32">
        <v>10000</v>
      </c>
      <c r="G1133" s="32"/>
      <c r="H1133" s="32"/>
      <c r="I1133" s="32">
        <v>302850</v>
      </c>
      <c r="J1133" s="101">
        <f>+SUM(C1133:G1133)-(H1133+I1133)</f>
        <v>67690</v>
      </c>
      <c r="K1133" s="144" t="b">
        <f>J1133=I1085</f>
        <v>0</v>
      </c>
      <c r="L1133" s="5"/>
      <c r="M1133" s="5"/>
      <c r="N1133" s="5"/>
      <c r="O1133" s="5"/>
    </row>
    <row r="1134" spans="1:15" x14ac:dyDescent="0.3">
      <c r="A1134" s="122" t="s">
        <v>131</v>
      </c>
      <c r="B1134" s="127" t="s">
        <v>69</v>
      </c>
      <c r="C1134" s="32">
        <v>184</v>
      </c>
      <c r="D1134" s="104"/>
      <c r="E1134" s="32"/>
      <c r="F1134" s="32"/>
      <c r="G1134" s="32"/>
      <c r="H1134" s="32">
        <v>184</v>
      </c>
      <c r="I1134" s="32"/>
      <c r="J1134" s="101">
        <f t="shared" ref="J1134" si="601">+SUM(C1134:G1134)-(H1134+I1134)</f>
        <v>0</v>
      </c>
      <c r="K1134" s="144" t="e">
        <f>J1134=#REF!</f>
        <v>#REF!</v>
      </c>
      <c r="L1134" s="5"/>
      <c r="M1134" s="5"/>
      <c r="N1134" s="5"/>
      <c r="O1134" s="5"/>
    </row>
    <row r="1135" spans="1:15" x14ac:dyDescent="0.3">
      <c r="A1135" s="122" t="s">
        <v>131</v>
      </c>
      <c r="B1135" s="128" t="s">
        <v>30</v>
      </c>
      <c r="C1135" s="32">
        <v>68200</v>
      </c>
      <c r="D1135" s="119"/>
      <c r="E1135" s="51">
        <v>638000</v>
      </c>
      <c r="F1135" s="51">
        <v>45000</v>
      </c>
      <c r="G1135" s="51"/>
      <c r="H1135" s="51"/>
      <c r="I1135" s="51">
        <v>787385</v>
      </c>
      <c r="J1135" s="124">
        <f>+SUM(C1135:G1135)-(H1135+I1135)</f>
        <v>-36185</v>
      </c>
      <c r="K1135" s="144" t="b">
        <f t="shared" ref="K1135:K1142" si="602">J1135=I1086</f>
        <v>0</v>
      </c>
      <c r="L1135" s="5"/>
      <c r="M1135" s="5"/>
      <c r="N1135" s="5"/>
      <c r="O1135" s="5"/>
    </row>
    <row r="1136" spans="1:15" x14ac:dyDescent="0.3">
      <c r="A1136" s="122" t="s">
        <v>131</v>
      </c>
      <c r="B1136" s="129" t="s">
        <v>84</v>
      </c>
      <c r="C1136" s="120">
        <v>233614</v>
      </c>
      <c r="D1136" s="123"/>
      <c r="E1136" s="137"/>
      <c r="F1136" s="137"/>
      <c r="G1136" s="137"/>
      <c r="H1136" s="137"/>
      <c r="I1136" s="137"/>
      <c r="J1136" s="121">
        <f>+SUM(C1136:G1136)-(H1136+I1136)</f>
        <v>233614</v>
      </c>
      <c r="K1136" s="144" t="b">
        <f t="shared" si="602"/>
        <v>0</v>
      </c>
      <c r="L1136" s="5"/>
      <c r="M1136" s="5"/>
      <c r="N1136" s="5"/>
      <c r="O1136" s="5"/>
    </row>
    <row r="1137" spans="1:15" x14ac:dyDescent="0.3">
      <c r="A1137" s="122" t="s">
        <v>131</v>
      </c>
      <c r="B1137" s="129" t="s">
        <v>83</v>
      </c>
      <c r="C1137" s="120">
        <v>249769</v>
      </c>
      <c r="D1137" s="123"/>
      <c r="E1137" s="137"/>
      <c r="F1137" s="137"/>
      <c r="G1137" s="137"/>
      <c r="H1137" s="137"/>
      <c r="I1137" s="137"/>
      <c r="J1137" s="121">
        <f t="shared" ref="J1137:J1142" si="603">+SUM(C1137:G1137)-(H1137+I1137)</f>
        <v>249769</v>
      </c>
      <c r="K1137" s="144" t="b">
        <f t="shared" si="602"/>
        <v>0</v>
      </c>
      <c r="L1137" s="5"/>
      <c r="M1137" s="5"/>
      <c r="N1137" s="5"/>
      <c r="O1137" s="5"/>
    </row>
    <row r="1138" spans="1:15" x14ac:dyDescent="0.3">
      <c r="A1138" s="122" t="s">
        <v>131</v>
      </c>
      <c r="B1138" s="127" t="s">
        <v>35</v>
      </c>
      <c r="C1138" s="32">
        <v>-4675</v>
      </c>
      <c r="D1138" s="31"/>
      <c r="E1138" s="32">
        <v>494000</v>
      </c>
      <c r="F1138" s="32">
        <v>256000</v>
      </c>
      <c r="G1138" s="104"/>
      <c r="H1138" s="104">
        <v>6500</v>
      </c>
      <c r="I1138" s="32">
        <v>607250</v>
      </c>
      <c r="J1138" s="30">
        <f t="shared" si="603"/>
        <v>131575</v>
      </c>
      <c r="K1138" s="144" t="b">
        <f t="shared" si="602"/>
        <v>0</v>
      </c>
      <c r="L1138" s="5"/>
      <c r="M1138" s="5"/>
      <c r="N1138" s="5"/>
      <c r="O1138" s="5"/>
    </row>
    <row r="1139" spans="1:15" x14ac:dyDescent="0.3">
      <c r="A1139" s="122" t="s">
        <v>131</v>
      </c>
      <c r="B1139" s="127" t="s">
        <v>93</v>
      </c>
      <c r="C1139" s="32">
        <v>5000</v>
      </c>
      <c r="D1139" s="31"/>
      <c r="E1139" s="32">
        <v>30000</v>
      </c>
      <c r="F1139" s="104"/>
      <c r="G1139" s="104"/>
      <c r="H1139" s="104"/>
      <c r="I1139" s="32">
        <v>29500</v>
      </c>
      <c r="J1139" s="30">
        <f t="shared" si="603"/>
        <v>5500</v>
      </c>
      <c r="K1139" s="144" t="b">
        <f t="shared" si="602"/>
        <v>0</v>
      </c>
      <c r="L1139" s="5"/>
      <c r="M1139" s="5"/>
      <c r="N1139" s="5"/>
      <c r="O1139" s="5"/>
    </row>
    <row r="1140" spans="1:15" x14ac:dyDescent="0.3">
      <c r="A1140" s="122" t="s">
        <v>131</v>
      </c>
      <c r="B1140" s="127" t="s">
        <v>29</v>
      </c>
      <c r="C1140" s="32">
        <v>72800</v>
      </c>
      <c r="D1140" s="31"/>
      <c r="E1140" s="32">
        <v>446000</v>
      </c>
      <c r="F1140" s="104"/>
      <c r="G1140" s="104"/>
      <c r="H1140" s="104"/>
      <c r="I1140" s="32">
        <v>512600</v>
      </c>
      <c r="J1140" s="30">
        <f t="shared" si="603"/>
        <v>6200</v>
      </c>
      <c r="K1140" s="144" t="b">
        <f t="shared" si="602"/>
        <v>0</v>
      </c>
      <c r="L1140" s="5"/>
      <c r="M1140" s="5"/>
      <c r="N1140" s="5"/>
      <c r="O1140" s="5"/>
    </row>
    <row r="1141" spans="1:15" x14ac:dyDescent="0.3">
      <c r="A1141" s="122" t="s">
        <v>131</v>
      </c>
      <c r="B1141" s="127" t="s">
        <v>32</v>
      </c>
      <c r="C1141" s="32">
        <v>47300</v>
      </c>
      <c r="D1141" s="31"/>
      <c r="E1141" s="32">
        <v>5000</v>
      </c>
      <c r="F1141" s="104">
        <v>6500</v>
      </c>
      <c r="G1141" s="104"/>
      <c r="H1141" s="32">
        <v>20000</v>
      </c>
      <c r="I1141" s="32">
        <v>8000</v>
      </c>
      <c r="J1141" s="30">
        <f t="shared" si="603"/>
        <v>30800</v>
      </c>
      <c r="K1141" s="144" t="b">
        <f t="shared" si="602"/>
        <v>0</v>
      </c>
      <c r="L1141" s="5"/>
      <c r="M1141" s="5"/>
      <c r="N1141" s="5"/>
      <c r="O1141" s="5"/>
    </row>
    <row r="1142" spans="1:15" x14ac:dyDescent="0.3">
      <c r="A1142" s="122" t="s">
        <v>131</v>
      </c>
      <c r="B1142" s="128" t="s">
        <v>113</v>
      </c>
      <c r="C1142" s="32">
        <v>79600</v>
      </c>
      <c r="D1142" s="119"/>
      <c r="E1142" s="51"/>
      <c r="F1142" s="51"/>
      <c r="G1142" s="138"/>
      <c r="H1142" s="51"/>
      <c r="I1142" s="51">
        <v>37707</v>
      </c>
      <c r="J1142" s="30">
        <f t="shared" si="603"/>
        <v>41893</v>
      </c>
      <c r="K1142" s="144" t="b">
        <f t="shared" si="602"/>
        <v>0</v>
      </c>
      <c r="L1142" s="5"/>
      <c r="M1142" s="5"/>
      <c r="N1142" s="5"/>
      <c r="O1142" s="5"/>
    </row>
    <row r="1143" spans="1:15" x14ac:dyDescent="0.3">
      <c r="A1143" s="34" t="s">
        <v>60</v>
      </c>
      <c r="B1143" s="35"/>
      <c r="C1143" s="35"/>
      <c r="D1143" s="35"/>
      <c r="E1143" s="35"/>
      <c r="F1143" s="35"/>
      <c r="G1143" s="35"/>
      <c r="H1143" s="35"/>
      <c r="I1143" s="35"/>
      <c r="J1143" s="36"/>
      <c r="K1143" s="143"/>
      <c r="L1143" s="5"/>
      <c r="M1143" s="5"/>
      <c r="N1143" s="5"/>
      <c r="O1143" s="5"/>
    </row>
    <row r="1144" spans="1:15" x14ac:dyDescent="0.3">
      <c r="A1144" s="122" t="s">
        <v>131</v>
      </c>
      <c r="B1144" s="37" t="s">
        <v>61</v>
      </c>
      <c r="C1144" s="38">
        <v>467929</v>
      </c>
      <c r="D1144" s="49">
        <v>6310000</v>
      </c>
      <c r="E1144" s="103"/>
      <c r="F1144" s="49">
        <v>74184</v>
      </c>
      <c r="G1144" s="139"/>
      <c r="H1144" s="131">
        <v>4180000</v>
      </c>
      <c r="I1144" s="126">
        <v>1710965</v>
      </c>
      <c r="J1144" s="30">
        <f>+SUM(C1144:G1144)-(H1144+I1144)</f>
        <v>961148</v>
      </c>
      <c r="K1144" s="144" t="b">
        <f>J1144=I1082</f>
        <v>0</v>
      </c>
      <c r="L1144" s="5"/>
      <c r="M1144" s="5"/>
      <c r="N1144" s="5"/>
      <c r="O1144" s="5"/>
    </row>
    <row r="1145" spans="1:15" x14ac:dyDescent="0.3">
      <c r="A1145" s="43" t="s">
        <v>62</v>
      </c>
      <c r="B1145" s="24"/>
      <c r="C1145" s="35"/>
      <c r="D1145" s="24"/>
      <c r="E1145" s="24"/>
      <c r="F1145" s="24"/>
      <c r="G1145" s="24"/>
      <c r="H1145" s="24"/>
      <c r="I1145" s="24"/>
      <c r="J1145" s="36"/>
      <c r="K1145" s="143"/>
      <c r="L1145" s="5"/>
      <c r="M1145" s="5"/>
      <c r="N1145" s="5"/>
      <c r="O1145" s="5"/>
    </row>
    <row r="1146" spans="1:15" x14ac:dyDescent="0.3">
      <c r="A1146" s="122" t="s">
        <v>131</v>
      </c>
      <c r="B1146" s="37" t="s">
        <v>63</v>
      </c>
      <c r="C1146" s="125">
        <v>7405927</v>
      </c>
      <c r="D1146" s="132"/>
      <c r="E1146" s="49"/>
      <c r="F1146" s="49"/>
      <c r="G1146" s="49"/>
      <c r="H1146" s="51">
        <v>2000000</v>
      </c>
      <c r="I1146" s="53">
        <v>1710232</v>
      </c>
      <c r="J1146" s="30">
        <f>+SUM(C1146:G1146)-(H1146+I1146)</f>
        <v>3695695</v>
      </c>
      <c r="K1146" s="144" t="e">
        <f>+J1146=#REF!</f>
        <v>#REF!</v>
      </c>
      <c r="L1146" s="5"/>
      <c r="M1146" s="5"/>
      <c r="N1146" s="5"/>
      <c r="O1146" s="5"/>
    </row>
    <row r="1147" spans="1:15" x14ac:dyDescent="0.3">
      <c r="A1147" s="122" t="s">
        <v>131</v>
      </c>
      <c r="B1147" s="37" t="s">
        <v>64</v>
      </c>
      <c r="C1147" s="125">
        <v>22972065</v>
      </c>
      <c r="D1147" s="49"/>
      <c r="E1147" s="48"/>
      <c r="F1147" s="48"/>
      <c r="G1147" s="48"/>
      <c r="H1147" s="32">
        <v>4310000</v>
      </c>
      <c r="I1147" s="50">
        <v>3055511</v>
      </c>
      <c r="J1147" s="30">
        <f>SUM(C1147:G1147)-(H1147+I1147)</f>
        <v>15606554</v>
      </c>
      <c r="K1147" s="144" t="b">
        <f>+J1147=I1081</f>
        <v>0</v>
      </c>
      <c r="L1147" s="5"/>
      <c r="M1147" s="5"/>
      <c r="N1147" s="5"/>
      <c r="O1147" s="5"/>
    </row>
    <row r="1148" spans="1:15" ht="15.6" x14ac:dyDescent="0.3">
      <c r="C1148" s="141">
        <f>SUM(C1130:C1147)</f>
        <v>31712043</v>
      </c>
      <c r="I1148" s="140">
        <f>SUM(I1130:I1147)</f>
        <v>10359300</v>
      </c>
      <c r="J1148" s="105">
        <f>+SUM(J1130:J1147)</f>
        <v>21352743</v>
      </c>
      <c r="K1148" s="5" t="b">
        <f>J1148=I1094</f>
        <v>0</v>
      </c>
      <c r="L1148" s="5"/>
      <c r="M1148" s="5"/>
      <c r="N1148" s="5"/>
      <c r="O1148" s="5"/>
    </row>
    <row r="1149" spans="1:15" x14ac:dyDescent="0.3">
      <c r="A1149" s="14"/>
      <c r="B1149" s="15"/>
      <c r="C1149" s="12"/>
      <c r="D1149" s="12"/>
      <c r="E1149" s="13"/>
      <c r="F1149" s="12"/>
      <c r="G1149" s="12"/>
      <c r="H1149" s="12"/>
      <c r="I1149" s="12"/>
      <c r="L1149" s="5"/>
      <c r="M1149" s="5"/>
      <c r="N1149" s="5"/>
      <c r="O1149" s="5"/>
    </row>
    <row r="1150" spans="1:15" x14ac:dyDescent="0.3">
      <c r="A1150" s="16" t="s">
        <v>52</v>
      </c>
      <c r="B1150" s="16"/>
      <c r="C1150" s="16"/>
      <c r="D1150" s="17"/>
      <c r="E1150" s="17"/>
      <c r="F1150" s="17"/>
      <c r="G1150" s="17"/>
      <c r="H1150" s="17"/>
      <c r="I1150" s="17"/>
      <c r="L1150" s="5"/>
      <c r="M1150" s="5"/>
      <c r="N1150" s="5"/>
      <c r="O1150" s="5"/>
    </row>
    <row r="1151" spans="1:15" x14ac:dyDescent="0.3">
      <c r="A1151" s="18" t="s">
        <v>124</v>
      </c>
      <c r="B1151" s="18"/>
      <c r="C1151" s="18"/>
      <c r="D1151" s="18"/>
      <c r="E1151" s="18"/>
      <c r="F1151" s="18"/>
      <c r="G1151" s="18"/>
      <c r="H1151" s="18"/>
      <c r="I1151" s="18"/>
      <c r="J1151" s="17"/>
      <c r="L1151" s="5"/>
      <c r="M1151" s="5"/>
      <c r="N1151" s="5"/>
      <c r="O1151" s="5"/>
    </row>
    <row r="1152" spans="1:15" x14ac:dyDescent="0.3">
      <c r="A1152" s="19"/>
      <c r="B1152" s="17"/>
      <c r="C1152" s="20"/>
      <c r="D1152" s="20"/>
      <c r="E1152" s="20"/>
      <c r="F1152" s="20"/>
      <c r="G1152" s="20"/>
      <c r="H1152" s="17"/>
      <c r="I1152" s="17"/>
      <c r="J1152" s="18"/>
      <c r="L1152" s="5"/>
      <c r="M1152" s="5"/>
      <c r="N1152" s="5"/>
      <c r="O1152" s="5"/>
    </row>
    <row r="1153" spans="1:15" x14ac:dyDescent="0.3">
      <c r="A1153" s="449" t="s">
        <v>53</v>
      </c>
      <c r="B1153" s="451" t="s">
        <v>54</v>
      </c>
      <c r="C1153" s="453" t="s">
        <v>125</v>
      </c>
      <c r="D1153" s="455" t="s">
        <v>55</v>
      </c>
      <c r="E1153" s="456"/>
      <c r="F1153" s="456"/>
      <c r="G1153" s="457"/>
      <c r="H1153" s="458" t="s">
        <v>56</v>
      </c>
      <c r="I1153" s="460" t="s">
        <v>57</v>
      </c>
      <c r="J1153" s="17"/>
      <c r="L1153" s="5"/>
      <c r="M1153" s="5"/>
      <c r="N1153" s="5"/>
      <c r="O1153" s="5"/>
    </row>
    <row r="1154" spans="1:15" x14ac:dyDescent="0.3">
      <c r="A1154" s="450"/>
      <c r="B1154" s="452"/>
      <c r="C1154" s="454"/>
      <c r="D1154" s="21" t="s">
        <v>24</v>
      </c>
      <c r="E1154" s="21" t="s">
        <v>25</v>
      </c>
      <c r="F1154" s="22" t="s">
        <v>123</v>
      </c>
      <c r="G1154" s="21" t="s">
        <v>58</v>
      </c>
      <c r="H1154" s="459"/>
      <c r="I1154" s="461"/>
      <c r="J1154" s="462" t="s">
        <v>126</v>
      </c>
      <c r="K1154" s="143"/>
      <c r="L1154" s="5"/>
      <c r="M1154" s="5"/>
      <c r="N1154" s="5"/>
      <c r="O1154" s="5"/>
    </row>
    <row r="1155" spans="1:15" x14ac:dyDescent="0.3">
      <c r="A1155" s="23"/>
      <c r="B1155" s="24" t="s">
        <v>59</v>
      </c>
      <c r="C1155" s="25"/>
      <c r="D1155" s="25"/>
      <c r="E1155" s="25"/>
      <c r="F1155" s="25"/>
      <c r="G1155" s="25"/>
      <c r="H1155" s="25"/>
      <c r="I1155" s="26"/>
      <c r="J1155" s="463"/>
      <c r="K1155" s="143"/>
      <c r="L1155" s="5"/>
      <c r="M1155" s="5"/>
      <c r="N1155" s="5"/>
      <c r="O1155" s="5"/>
    </row>
    <row r="1156" spans="1:15" x14ac:dyDescent="0.3">
      <c r="A1156" s="122" t="s">
        <v>127</v>
      </c>
      <c r="B1156" s="127" t="s">
        <v>76</v>
      </c>
      <c r="C1156" s="32">
        <v>-450</v>
      </c>
      <c r="D1156" s="31"/>
      <c r="E1156" s="32">
        <v>168000</v>
      </c>
      <c r="F1156" s="32">
        <v>55000</v>
      </c>
      <c r="G1156" s="32"/>
      <c r="H1156" s="55"/>
      <c r="I1156" s="32">
        <v>182500</v>
      </c>
      <c r="J1156" s="30">
        <f>+SUM(C1156:G1156)-(H1156+I1156)</f>
        <v>40050</v>
      </c>
      <c r="K1156" s="144"/>
      <c r="L1156" s="5"/>
      <c r="M1156" s="5"/>
      <c r="N1156" s="5"/>
      <c r="O1156" s="5"/>
    </row>
    <row r="1157" spans="1:15" x14ac:dyDescent="0.3">
      <c r="A1157" s="122" t="s">
        <v>127</v>
      </c>
      <c r="B1157" s="127" t="s">
        <v>47</v>
      </c>
      <c r="C1157" s="32">
        <v>12510</v>
      </c>
      <c r="D1157" s="31"/>
      <c r="E1157" s="32">
        <v>303000</v>
      </c>
      <c r="F1157" s="32"/>
      <c r="G1157" s="32"/>
      <c r="H1157" s="55"/>
      <c r="I1157" s="32">
        <v>276665</v>
      </c>
      <c r="J1157" s="30">
        <f t="shared" ref="J1157:J1158" si="604">+SUM(C1157:G1157)-(H1157+I1157)</f>
        <v>38845</v>
      </c>
      <c r="K1157" s="144"/>
      <c r="L1157" s="5"/>
      <c r="M1157" s="5"/>
      <c r="N1157" s="5"/>
      <c r="O1157" s="5"/>
    </row>
    <row r="1158" spans="1:15" x14ac:dyDescent="0.3">
      <c r="A1158" s="122" t="s">
        <v>127</v>
      </c>
      <c r="B1158" s="127" t="s">
        <v>31</v>
      </c>
      <c r="C1158" s="32">
        <v>2895</v>
      </c>
      <c r="D1158" s="31"/>
      <c r="E1158" s="32">
        <v>40000</v>
      </c>
      <c r="F1158" s="32"/>
      <c r="G1158" s="32"/>
      <c r="H1158" s="32"/>
      <c r="I1158" s="32">
        <v>36000</v>
      </c>
      <c r="J1158" s="101">
        <f t="shared" si="604"/>
        <v>6895</v>
      </c>
      <c r="K1158" s="144"/>
      <c r="L1158" s="5"/>
      <c r="M1158" s="5"/>
      <c r="N1158" s="5"/>
      <c r="O1158" s="5"/>
    </row>
    <row r="1159" spans="1:15" x14ac:dyDescent="0.3">
      <c r="A1159" s="122" t="s">
        <v>127</v>
      </c>
      <c r="B1159" s="127" t="s">
        <v>77</v>
      </c>
      <c r="C1159" s="32">
        <v>62040</v>
      </c>
      <c r="D1159" s="104"/>
      <c r="E1159" s="32"/>
      <c r="F1159" s="32"/>
      <c r="G1159" s="32"/>
      <c r="H1159" s="32">
        <v>25000</v>
      </c>
      <c r="I1159" s="32">
        <v>8500</v>
      </c>
      <c r="J1159" s="101">
        <f>+SUM(C1159:G1159)-(H1159+I1159)</f>
        <v>28540</v>
      </c>
      <c r="K1159" s="144"/>
      <c r="L1159" s="5"/>
      <c r="M1159" s="5"/>
      <c r="N1159" s="5"/>
      <c r="O1159" s="5"/>
    </row>
    <row r="1160" spans="1:15" x14ac:dyDescent="0.3">
      <c r="A1160" s="122" t="s">
        <v>127</v>
      </c>
      <c r="B1160" s="127" t="s">
        <v>69</v>
      </c>
      <c r="C1160" s="32">
        <v>184</v>
      </c>
      <c r="D1160" s="104"/>
      <c r="E1160" s="32">
        <v>0</v>
      </c>
      <c r="F1160" s="32"/>
      <c r="G1160" s="32"/>
      <c r="H1160" s="32"/>
      <c r="I1160" s="32">
        <v>0</v>
      </c>
      <c r="J1160" s="101">
        <f t="shared" ref="J1160" si="605">+SUM(C1160:G1160)-(H1160+I1160)</f>
        <v>184</v>
      </c>
      <c r="K1160" s="144"/>
      <c r="L1160" s="5"/>
      <c r="M1160" s="5"/>
      <c r="N1160" s="5"/>
      <c r="O1160" s="5"/>
    </row>
    <row r="1161" spans="1:15" x14ac:dyDescent="0.3">
      <c r="A1161" s="122" t="s">
        <v>127</v>
      </c>
      <c r="B1161" s="128" t="s">
        <v>30</v>
      </c>
      <c r="C1161" s="32">
        <v>-36500</v>
      </c>
      <c r="D1161" s="119"/>
      <c r="E1161" s="51">
        <v>523500</v>
      </c>
      <c r="F1161" s="51"/>
      <c r="G1161" s="51"/>
      <c r="H1161" s="51"/>
      <c r="I1161" s="51">
        <v>418800</v>
      </c>
      <c r="J1161" s="124">
        <f>+SUM(C1161:G1161)-(H1161+I1161)</f>
        <v>68200</v>
      </c>
      <c r="K1161" s="144"/>
      <c r="L1161" s="5"/>
      <c r="M1161" s="5"/>
      <c r="N1161" s="5"/>
      <c r="O1161" s="5"/>
    </row>
    <row r="1162" spans="1:15" x14ac:dyDescent="0.3">
      <c r="A1162" s="122" t="s">
        <v>127</v>
      </c>
      <c r="B1162" s="129" t="s">
        <v>84</v>
      </c>
      <c r="C1162" s="120">
        <v>233614</v>
      </c>
      <c r="D1162" s="123"/>
      <c r="E1162" s="137"/>
      <c r="F1162" s="137"/>
      <c r="G1162" s="137"/>
      <c r="H1162" s="137"/>
      <c r="I1162" s="137"/>
      <c r="J1162" s="121">
        <f>+SUM(C1162:G1162)-(H1162+I1162)</f>
        <v>233614</v>
      </c>
      <c r="K1162" s="144"/>
      <c r="L1162" s="5"/>
      <c r="M1162" s="5"/>
      <c r="N1162" s="5"/>
      <c r="O1162" s="5"/>
    </row>
    <row r="1163" spans="1:15" x14ac:dyDescent="0.3">
      <c r="A1163" s="122" t="s">
        <v>127</v>
      </c>
      <c r="B1163" s="129" t="s">
        <v>83</v>
      </c>
      <c r="C1163" s="120">
        <v>249769</v>
      </c>
      <c r="D1163" s="123"/>
      <c r="E1163" s="137"/>
      <c r="F1163" s="137"/>
      <c r="G1163" s="137"/>
      <c r="H1163" s="137"/>
      <c r="I1163" s="137"/>
      <c r="J1163" s="121">
        <f t="shared" ref="J1163:J1168" si="606">+SUM(C1163:G1163)-(H1163+I1163)</f>
        <v>249769</v>
      </c>
      <c r="K1163" s="144"/>
      <c r="L1163" s="5"/>
      <c r="M1163" s="5"/>
      <c r="N1163" s="5"/>
      <c r="O1163" s="5"/>
    </row>
    <row r="1164" spans="1:15" x14ac:dyDescent="0.3">
      <c r="A1164" s="122" t="s">
        <v>127</v>
      </c>
      <c r="B1164" s="127" t="s">
        <v>35</v>
      </c>
      <c r="C1164" s="32">
        <v>71200</v>
      </c>
      <c r="D1164" s="31"/>
      <c r="E1164" s="32">
        <v>1056000</v>
      </c>
      <c r="F1164" s="32"/>
      <c r="G1164" s="104"/>
      <c r="H1164" s="104">
        <v>55000</v>
      </c>
      <c r="I1164" s="32">
        <v>1076875</v>
      </c>
      <c r="J1164" s="30">
        <f t="shared" si="606"/>
        <v>-4675</v>
      </c>
      <c r="K1164" s="144"/>
      <c r="L1164" s="5"/>
      <c r="M1164" s="5"/>
      <c r="N1164" s="5"/>
      <c r="O1164" s="5"/>
    </row>
    <row r="1165" spans="1:15" x14ac:dyDescent="0.3">
      <c r="A1165" s="122" t="s">
        <v>127</v>
      </c>
      <c r="B1165" s="127" t="s">
        <v>93</v>
      </c>
      <c r="C1165" s="32">
        <v>6000</v>
      </c>
      <c r="D1165" s="31"/>
      <c r="E1165" s="32">
        <v>20000</v>
      </c>
      <c r="F1165" s="104"/>
      <c r="G1165" s="104"/>
      <c r="H1165" s="104"/>
      <c r="I1165" s="32">
        <v>21000</v>
      </c>
      <c r="J1165" s="30">
        <f t="shared" si="606"/>
        <v>5000</v>
      </c>
      <c r="K1165" s="144"/>
      <c r="L1165" s="5"/>
      <c r="M1165" s="5"/>
      <c r="N1165" s="5"/>
      <c r="O1165" s="5"/>
    </row>
    <row r="1166" spans="1:15" x14ac:dyDescent="0.3">
      <c r="A1166" s="122" t="s">
        <v>127</v>
      </c>
      <c r="B1166" s="127" t="s">
        <v>29</v>
      </c>
      <c r="C1166" s="32">
        <v>167700</v>
      </c>
      <c r="D1166" s="31"/>
      <c r="E1166" s="32">
        <v>473000</v>
      </c>
      <c r="F1166" s="104"/>
      <c r="G1166" s="104"/>
      <c r="H1166" s="104"/>
      <c r="I1166" s="32">
        <v>567900</v>
      </c>
      <c r="J1166" s="30">
        <f t="shared" si="606"/>
        <v>72800</v>
      </c>
      <c r="K1166" s="144"/>
      <c r="L1166" s="5"/>
      <c r="M1166" s="5"/>
      <c r="N1166" s="5"/>
      <c r="O1166" s="5"/>
    </row>
    <row r="1167" spans="1:15" x14ac:dyDescent="0.3">
      <c r="A1167" s="122" t="s">
        <v>127</v>
      </c>
      <c r="B1167" s="127" t="s">
        <v>32</v>
      </c>
      <c r="C1167" s="32">
        <v>65300</v>
      </c>
      <c r="D1167" s="31"/>
      <c r="E1167" s="32">
        <v>10000</v>
      </c>
      <c r="F1167" s="104"/>
      <c r="G1167" s="104"/>
      <c r="H1167" s="104">
        <v>20000</v>
      </c>
      <c r="I1167" s="32">
        <v>8000</v>
      </c>
      <c r="J1167" s="30">
        <f t="shared" si="606"/>
        <v>47300</v>
      </c>
      <c r="K1167" s="144"/>
      <c r="L1167" s="5"/>
      <c r="M1167" s="5"/>
      <c r="N1167" s="5"/>
      <c r="O1167" s="5"/>
    </row>
    <row r="1168" spans="1:15" x14ac:dyDescent="0.3">
      <c r="A1168" s="122" t="s">
        <v>127</v>
      </c>
      <c r="B1168" s="128" t="s">
        <v>113</v>
      </c>
      <c r="C1168" s="32">
        <v>-11700</v>
      </c>
      <c r="D1168" s="119"/>
      <c r="E1168" s="51">
        <v>385800</v>
      </c>
      <c r="F1168" s="51"/>
      <c r="G1168" s="138"/>
      <c r="H1168" s="51"/>
      <c r="I1168" s="51">
        <v>294500</v>
      </c>
      <c r="J1168" s="30">
        <f t="shared" si="606"/>
        <v>79600</v>
      </c>
      <c r="K1168" s="144"/>
      <c r="L1168" s="5"/>
      <c r="M1168" s="5"/>
      <c r="N1168" s="5"/>
      <c r="O1168" s="5"/>
    </row>
    <row r="1169" spans="1:15" x14ac:dyDescent="0.3">
      <c r="A1169" s="34" t="s">
        <v>60</v>
      </c>
      <c r="B1169" s="35"/>
      <c r="C1169" s="35"/>
      <c r="D1169" s="35"/>
      <c r="E1169" s="35"/>
      <c r="F1169" s="35"/>
      <c r="G1169" s="35"/>
      <c r="H1169" s="35"/>
      <c r="I1169" s="35"/>
      <c r="J1169" s="36"/>
      <c r="K1169" s="143"/>
      <c r="L1169" s="5"/>
      <c r="M1169" s="5"/>
      <c r="N1169" s="5"/>
      <c r="O1169" s="5"/>
    </row>
    <row r="1170" spans="1:15" x14ac:dyDescent="0.3">
      <c r="A1170" s="122" t="s">
        <v>127</v>
      </c>
      <c r="B1170" s="37" t="s">
        <v>61</v>
      </c>
      <c r="C1170" s="38">
        <v>1672959</v>
      </c>
      <c r="D1170" s="49">
        <v>3341000</v>
      </c>
      <c r="E1170" s="103"/>
      <c r="F1170" s="103">
        <v>45000</v>
      </c>
      <c r="G1170" s="139"/>
      <c r="H1170" s="131">
        <v>2979300</v>
      </c>
      <c r="I1170" s="126">
        <v>1611730</v>
      </c>
      <c r="J1170" s="30">
        <f>+SUM(C1170:G1170)-(H1170+I1170)</f>
        <v>467929</v>
      </c>
      <c r="K1170" s="144"/>
      <c r="L1170" s="5"/>
      <c r="M1170" s="5"/>
      <c r="N1170" s="5"/>
      <c r="O1170" s="5"/>
    </row>
    <row r="1171" spans="1:15" x14ac:dyDescent="0.3">
      <c r="A1171" s="43" t="s">
        <v>62</v>
      </c>
      <c r="B1171" s="24"/>
      <c r="C1171" s="35"/>
      <c r="D1171" s="24"/>
      <c r="E1171" s="24"/>
      <c r="F1171" s="24"/>
      <c r="G1171" s="24"/>
      <c r="H1171" s="24"/>
      <c r="I1171" s="24"/>
      <c r="J1171" s="36"/>
      <c r="K1171" s="143"/>
      <c r="L1171" s="5"/>
      <c r="M1171" s="5"/>
      <c r="N1171" s="5"/>
      <c r="O1171" s="5"/>
    </row>
    <row r="1172" spans="1:15" x14ac:dyDescent="0.3">
      <c r="A1172" s="122" t="s">
        <v>127</v>
      </c>
      <c r="B1172" s="37" t="s">
        <v>63</v>
      </c>
      <c r="C1172" s="125">
        <v>2957378</v>
      </c>
      <c r="D1172" s="132">
        <v>7828953</v>
      </c>
      <c r="E1172" s="49"/>
      <c r="F1172" s="49"/>
      <c r="G1172" s="49"/>
      <c r="H1172" s="51">
        <v>3000000</v>
      </c>
      <c r="I1172" s="53">
        <v>380404</v>
      </c>
      <c r="J1172" s="30">
        <f>+SUM(C1172:G1172)-(H1172+I1172)</f>
        <v>7405927</v>
      </c>
      <c r="K1172" s="144"/>
      <c r="L1172" s="5"/>
      <c r="M1172" s="5"/>
      <c r="N1172" s="5"/>
      <c r="O1172" s="5"/>
    </row>
    <row r="1173" spans="1:15" x14ac:dyDescent="0.3">
      <c r="A1173" s="122" t="s">
        <v>127</v>
      </c>
      <c r="B1173" s="37" t="s">
        <v>64</v>
      </c>
      <c r="C1173" s="125">
        <v>28018504</v>
      </c>
      <c r="D1173" s="49"/>
      <c r="E1173" s="48"/>
      <c r="F1173" s="48"/>
      <c r="G1173" s="48"/>
      <c r="H1173" s="32">
        <v>341000</v>
      </c>
      <c r="I1173" s="50">
        <v>4705439</v>
      </c>
      <c r="J1173" s="30">
        <f>SUM(C1173:G1173)-(H1173+I1173)</f>
        <v>22972065</v>
      </c>
      <c r="K1173" s="144"/>
      <c r="L1173" s="5"/>
      <c r="M1173" s="5"/>
      <c r="N1173" s="5"/>
      <c r="O1173" s="5"/>
    </row>
    <row r="1174" spans="1:15" ht="15.6" x14ac:dyDescent="0.3">
      <c r="C1174" s="141">
        <f>SUM(C1156:C1173)</f>
        <v>33471403</v>
      </c>
      <c r="I1174" s="140">
        <f>SUM(I1156:I1173)</f>
        <v>9588313</v>
      </c>
      <c r="J1174" s="105">
        <f>+SUM(J1156:J1173)</f>
        <v>31712043</v>
      </c>
      <c r="L1174" s="5"/>
      <c r="M1174" s="5"/>
      <c r="N1174" s="5"/>
      <c r="O1174" s="5"/>
    </row>
    <row r="1175" spans="1:15" x14ac:dyDescent="0.3">
      <c r="A1175" s="14"/>
      <c r="B1175" s="15"/>
      <c r="C1175" s="12" t="e">
        <f>C1174=C1094</f>
        <v>#REF!</v>
      </c>
      <c r="D1175" s="12"/>
      <c r="E1175" s="13"/>
      <c r="F1175" s="12"/>
      <c r="G1175" s="12"/>
      <c r="H1175" s="12"/>
      <c r="I1175" s="12"/>
      <c r="L1175" s="5"/>
      <c r="M1175" s="5"/>
      <c r="N1175" s="5"/>
      <c r="O1175" s="5"/>
    </row>
    <row r="1176" spans="1:15" x14ac:dyDescent="0.3">
      <c r="A1176" s="16" t="s">
        <v>52</v>
      </c>
      <c r="B1176" s="16"/>
      <c r="C1176" s="16"/>
      <c r="D1176" s="17"/>
      <c r="E1176" s="17"/>
      <c r="F1176" s="17"/>
      <c r="G1176" s="17"/>
      <c r="H1176" s="17"/>
      <c r="I1176" s="17"/>
      <c r="L1176" s="5"/>
      <c r="M1176" s="5"/>
      <c r="N1176" s="5"/>
      <c r="O1176" s="5"/>
    </row>
    <row r="1177" spans="1:15" x14ac:dyDescent="0.3">
      <c r="A1177" s="18" t="s">
        <v>119</v>
      </c>
      <c r="B1177" s="18"/>
      <c r="C1177" s="18"/>
      <c r="D1177" s="18"/>
      <c r="E1177" s="18"/>
      <c r="F1177" s="18"/>
      <c r="G1177" s="18"/>
      <c r="H1177" s="18"/>
      <c r="I1177" s="18"/>
      <c r="J1177" s="17"/>
      <c r="L1177" s="5"/>
      <c r="M1177" s="5"/>
      <c r="N1177" s="5"/>
      <c r="O1177" s="5"/>
    </row>
    <row r="1178" spans="1:15" x14ac:dyDescent="0.3">
      <c r="A1178" s="19"/>
      <c r="B1178" s="17"/>
      <c r="C1178" s="20"/>
      <c r="D1178" s="20"/>
      <c r="E1178" s="20"/>
      <c r="F1178" s="20"/>
      <c r="G1178" s="20"/>
      <c r="H1178" s="17"/>
      <c r="I1178" s="17"/>
      <c r="J1178" s="18"/>
      <c r="L1178" s="5"/>
      <c r="M1178" s="5"/>
      <c r="N1178" s="5"/>
      <c r="O1178" s="5"/>
    </row>
    <row r="1179" spans="1:15" x14ac:dyDescent="0.3">
      <c r="A1179" s="449" t="s">
        <v>53</v>
      </c>
      <c r="B1179" s="451" t="s">
        <v>54</v>
      </c>
      <c r="C1179" s="453" t="s">
        <v>121</v>
      </c>
      <c r="D1179" s="455" t="s">
        <v>55</v>
      </c>
      <c r="E1179" s="456"/>
      <c r="F1179" s="456"/>
      <c r="G1179" s="457"/>
      <c r="H1179" s="458" t="s">
        <v>56</v>
      </c>
      <c r="I1179" s="460" t="s">
        <v>57</v>
      </c>
      <c r="J1179" s="17"/>
      <c r="L1179" s="5"/>
      <c r="M1179" s="5"/>
      <c r="N1179" s="5"/>
      <c r="O1179" s="5"/>
    </row>
    <row r="1180" spans="1:15" x14ac:dyDescent="0.3">
      <c r="A1180" s="450"/>
      <c r="B1180" s="452"/>
      <c r="C1180" s="454"/>
      <c r="D1180" s="21" t="s">
        <v>24</v>
      </c>
      <c r="E1180" s="21" t="s">
        <v>25</v>
      </c>
      <c r="F1180" s="22" t="s">
        <v>123</v>
      </c>
      <c r="G1180" s="21" t="s">
        <v>58</v>
      </c>
      <c r="H1180" s="459"/>
      <c r="I1180" s="461"/>
      <c r="J1180" s="462" t="s">
        <v>122</v>
      </c>
      <c r="K1180" s="143"/>
      <c r="L1180" s="5"/>
      <c r="M1180" s="5"/>
      <c r="N1180" s="5"/>
      <c r="O1180" s="5"/>
    </row>
    <row r="1181" spans="1:15" x14ac:dyDescent="0.3">
      <c r="A1181" s="23"/>
      <c r="B1181" s="24" t="s">
        <v>59</v>
      </c>
      <c r="C1181" s="25"/>
      <c r="D1181" s="25"/>
      <c r="E1181" s="25"/>
      <c r="F1181" s="25"/>
      <c r="G1181" s="25"/>
      <c r="H1181" s="25"/>
      <c r="I1181" s="26"/>
      <c r="J1181" s="463"/>
      <c r="K1181" s="143"/>
      <c r="L1181" s="5"/>
      <c r="M1181" s="5"/>
      <c r="N1181" s="5"/>
      <c r="O1181" s="5"/>
    </row>
    <row r="1182" spans="1:15" x14ac:dyDescent="0.3">
      <c r="A1182" s="122" t="s">
        <v>120</v>
      </c>
      <c r="B1182" s="127" t="s">
        <v>76</v>
      </c>
      <c r="C1182" s="32">
        <v>7670</v>
      </c>
      <c r="D1182" s="31"/>
      <c r="E1182" s="32">
        <v>438000</v>
      </c>
      <c r="F1182" s="32"/>
      <c r="G1182" s="32"/>
      <c r="H1182" s="55">
        <v>40000</v>
      </c>
      <c r="I1182" s="32">
        <v>406120</v>
      </c>
      <c r="J1182" s="30">
        <f>+SUM(C1182:G1182)-(H1182+I1182)</f>
        <v>-450</v>
      </c>
      <c r="K1182" s="144" t="e">
        <f>J1182=#REF!</f>
        <v>#REF!</v>
      </c>
      <c r="L1182" s="5"/>
      <c r="M1182" s="5"/>
      <c r="N1182" s="5"/>
      <c r="O1182" s="5"/>
    </row>
    <row r="1183" spans="1:15" x14ac:dyDescent="0.3">
      <c r="A1183" s="122" t="s">
        <v>120</v>
      </c>
      <c r="B1183" s="127" t="s">
        <v>47</v>
      </c>
      <c r="C1183" s="32">
        <v>4710</v>
      </c>
      <c r="D1183" s="31"/>
      <c r="E1183" s="32">
        <v>303000</v>
      </c>
      <c r="F1183" s="32">
        <f>25000+91000+62000</f>
        <v>178000</v>
      </c>
      <c r="G1183" s="32"/>
      <c r="H1183" s="55">
        <v>29000</v>
      </c>
      <c r="I1183" s="32">
        <v>444200</v>
      </c>
      <c r="J1183" s="30">
        <f t="shared" ref="J1183:J1184" si="607">+SUM(C1183:G1183)-(H1183+I1183)</f>
        <v>12510</v>
      </c>
      <c r="K1183" s="144" t="b">
        <f>J1183=I1083</f>
        <v>0</v>
      </c>
      <c r="L1183" s="5"/>
      <c r="M1183" s="5"/>
      <c r="N1183" s="5"/>
      <c r="O1183" s="5"/>
    </row>
    <row r="1184" spans="1:15" x14ac:dyDescent="0.3">
      <c r="A1184" s="122" t="s">
        <v>120</v>
      </c>
      <c r="B1184" s="127" t="s">
        <v>31</v>
      </c>
      <c r="C1184" s="32">
        <v>9295</v>
      </c>
      <c r="D1184" s="31"/>
      <c r="E1184" s="32">
        <v>743000</v>
      </c>
      <c r="F1184" s="32">
        <v>2000</v>
      </c>
      <c r="G1184" s="32"/>
      <c r="H1184" s="32">
        <f>103000+91000+137000+101000+91000</f>
        <v>523000</v>
      </c>
      <c r="I1184" s="32">
        <v>228400</v>
      </c>
      <c r="J1184" s="101">
        <f t="shared" si="607"/>
        <v>2895</v>
      </c>
      <c r="K1184" s="144" t="b">
        <f>J1184=I1084</f>
        <v>0</v>
      </c>
      <c r="L1184" s="5"/>
      <c r="M1184" s="5"/>
      <c r="N1184" s="5"/>
      <c r="O1184" s="5"/>
    </row>
    <row r="1185" spans="1:15" x14ac:dyDescent="0.3">
      <c r="A1185" s="122" t="s">
        <v>120</v>
      </c>
      <c r="B1185" s="127" t="s">
        <v>77</v>
      </c>
      <c r="C1185" s="32">
        <v>-25100</v>
      </c>
      <c r="D1185" s="104"/>
      <c r="E1185" s="32">
        <v>121100</v>
      </c>
      <c r="F1185" s="32">
        <f>103000+1000+28000+137000</f>
        <v>269000</v>
      </c>
      <c r="G1185" s="32"/>
      <c r="H1185" s="32"/>
      <c r="I1185" s="32">
        <v>302960</v>
      </c>
      <c r="J1185" s="101">
        <f>+SUM(C1185:G1185)-(H1185+I1185)</f>
        <v>62040</v>
      </c>
      <c r="K1185" s="144" t="b">
        <f>J1185=I1085</f>
        <v>0</v>
      </c>
      <c r="L1185" s="5"/>
      <c r="M1185" s="5"/>
      <c r="N1185" s="5"/>
      <c r="O1185" s="5"/>
    </row>
    <row r="1186" spans="1:15" x14ac:dyDescent="0.3">
      <c r="A1186" s="122" t="s">
        <v>120</v>
      </c>
      <c r="B1186" s="127" t="s">
        <v>69</v>
      </c>
      <c r="C1186" s="32">
        <v>7384</v>
      </c>
      <c r="D1186" s="104"/>
      <c r="E1186" s="32">
        <v>319000</v>
      </c>
      <c r="F1186" s="32">
        <v>101000</v>
      </c>
      <c r="G1186" s="32"/>
      <c r="H1186" s="32">
        <v>62000</v>
      </c>
      <c r="I1186" s="32">
        <v>365200</v>
      </c>
      <c r="J1186" s="101">
        <f t="shared" ref="J1186" si="608">+SUM(C1186:G1186)-(H1186+I1186)</f>
        <v>184</v>
      </c>
      <c r="K1186" s="144" t="e">
        <f>J1186=#REF!</f>
        <v>#REF!</v>
      </c>
      <c r="L1186" s="5"/>
      <c r="M1186" s="5"/>
      <c r="N1186" s="5"/>
      <c r="O1186" s="5"/>
    </row>
    <row r="1187" spans="1:15" x14ac:dyDescent="0.3">
      <c r="A1187" s="122" t="s">
        <v>120</v>
      </c>
      <c r="B1187" s="128" t="s">
        <v>30</v>
      </c>
      <c r="C1187" s="32">
        <v>61300</v>
      </c>
      <c r="D1187" s="119"/>
      <c r="E1187" s="51">
        <v>931200</v>
      </c>
      <c r="F1187" s="51"/>
      <c r="G1187" s="51"/>
      <c r="H1187" s="51">
        <v>28000</v>
      </c>
      <c r="I1187" s="51">
        <v>1001000</v>
      </c>
      <c r="J1187" s="124">
        <f>+SUM(C1187:G1187)-(H1187+I1187)</f>
        <v>-36500</v>
      </c>
      <c r="K1187" s="144" t="b">
        <f t="shared" ref="K1187:K1194" si="609">J1187=I1086</f>
        <v>0</v>
      </c>
      <c r="L1187" s="5"/>
      <c r="M1187" s="5"/>
      <c r="N1187" s="5"/>
      <c r="O1187" s="5"/>
    </row>
    <row r="1188" spans="1:15" x14ac:dyDescent="0.3">
      <c r="A1188" s="122" t="s">
        <v>120</v>
      </c>
      <c r="B1188" s="129" t="s">
        <v>84</v>
      </c>
      <c r="C1188" s="120">
        <v>233614</v>
      </c>
      <c r="D1188" s="123"/>
      <c r="E1188" s="137"/>
      <c r="F1188" s="137"/>
      <c r="G1188" s="137"/>
      <c r="H1188" s="137"/>
      <c r="I1188" s="137"/>
      <c r="J1188" s="121">
        <f>+SUM(C1188:G1188)-(H1188+I1188)</f>
        <v>233614</v>
      </c>
      <c r="K1188" s="144" t="b">
        <f t="shared" si="609"/>
        <v>0</v>
      </c>
      <c r="L1188" s="5"/>
      <c r="M1188" s="5"/>
      <c r="N1188" s="5"/>
      <c r="O1188" s="5"/>
    </row>
    <row r="1189" spans="1:15" x14ac:dyDescent="0.3">
      <c r="A1189" s="122" t="s">
        <v>120</v>
      </c>
      <c r="B1189" s="129" t="s">
        <v>83</v>
      </c>
      <c r="C1189" s="120">
        <v>249769</v>
      </c>
      <c r="D1189" s="123"/>
      <c r="E1189" s="137"/>
      <c r="F1189" s="137"/>
      <c r="G1189" s="137"/>
      <c r="H1189" s="137"/>
      <c r="I1189" s="137"/>
      <c r="J1189" s="121">
        <f t="shared" ref="J1189:J1192" si="610">+SUM(C1189:G1189)-(H1189+I1189)</f>
        <v>249769</v>
      </c>
      <c r="K1189" s="144" t="b">
        <f t="shared" si="609"/>
        <v>0</v>
      </c>
      <c r="L1189" s="5"/>
      <c r="M1189" s="5"/>
      <c r="N1189" s="5"/>
      <c r="O1189" s="5"/>
    </row>
    <row r="1190" spans="1:15" x14ac:dyDescent="0.3">
      <c r="A1190" s="122" t="s">
        <v>120</v>
      </c>
      <c r="B1190" s="127" t="s">
        <v>35</v>
      </c>
      <c r="C1190" s="32">
        <v>4500</v>
      </c>
      <c r="D1190" s="31"/>
      <c r="E1190" s="32">
        <v>234000</v>
      </c>
      <c r="F1190" s="32">
        <v>40000</v>
      </c>
      <c r="G1190" s="104"/>
      <c r="H1190" s="104"/>
      <c r="I1190" s="32">
        <v>207300</v>
      </c>
      <c r="J1190" s="30">
        <f t="shared" si="610"/>
        <v>71200</v>
      </c>
      <c r="K1190" s="144" t="b">
        <f t="shared" si="609"/>
        <v>0</v>
      </c>
      <c r="L1190" s="5"/>
      <c r="M1190" s="5"/>
      <c r="N1190" s="5"/>
      <c r="O1190" s="5"/>
    </row>
    <row r="1191" spans="1:15" x14ac:dyDescent="0.3">
      <c r="A1191" s="122" t="s">
        <v>120</v>
      </c>
      <c r="B1191" s="127" t="s">
        <v>93</v>
      </c>
      <c r="C1191" s="32">
        <v>-6000</v>
      </c>
      <c r="D1191" s="31"/>
      <c r="E1191" s="32">
        <v>61000</v>
      </c>
      <c r="F1191" s="104"/>
      <c r="G1191" s="104"/>
      <c r="H1191" s="104"/>
      <c r="I1191" s="32">
        <v>49000</v>
      </c>
      <c r="J1191" s="30">
        <f t="shared" si="610"/>
        <v>6000</v>
      </c>
      <c r="K1191" s="144" t="b">
        <f t="shared" si="609"/>
        <v>0</v>
      </c>
      <c r="L1191" s="5"/>
      <c r="M1191" s="5"/>
      <c r="N1191" s="5"/>
      <c r="O1191" s="5"/>
    </row>
    <row r="1192" spans="1:15" x14ac:dyDescent="0.3">
      <c r="A1192" s="122" t="s">
        <v>120</v>
      </c>
      <c r="B1192" s="127" t="s">
        <v>29</v>
      </c>
      <c r="C1192" s="32">
        <v>72200</v>
      </c>
      <c r="D1192" s="31"/>
      <c r="E1192" s="32">
        <v>722000</v>
      </c>
      <c r="F1192" s="104"/>
      <c r="G1192" s="104"/>
      <c r="H1192" s="104"/>
      <c r="I1192" s="32">
        <v>626500</v>
      </c>
      <c r="J1192" s="30">
        <f t="shared" si="610"/>
        <v>167700</v>
      </c>
      <c r="K1192" s="144" t="b">
        <f t="shared" si="609"/>
        <v>0</v>
      </c>
      <c r="L1192" s="5"/>
      <c r="M1192" s="5"/>
      <c r="N1192" s="5"/>
      <c r="O1192" s="5"/>
    </row>
    <row r="1193" spans="1:15" x14ac:dyDescent="0.3">
      <c r="A1193" s="122" t="s">
        <v>120</v>
      </c>
      <c r="B1193" s="127" t="s">
        <v>32</v>
      </c>
      <c r="C1193" s="32">
        <v>9300</v>
      </c>
      <c r="D1193" s="31"/>
      <c r="E1193" s="32">
        <v>60000</v>
      </c>
      <c r="F1193" s="104"/>
      <c r="G1193" s="104"/>
      <c r="H1193" s="104"/>
      <c r="I1193" s="32">
        <v>4000</v>
      </c>
      <c r="J1193" s="30">
        <f t="shared" ref="J1193:J1194" si="611">+SUM(C1193:G1193)-(H1193+I1193)</f>
        <v>65300</v>
      </c>
      <c r="K1193" s="144" t="b">
        <f t="shared" si="609"/>
        <v>0</v>
      </c>
      <c r="L1193" s="5"/>
      <c r="M1193" s="5"/>
      <c r="N1193" s="5"/>
      <c r="O1193" s="5"/>
    </row>
    <row r="1194" spans="1:15" x14ac:dyDescent="0.3">
      <c r="A1194" s="122" t="s">
        <v>120</v>
      </c>
      <c r="B1194" s="128" t="s">
        <v>113</v>
      </c>
      <c r="C1194" s="32">
        <v>-14000</v>
      </c>
      <c r="D1194" s="119"/>
      <c r="E1194" s="51">
        <v>378000</v>
      </c>
      <c r="F1194" s="51">
        <f>29000+91000</f>
        <v>120000</v>
      </c>
      <c r="G1194" s="138"/>
      <c r="H1194" s="51">
        <f>2000+1000+25000</f>
        <v>28000</v>
      </c>
      <c r="I1194" s="51">
        <v>467700</v>
      </c>
      <c r="J1194" s="30">
        <f t="shared" si="611"/>
        <v>-11700</v>
      </c>
      <c r="K1194" s="144" t="b">
        <f t="shared" si="609"/>
        <v>0</v>
      </c>
      <c r="L1194" s="5"/>
      <c r="M1194" s="5"/>
      <c r="N1194" s="5"/>
      <c r="O1194" s="5"/>
    </row>
    <row r="1195" spans="1:15" x14ac:dyDescent="0.3">
      <c r="A1195" s="34" t="s">
        <v>60</v>
      </c>
      <c r="B1195" s="35"/>
      <c r="C1195" s="35"/>
      <c r="D1195" s="35"/>
      <c r="E1195" s="35"/>
      <c r="F1195" s="35"/>
      <c r="G1195" s="35"/>
      <c r="H1195" s="35"/>
      <c r="I1195" s="35"/>
      <c r="J1195" s="36"/>
      <c r="K1195" s="143"/>
      <c r="L1195" s="5"/>
      <c r="M1195" s="5"/>
      <c r="N1195" s="5"/>
      <c r="O1195" s="5"/>
    </row>
    <row r="1196" spans="1:15" x14ac:dyDescent="0.3">
      <c r="A1196" s="122" t="s">
        <v>120</v>
      </c>
      <c r="B1196" s="37" t="s">
        <v>61</v>
      </c>
      <c r="C1196" s="38">
        <v>1148337</v>
      </c>
      <c r="D1196" s="49">
        <v>7000000</v>
      </c>
      <c r="E1196" s="103"/>
      <c r="F1196" s="103"/>
      <c r="G1196" s="139"/>
      <c r="H1196" s="131">
        <v>4310300</v>
      </c>
      <c r="I1196" s="126">
        <v>2165078</v>
      </c>
      <c r="J1196" s="30">
        <f>+SUM(C1196:G1196)-(H1196+I1196)</f>
        <v>1672959</v>
      </c>
      <c r="K1196" s="144" t="b">
        <f>J1196=I1082</f>
        <v>0</v>
      </c>
      <c r="L1196" s="5"/>
      <c r="M1196" s="5"/>
      <c r="N1196" s="5"/>
      <c r="O1196" s="5"/>
    </row>
    <row r="1197" spans="1:15" x14ac:dyDescent="0.3">
      <c r="A1197" s="43" t="s">
        <v>62</v>
      </c>
      <c r="B1197" s="24"/>
      <c r="C1197" s="35"/>
      <c r="D1197" s="24"/>
      <c r="E1197" s="24"/>
      <c r="F1197" s="24"/>
      <c r="G1197" s="24"/>
      <c r="H1197" s="24"/>
      <c r="I1197" s="24"/>
      <c r="J1197" s="36"/>
      <c r="K1197" s="143"/>
      <c r="L1197" s="5"/>
      <c r="M1197" s="5"/>
      <c r="N1197" s="5"/>
      <c r="O1197" s="5"/>
    </row>
    <row r="1198" spans="1:15" x14ac:dyDescent="0.3">
      <c r="A1198" s="122" t="s">
        <v>120</v>
      </c>
      <c r="B1198" s="37" t="s">
        <v>63</v>
      </c>
      <c r="C1198" s="125">
        <v>10113263</v>
      </c>
      <c r="D1198" s="132">
        <v>0</v>
      </c>
      <c r="E1198" s="49"/>
      <c r="F1198" s="49"/>
      <c r="G1198" s="49"/>
      <c r="H1198" s="51">
        <v>7000000</v>
      </c>
      <c r="I1198" s="53">
        <v>155885</v>
      </c>
      <c r="J1198" s="30">
        <f>+SUM(C1198:G1198)-(H1198+I1198)</f>
        <v>2957378</v>
      </c>
      <c r="K1198" s="144" t="e">
        <f>+J1198=#REF!</f>
        <v>#REF!</v>
      </c>
      <c r="L1198" s="5"/>
      <c r="M1198" s="5"/>
      <c r="N1198" s="5"/>
      <c r="O1198" s="5"/>
    </row>
    <row r="1199" spans="1:15" x14ac:dyDescent="0.3">
      <c r="A1199" s="122" t="s">
        <v>120</v>
      </c>
      <c r="B1199" s="37" t="s">
        <v>64</v>
      </c>
      <c r="C1199" s="125">
        <v>6219904</v>
      </c>
      <c r="D1199" s="49">
        <v>28506579</v>
      </c>
      <c r="E1199" s="48"/>
      <c r="F1199" s="48"/>
      <c r="G1199" s="48"/>
      <c r="H1199" s="32"/>
      <c r="I1199" s="50">
        <v>6707979</v>
      </c>
      <c r="J1199" s="30">
        <f>SUM(C1199:G1199)-(H1199+I1199)</f>
        <v>28018504</v>
      </c>
      <c r="K1199" s="144" t="b">
        <f>+J1199=I1081</f>
        <v>0</v>
      </c>
      <c r="L1199" s="5"/>
      <c r="M1199" s="5"/>
      <c r="N1199" s="5"/>
      <c r="O1199" s="5"/>
    </row>
    <row r="1200" spans="1:15" ht="15.6" x14ac:dyDescent="0.3">
      <c r="C1200" s="141">
        <f>SUM(C1182:C1199)</f>
        <v>18096146</v>
      </c>
      <c r="I1200" s="140">
        <f>SUM(I1182:I1199)</f>
        <v>13131322</v>
      </c>
      <c r="J1200" s="105">
        <f>+SUM(J1182:J1199)</f>
        <v>33471403</v>
      </c>
      <c r="K1200" s="5" t="b">
        <f>J1200=I1094</f>
        <v>0</v>
      </c>
      <c r="L1200" s="5"/>
      <c r="M1200" s="5"/>
      <c r="N1200" s="5"/>
      <c r="O1200" s="5"/>
    </row>
    <row r="1201" spans="1:15" x14ac:dyDescent="0.3">
      <c r="A1201" s="14"/>
      <c r="B1201" s="15"/>
      <c r="C1201" s="12" t="e">
        <f>C1200=C1094</f>
        <v>#REF!</v>
      </c>
      <c r="D1201" s="12"/>
      <c r="E1201" s="13"/>
      <c r="F1201" s="12"/>
      <c r="G1201" s="12"/>
      <c r="H1201" s="12"/>
      <c r="I1201" s="12"/>
      <c r="L1201" s="5"/>
      <c r="M1201" s="5"/>
      <c r="N1201" s="5"/>
      <c r="O1201" s="5"/>
    </row>
    <row r="1202" spans="1:15" x14ac:dyDescent="0.3">
      <c r="A1202" s="14"/>
      <c r="B1202" s="15"/>
      <c r="C1202" s="12"/>
      <c r="D1202" s="12"/>
      <c r="E1202" s="13"/>
      <c r="F1202" s="12"/>
      <c r="G1202" s="12"/>
      <c r="H1202" s="12"/>
      <c r="I1202" s="12"/>
      <c r="L1202" s="5"/>
      <c r="M1202" s="5"/>
      <c r="N1202" s="5"/>
      <c r="O1202" s="5"/>
    </row>
    <row r="1203" spans="1:15" x14ac:dyDescent="0.3">
      <c r="A1203" s="16" t="s">
        <v>52</v>
      </c>
      <c r="B1203" s="16"/>
      <c r="C1203" s="16"/>
      <c r="D1203" s="17"/>
      <c r="E1203" s="17"/>
      <c r="F1203" s="17"/>
      <c r="G1203" s="17"/>
      <c r="H1203" s="17"/>
      <c r="I1203" s="17"/>
      <c r="L1203" s="5"/>
      <c r="M1203" s="5"/>
      <c r="N1203" s="5"/>
      <c r="O1203" s="5"/>
    </row>
    <row r="1204" spans="1:15" x14ac:dyDescent="0.3">
      <c r="A1204" s="18" t="s">
        <v>114</v>
      </c>
      <c r="B1204" s="18"/>
      <c r="C1204" s="18"/>
      <c r="D1204" s="18"/>
      <c r="E1204" s="18"/>
      <c r="F1204" s="18"/>
      <c r="G1204" s="18"/>
      <c r="H1204" s="18"/>
      <c r="I1204" s="18"/>
      <c r="J1204" s="17"/>
      <c r="L1204" s="5"/>
      <c r="M1204" s="5"/>
      <c r="N1204" s="5"/>
      <c r="O1204" s="5"/>
    </row>
    <row r="1205" spans="1:15" x14ac:dyDescent="0.3">
      <c r="A1205" s="19"/>
      <c r="B1205" s="17"/>
      <c r="C1205" s="20"/>
      <c r="D1205" s="20"/>
      <c r="E1205" s="20"/>
      <c r="F1205" s="20"/>
      <c r="G1205" s="20"/>
      <c r="H1205" s="17"/>
      <c r="I1205" s="17"/>
      <c r="J1205" s="18"/>
      <c r="L1205" s="5"/>
      <c r="M1205" s="5"/>
      <c r="N1205" s="5"/>
      <c r="O1205" s="5"/>
    </row>
    <row r="1206" spans="1:15" x14ac:dyDescent="0.3">
      <c r="A1206" s="449" t="s">
        <v>53</v>
      </c>
      <c r="B1206" s="451" t="s">
        <v>54</v>
      </c>
      <c r="C1206" s="453" t="s">
        <v>116</v>
      </c>
      <c r="D1206" s="455" t="s">
        <v>55</v>
      </c>
      <c r="E1206" s="456"/>
      <c r="F1206" s="456"/>
      <c r="G1206" s="457"/>
      <c r="H1206" s="458" t="s">
        <v>56</v>
      </c>
      <c r="I1206" s="460" t="s">
        <v>57</v>
      </c>
      <c r="J1206" s="17"/>
      <c r="L1206" s="5"/>
      <c r="M1206" s="5"/>
      <c r="N1206" s="5"/>
      <c r="O1206" s="5"/>
    </row>
    <row r="1207" spans="1:15" x14ac:dyDescent="0.3">
      <c r="A1207" s="450"/>
      <c r="B1207" s="452"/>
      <c r="C1207" s="454"/>
      <c r="D1207" s="21" t="s">
        <v>24</v>
      </c>
      <c r="E1207" s="21" t="s">
        <v>25</v>
      </c>
      <c r="F1207" s="22" t="s">
        <v>118</v>
      </c>
      <c r="G1207" s="21" t="s">
        <v>58</v>
      </c>
      <c r="H1207" s="459"/>
      <c r="I1207" s="461"/>
      <c r="J1207" s="462" t="s">
        <v>117</v>
      </c>
      <c r="L1207" s="5"/>
      <c r="M1207" s="5"/>
      <c r="N1207" s="5"/>
      <c r="O1207" s="5"/>
    </row>
    <row r="1208" spans="1:15" x14ac:dyDescent="0.3">
      <c r="A1208" s="23"/>
      <c r="B1208" s="24" t="s">
        <v>59</v>
      </c>
      <c r="C1208" s="25"/>
      <c r="D1208" s="25"/>
      <c r="E1208" s="25"/>
      <c r="F1208" s="25"/>
      <c r="G1208" s="25"/>
      <c r="H1208" s="25"/>
      <c r="I1208" s="26"/>
      <c r="J1208" s="463"/>
      <c r="L1208" s="5"/>
      <c r="M1208" s="5"/>
      <c r="N1208" s="5"/>
      <c r="O1208" s="5"/>
    </row>
    <row r="1209" spans="1:15" x14ac:dyDescent="0.3">
      <c r="A1209" s="122" t="s">
        <v>115</v>
      </c>
      <c r="B1209" s="127" t="s">
        <v>76</v>
      </c>
      <c r="C1209" s="32">
        <v>3670</v>
      </c>
      <c r="D1209" s="31"/>
      <c r="E1209" s="32">
        <v>118000</v>
      </c>
      <c r="F1209" s="32">
        <v>4000</v>
      </c>
      <c r="G1209" s="32"/>
      <c r="H1209" s="55"/>
      <c r="I1209" s="32">
        <v>118000</v>
      </c>
      <c r="J1209" s="30">
        <f>+SUM(C1209:G1209)-(H1209+I1209)</f>
        <v>7670</v>
      </c>
      <c r="K1209" s="142"/>
      <c r="L1209" s="5"/>
      <c r="M1209" s="5"/>
      <c r="N1209" s="5"/>
      <c r="O1209" s="5"/>
    </row>
    <row r="1210" spans="1:15" x14ac:dyDescent="0.3">
      <c r="A1210" s="122" t="s">
        <v>115</v>
      </c>
      <c r="B1210" s="127" t="s">
        <v>47</v>
      </c>
      <c r="C1210" s="32">
        <v>-540</v>
      </c>
      <c r="D1210" s="31"/>
      <c r="E1210" s="32">
        <v>209750</v>
      </c>
      <c r="F1210" s="32">
        <v>5000</v>
      </c>
      <c r="G1210" s="32"/>
      <c r="H1210" s="55"/>
      <c r="I1210" s="32">
        <v>209500</v>
      </c>
      <c r="J1210" s="30">
        <f t="shared" ref="J1210:J1211" si="612">+SUM(C1210:G1210)-(H1210+I1210)</f>
        <v>4710</v>
      </c>
      <c r="K1210" s="142"/>
      <c r="L1210" s="5"/>
      <c r="M1210" s="5"/>
      <c r="N1210" s="5"/>
      <c r="O1210" s="5"/>
    </row>
    <row r="1211" spans="1:15" x14ac:dyDescent="0.3">
      <c r="A1211" s="122" t="s">
        <v>115</v>
      </c>
      <c r="B1211" s="127" t="s">
        <v>31</v>
      </c>
      <c r="C1211" s="32">
        <v>2395</v>
      </c>
      <c r="D1211" s="31"/>
      <c r="E1211" s="32">
        <v>70000</v>
      </c>
      <c r="F1211" s="32">
        <v>4000</v>
      </c>
      <c r="G1211" s="32"/>
      <c r="H1211" s="32"/>
      <c r="I1211" s="32">
        <v>67100</v>
      </c>
      <c r="J1211" s="101">
        <f t="shared" si="612"/>
        <v>9295</v>
      </c>
      <c r="K1211" s="142"/>
      <c r="L1211" s="5"/>
      <c r="M1211" s="5"/>
      <c r="N1211" s="5"/>
      <c r="O1211" s="5"/>
    </row>
    <row r="1212" spans="1:15" x14ac:dyDescent="0.3">
      <c r="A1212" s="122" t="s">
        <v>115</v>
      </c>
      <c r="B1212" s="127" t="s">
        <v>77</v>
      </c>
      <c r="C1212" s="32">
        <v>96100</v>
      </c>
      <c r="D1212" s="104"/>
      <c r="E1212" s="32">
        <v>488100</v>
      </c>
      <c r="F1212" s="32">
        <v>4000</v>
      </c>
      <c r="G1212" s="32"/>
      <c r="H1212" s="32">
        <v>61600</v>
      </c>
      <c r="I1212" s="32">
        <v>551700</v>
      </c>
      <c r="J1212" s="101">
        <f>+SUM(C1212:G1212)-(H1212+I1212)</f>
        <v>-25100</v>
      </c>
      <c r="K1212" s="142"/>
      <c r="L1212" s="5"/>
      <c r="M1212" s="5"/>
      <c r="N1212" s="5"/>
      <c r="O1212" s="5"/>
    </row>
    <row r="1213" spans="1:15" x14ac:dyDescent="0.3">
      <c r="A1213" s="122" t="s">
        <v>115</v>
      </c>
      <c r="B1213" s="127" t="s">
        <v>69</v>
      </c>
      <c r="C1213" s="32">
        <v>13884</v>
      </c>
      <c r="D1213" s="104"/>
      <c r="E1213" s="32">
        <v>194000</v>
      </c>
      <c r="F1213" s="32"/>
      <c r="G1213" s="32"/>
      <c r="H1213" s="32">
        <v>17000</v>
      </c>
      <c r="I1213" s="32">
        <v>183500</v>
      </c>
      <c r="J1213" s="101">
        <f t="shared" ref="J1213" si="613">+SUM(C1213:G1213)-(H1213+I1213)</f>
        <v>7384</v>
      </c>
      <c r="K1213" s="142"/>
      <c r="L1213" s="5"/>
      <c r="M1213" s="5"/>
      <c r="N1213" s="5"/>
      <c r="O1213" s="5"/>
    </row>
    <row r="1214" spans="1:15" x14ac:dyDescent="0.3">
      <c r="A1214" s="122" t="s">
        <v>115</v>
      </c>
      <c r="B1214" s="128" t="s">
        <v>30</v>
      </c>
      <c r="C1214" s="32">
        <v>72400</v>
      </c>
      <c r="D1214" s="119"/>
      <c r="E1214" s="51">
        <v>599900</v>
      </c>
      <c r="F1214" s="51"/>
      <c r="G1214" s="51"/>
      <c r="H1214" s="51"/>
      <c r="I1214" s="51">
        <v>611000</v>
      </c>
      <c r="J1214" s="124">
        <f>+SUM(C1214:G1214)-(H1214+I1214)</f>
        <v>61300</v>
      </c>
      <c r="K1214" s="142"/>
      <c r="L1214" s="5"/>
      <c r="M1214" s="5"/>
      <c r="N1214" s="5"/>
      <c r="O1214" s="5"/>
    </row>
    <row r="1215" spans="1:15" x14ac:dyDescent="0.3">
      <c r="A1215" s="122" t="s">
        <v>115</v>
      </c>
      <c r="B1215" s="129" t="s">
        <v>84</v>
      </c>
      <c r="C1215" s="120">
        <v>233614</v>
      </c>
      <c r="D1215" s="123"/>
      <c r="E1215" s="137"/>
      <c r="F1215" s="137"/>
      <c r="G1215" s="137"/>
      <c r="H1215" s="137"/>
      <c r="I1215" s="137"/>
      <c r="J1215" s="121">
        <f>+SUM(C1215:G1215)-(H1215+I1215)</f>
        <v>233614</v>
      </c>
      <c r="K1215" s="142"/>
      <c r="L1215" s="5"/>
      <c r="M1215" s="5"/>
      <c r="N1215" s="5"/>
      <c r="O1215" s="5"/>
    </row>
    <row r="1216" spans="1:15" x14ac:dyDescent="0.3">
      <c r="A1216" s="122" t="s">
        <v>115</v>
      </c>
      <c r="B1216" s="129" t="s">
        <v>83</v>
      </c>
      <c r="C1216" s="120">
        <v>249769</v>
      </c>
      <c r="D1216" s="123"/>
      <c r="E1216" s="137"/>
      <c r="F1216" s="137"/>
      <c r="G1216" s="137"/>
      <c r="H1216" s="137"/>
      <c r="I1216" s="137"/>
      <c r="J1216" s="121">
        <f t="shared" ref="J1216:J1223" si="614">+SUM(C1216:G1216)-(H1216+I1216)</f>
        <v>249769</v>
      </c>
      <c r="K1216" s="142"/>
      <c r="L1216" s="5"/>
      <c r="M1216" s="5"/>
      <c r="N1216" s="5"/>
      <c r="O1216" s="5"/>
    </row>
    <row r="1217" spans="1:15" x14ac:dyDescent="0.3">
      <c r="A1217" s="122" t="s">
        <v>115</v>
      </c>
      <c r="B1217" s="127" t="s">
        <v>35</v>
      </c>
      <c r="C1217" s="32">
        <v>18490</v>
      </c>
      <c r="D1217" s="31"/>
      <c r="E1217" s="32">
        <v>796460</v>
      </c>
      <c r="F1217" s="32">
        <v>61600</v>
      </c>
      <c r="G1217" s="104"/>
      <c r="H1217" s="104"/>
      <c r="I1217" s="32">
        <v>872050</v>
      </c>
      <c r="J1217" s="30">
        <f t="shared" si="614"/>
        <v>4500</v>
      </c>
      <c r="K1217" s="142"/>
      <c r="L1217" s="5"/>
      <c r="M1217" s="5"/>
      <c r="N1217" s="5"/>
      <c r="O1217" s="5"/>
    </row>
    <row r="1218" spans="1:15" x14ac:dyDescent="0.3">
      <c r="A1218" s="122" t="s">
        <v>115</v>
      </c>
      <c r="B1218" s="127" t="s">
        <v>93</v>
      </c>
      <c r="C1218" s="32">
        <v>4500</v>
      </c>
      <c r="D1218" s="31"/>
      <c r="E1218" s="32">
        <v>40000</v>
      </c>
      <c r="F1218" s="104"/>
      <c r="G1218" s="104"/>
      <c r="H1218" s="104"/>
      <c r="I1218" s="32">
        <v>50500</v>
      </c>
      <c r="J1218" s="30">
        <f t="shared" si="614"/>
        <v>-6000</v>
      </c>
      <c r="K1218" s="142"/>
      <c r="L1218" s="5"/>
      <c r="M1218" s="5"/>
      <c r="N1218" s="5"/>
      <c r="O1218" s="5"/>
    </row>
    <row r="1219" spans="1:15" x14ac:dyDescent="0.3">
      <c r="A1219" s="122" t="s">
        <v>115</v>
      </c>
      <c r="B1219" s="127" t="s">
        <v>29</v>
      </c>
      <c r="C1219" s="32">
        <v>44200</v>
      </c>
      <c r="D1219" s="31"/>
      <c r="E1219" s="32">
        <v>60000</v>
      </c>
      <c r="F1219" s="104"/>
      <c r="G1219" s="104"/>
      <c r="H1219" s="104"/>
      <c r="I1219" s="32">
        <v>32000</v>
      </c>
      <c r="J1219" s="30">
        <f t="shared" si="614"/>
        <v>72200</v>
      </c>
      <c r="K1219" s="142"/>
      <c r="L1219" s="5"/>
      <c r="M1219" s="5"/>
      <c r="N1219" s="5"/>
      <c r="O1219" s="5"/>
    </row>
    <row r="1220" spans="1:15" x14ac:dyDescent="0.3">
      <c r="A1220" s="122" t="s">
        <v>115</v>
      </c>
      <c r="B1220" s="127" t="s">
        <v>94</v>
      </c>
      <c r="C1220" s="32">
        <v>-851709</v>
      </c>
      <c r="D1220" s="31"/>
      <c r="E1220" s="32">
        <v>851709</v>
      </c>
      <c r="F1220" s="104"/>
      <c r="G1220" s="104"/>
      <c r="H1220" s="104"/>
      <c r="I1220" s="32"/>
      <c r="J1220" s="30">
        <f>+SUM(C1220:G1220)-(H1220+I1220)</f>
        <v>0</v>
      </c>
      <c r="K1220" s="142"/>
      <c r="L1220" s="5"/>
      <c r="M1220" s="5"/>
      <c r="N1220" s="5"/>
      <c r="O1220" s="5"/>
    </row>
    <row r="1221" spans="1:15" x14ac:dyDescent="0.3">
      <c r="A1221" s="122" t="s">
        <v>115</v>
      </c>
      <c r="B1221" s="127" t="s">
        <v>101</v>
      </c>
      <c r="C1221" s="32">
        <v>90300</v>
      </c>
      <c r="D1221" s="31"/>
      <c r="E1221" s="32">
        <v>69200</v>
      </c>
      <c r="F1221" s="104"/>
      <c r="G1221" s="104"/>
      <c r="H1221" s="104"/>
      <c r="I1221" s="32">
        <v>159500</v>
      </c>
      <c r="J1221" s="30">
        <f t="shared" si="614"/>
        <v>0</v>
      </c>
      <c r="K1221" s="142"/>
      <c r="L1221" s="5"/>
      <c r="M1221" s="5"/>
      <c r="N1221" s="5"/>
      <c r="O1221" s="5"/>
    </row>
    <row r="1222" spans="1:15" x14ac:dyDescent="0.3">
      <c r="A1222" s="122" t="s">
        <v>115</v>
      </c>
      <c r="B1222" s="127" t="s">
        <v>32</v>
      </c>
      <c r="C1222" s="32">
        <v>300</v>
      </c>
      <c r="D1222" s="31"/>
      <c r="E1222" s="32">
        <v>20000</v>
      </c>
      <c r="F1222" s="104"/>
      <c r="G1222" s="104"/>
      <c r="H1222" s="104"/>
      <c r="I1222" s="32">
        <v>11000</v>
      </c>
      <c r="J1222" s="30">
        <f t="shared" si="614"/>
        <v>9300</v>
      </c>
      <c r="K1222" s="142"/>
      <c r="L1222" s="5"/>
      <c r="M1222" s="5"/>
      <c r="N1222" s="5"/>
      <c r="O1222" s="5"/>
    </row>
    <row r="1223" spans="1:15" x14ac:dyDescent="0.3">
      <c r="A1223" s="122" t="s">
        <v>115</v>
      </c>
      <c r="B1223" s="128" t="s">
        <v>113</v>
      </c>
      <c r="C1223" s="32">
        <v>0</v>
      </c>
      <c r="D1223" s="119"/>
      <c r="E1223" s="136"/>
      <c r="F1223" s="136"/>
      <c r="G1223" s="138"/>
      <c r="H1223" s="136"/>
      <c r="I1223" s="51">
        <v>14000</v>
      </c>
      <c r="J1223" s="30">
        <f t="shared" si="614"/>
        <v>-14000</v>
      </c>
      <c r="K1223" s="142"/>
      <c r="L1223" s="5"/>
      <c r="M1223" s="5"/>
      <c r="N1223" s="5"/>
      <c r="O1223" s="5"/>
    </row>
    <row r="1224" spans="1:15" x14ac:dyDescent="0.3">
      <c r="A1224" s="34" t="s">
        <v>60</v>
      </c>
      <c r="B1224" s="35"/>
      <c r="C1224" s="35"/>
      <c r="D1224" s="35"/>
      <c r="E1224" s="35"/>
      <c r="F1224" s="35"/>
      <c r="G1224" s="35"/>
      <c r="H1224" s="35"/>
      <c r="I1224" s="35"/>
      <c r="J1224" s="36"/>
      <c r="L1224" s="5"/>
      <c r="M1224" s="5"/>
      <c r="N1224" s="5"/>
      <c r="O1224" s="5"/>
    </row>
    <row r="1225" spans="1:15" x14ac:dyDescent="0.3">
      <c r="A1225" s="122" t="s">
        <v>115</v>
      </c>
      <c r="B1225" s="37" t="s">
        <v>61</v>
      </c>
      <c r="C1225" s="38" t="e">
        <f>C1082</f>
        <v>#REF!</v>
      </c>
      <c r="D1225" s="49">
        <v>5872000</v>
      </c>
      <c r="E1225" s="103"/>
      <c r="F1225" s="103"/>
      <c r="G1225" s="139"/>
      <c r="H1225" s="131">
        <v>3517119</v>
      </c>
      <c r="I1225" s="126">
        <v>1523260</v>
      </c>
      <c r="J1225" s="30" t="e">
        <f>+SUM(C1225:G1225)-(H1225+I1225)</f>
        <v>#REF!</v>
      </c>
      <c r="K1225" s="142"/>
      <c r="L1225" s="5"/>
      <c r="M1225" s="5"/>
      <c r="N1225" s="5"/>
      <c r="O1225" s="5"/>
    </row>
    <row r="1226" spans="1:15" x14ac:dyDescent="0.3">
      <c r="A1226" s="43" t="s">
        <v>62</v>
      </c>
      <c r="B1226" s="24"/>
      <c r="C1226" s="35"/>
      <c r="D1226" s="24"/>
      <c r="E1226" s="24"/>
      <c r="F1226" s="24"/>
      <c r="G1226" s="24"/>
      <c r="H1226" s="24"/>
      <c r="I1226" s="24"/>
      <c r="J1226" s="36"/>
      <c r="L1226" s="5"/>
      <c r="M1226" s="5"/>
      <c r="N1226" s="5"/>
      <c r="O1226" s="5"/>
    </row>
    <row r="1227" spans="1:15" x14ac:dyDescent="0.3">
      <c r="A1227" s="122" t="s">
        <v>115</v>
      </c>
      <c r="B1227" s="37" t="s">
        <v>63</v>
      </c>
      <c r="C1227" s="125" t="e">
        <f>#REF!</f>
        <v>#REF!</v>
      </c>
      <c r="D1227" s="132">
        <v>10380044</v>
      </c>
      <c r="E1227" s="49"/>
      <c r="F1227" s="49"/>
      <c r="G1227" s="49"/>
      <c r="H1227" s="51">
        <v>5500000</v>
      </c>
      <c r="I1227" s="53">
        <v>277455</v>
      </c>
      <c r="J1227" s="30" t="e">
        <f>+SUM(C1227:G1227)-(H1227+I1227)</f>
        <v>#REF!</v>
      </c>
      <c r="K1227" s="142"/>
      <c r="L1227" s="5"/>
      <c r="M1227" s="5"/>
      <c r="N1227" s="5"/>
      <c r="O1227" s="5"/>
    </row>
    <row r="1228" spans="1:15" x14ac:dyDescent="0.3">
      <c r="A1228" s="122" t="s">
        <v>115</v>
      </c>
      <c r="B1228" s="37" t="s">
        <v>64</v>
      </c>
      <c r="C1228" s="125" t="e">
        <f>C1081</f>
        <v>#REF!</v>
      </c>
      <c r="D1228" s="49"/>
      <c r="E1228" s="48"/>
      <c r="F1228" s="48"/>
      <c r="G1228" s="48"/>
      <c r="H1228" s="32">
        <v>372000</v>
      </c>
      <c r="I1228" s="50">
        <v>4601760</v>
      </c>
      <c r="J1228" s="30" t="e">
        <f>SUM(C1228:G1228)-(H1228+I1228)</f>
        <v>#REF!</v>
      </c>
      <c r="K1228" s="142"/>
      <c r="L1228" s="5"/>
      <c r="M1228" s="5"/>
      <c r="N1228" s="5"/>
      <c r="O1228" s="5"/>
    </row>
    <row r="1229" spans="1:15" ht="15.6" x14ac:dyDescent="0.3">
      <c r="C1229" s="141" t="e">
        <f>SUM(C1209:C1228)</f>
        <v>#REF!</v>
      </c>
      <c r="I1229" s="140">
        <f>SUM(I1209:I1228)</f>
        <v>9282325</v>
      </c>
      <c r="J1229" s="105" t="e">
        <f>+SUM(J1209:J1228)</f>
        <v>#REF!</v>
      </c>
      <c r="L1229" s="5"/>
      <c r="M1229" s="5"/>
      <c r="N1229" s="5"/>
      <c r="O1229" s="5"/>
    </row>
    <row r="1230" spans="1:15" x14ac:dyDescent="0.3">
      <c r="A1230" s="14"/>
      <c r="B1230" s="15"/>
      <c r="C1230" s="12"/>
      <c r="D1230" s="12"/>
      <c r="E1230" s="13"/>
      <c r="F1230" s="12"/>
      <c r="G1230" s="12"/>
      <c r="H1230" s="12"/>
      <c r="I1230" s="12"/>
      <c r="L1230" s="5"/>
      <c r="M1230" s="5"/>
      <c r="N1230" s="5"/>
      <c r="O1230" s="5"/>
    </row>
    <row r="1231" spans="1:15" x14ac:dyDescent="0.3">
      <c r="A1231" s="16" t="s">
        <v>52</v>
      </c>
      <c r="B1231" s="16"/>
      <c r="C1231" s="16"/>
      <c r="D1231" s="17"/>
      <c r="E1231" s="17"/>
      <c r="F1231" s="17"/>
      <c r="G1231" s="17"/>
      <c r="H1231" s="17"/>
      <c r="I1231" s="17"/>
      <c r="L1231" s="5"/>
      <c r="M1231" s="5"/>
      <c r="N1231" s="5"/>
      <c r="O1231" s="5"/>
    </row>
    <row r="1232" spans="1:15" x14ac:dyDescent="0.3">
      <c r="A1232" s="18" t="s">
        <v>109</v>
      </c>
      <c r="B1232" s="18"/>
      <c r="C1232" s="18"/>
      <c r="D1232" s="18"/>
      <c r="E1232" s="18"/>
      <c r="F1232" s="18"/>
      <c r="G1232" s="18"/>
      <c r="H1232" s="18"/>
      <c r="I1232" s="18"/>
      <c r="J1232" s="17"/>
      <c r="L1232" s="5"/>
      <c r="M1232" s="5"/>
      <c r="N1232" s="5"/>
      <c r="O1232" s="5"/>
    </row>
    <row r="1233" spans="1:15" x14ac:dyDescent="0.3">
      <c r="A1233" s="19"/>
      <c r="B1233" s="17"/>
      <c r="C1233" s="20"/>
      <c r="D1233" s="20"/>
      <c r="E1233" s="20"/>
      <c r="F1233" s="20"/>
      <c r="G1233" s="20"/>
      <c r="H1233" s="17"/>
      <c r="I1233" s="17"/>
      <c r="J1233" s="18"/>
      <c r="L1233" s="5"/>
      <c r="M1233" s="5"/>
      <c r="N1233" s="5"/>
      <c r="O1233" s="5"/>
    </row>
    <row r="1234" spans="1:15" x14ac:dyDescent="0.3">
      <c r="A1234" s="449" t="s">
        <v>53</v>
      </c>
      <c r="B1234" s="451" t="s">
        <v>54</v>
      </c>
      <c r="C1234" s="453" t="s">
        <v>110</v>
      </c>
      <c r="D1234" s="455" t="s">
        <v>55</v>
      </c>
      <c r="E1234" s="456"/>
      <c r="F1234" s="456"/>
      <c r="G1234" s="457"/>
      <c r="H1234" s="458" t="s">
        <v>56</v>
      </c>
      <c r="I1234" s="460" t="s">
        <v>57</v>
      </c>
      <c r="J1234" s="17"/>
      <c r="L1234" s="5"/>
      <c r="M1234" s="5"/>
      <c r="N1234" s="5"/>
      <c r="O1234" s="5"/>
    </row>
    <row r="1235" spans="1:15" x14ac:dyDescent="0.3">
      <c r="A1235" s="450"/>
      <c r="B1235" s="452"/>
      <c r="C1235" s="454"/>
      <c r="D1235" s="21" t="s">
        <v>24</v>
      </c>
      <c r="E1235" s="21" t="s">
        <v>25</v>
      </c>
      <c r="F1235" s="22" t="s">
        <v>112</v>
      </c>
      <c r="G1235" s="21" t="s">
        <v>58</v>
      </c>
      <c r="H1235" s="459"/>
      <c r="I1235" s="461"/>
      <c r="J1235" s="462" t="s">
        <v>111</v>
      </c>
      <c r="L1235" s="5"/>
      <c r="M1235" s="5"/>
      <c r="N1235" s="5"/>
      <c r="O1235" s="5"/>
    </row>
    <row r="1236" spans="1:15" x14ac:dyDescent="0.3">
      <c r="A1236" s="23"/>
      <c r="B1236" s="24" t="s">
        <v>59</v>
      </c>
      <c r="C1236" s="25"/>
      <c r="D1236" s="25"/>
      <c r="E1236" s="25"/>
      <c r="F1236" s="25"/>
      <c r="G1236" s="25"/>
      <c r="H1236" s="25"/>
      <c r="I1236" s="26"/>
      <c r="J1236" s="463"/>
      <c r="L1236" s="5"/>
      <c r="M1236" s="5"/>
      <c r="N1236" s="5"/>
      <c r="O1236" s="5"/>
    </row>
    <row r="1237" spans="1:15" x14ac:dyDescent="0.3">
      <c r="A1237" s="122" t="s">
        <v>108</v>
      </c>
      <c r="B1237" s="127" t="s">
        <v>76</v>
      </c>
      <c r="C1237" s="32">
        <v>-11330</v>
      </c>
      <c r="D1237" s="31"/>
      <c r="E1237" s="32">
        <v>201400</v>
      </c>
      <c r="F1237" s="32">
        <v>184300</v>
      </c>
      <c r="G1237" s="32"/>
      <c r="H1237" s="55"/>
      <c r="I1237" s="32">
        <v>370700</v>
      </c>
      <c r="J1237" s="30">
        <f>+SUM(C1237:G1237)-(H1237+I1237)</f>
        <v>3670</v>
      </c>
      <c r="K1237" s="68"/>
      <c r="L1237" s="5"/>
      <c r="M1237" s="5"/>
      <c r="N1237" s="5"/>
      <c r="O1237" s="5"/>
    </row>
    <row r="1238" spans="1:15" x14ac:dyDescent="0.3">
      <c r="A1238" s="122" t="s">
        <v>108</v>
      </c>
      <c r="B1238" s="127" t="s">
        <v>47</v>
      </c>
      <c r="C1238" s="32">
        <v>8260</v>
      </c>
      <c r="D1238" s="31"/>
      <c r="E1238" s="32">
        <v>357900</v>
      </c>
      <c r="F1238" s="32"/>
      <c r="G1238" s="32"/>
      <c r="H1238" s="55">
        <v>50000</v>
      </c>
      <c r="I1238" s="32">
        <v>316700</v>
      </c>
      <c r="J1238" s="30">
        <f t="shared" ref="J1238:J1239" si="615">+SUM(C1238:G1238)-(H1238+I1238)</f>
        <v>-540</v>
      </c>
      <c r="K1238" s="68"/>
      <c r="L1238" s="5"/>
      <c r="M1238" s="5"/>
      <c r="N1238" s="5"/>
      <c r="O1238" s="5"/>
    </row>
    <row r="1239" spans="1:15" x14ac:dyDescent="0.3">
      <c r="A1239" s="122" t="s">
        <v>108</v>
      </c>
      <c r="B1239" s="127" t="s">
        <v>31</v>
      </c>
      <c r="C1239" s="32">
        <v>3795</v>
      </c>
      <c r="D1239" s="31"/>
      <c r="E1239" s="32">
        <v>20000</v>
      </c>
      <c r="F1239" s="32"/>
      <c r="G1239" s="32"/>
      <c r="H1239" s="32"/>
      <c r="I1239" s="32">
        <v>21400</v>
      </c>
      <c r="J1239" s="101">
        <f t="shared" si="615"/>
        <v>2395</v>
      </c>
      <c r="K1239" s="68"/>
      <c r="L1239" s="5"/>
      <c r="M1239" s="5"/>
      <c r="N1239" s="5"/>
      <c r="O1239" s="5"/>
    </row>
    <row r="1240" spans="1:15" x14ac:dyDescent="0.3">
      <c r="A1240" s="122" t="s">
        <v>108</v>
      </c>
      <c r="B1240" s="127" t="s">
        <v>77</v>
      </c>
      <c r="C1240" s="32">
        <v>-83100</v>
      </c>
      <c r="D1240" s="104"/>
      <c r="E1240" s="32">
        <v>699200</v>
      </c>
      <c r="F1240" s="32"/>
      <c r="G1240" s="32"/>
      <c r="H1240" s="32"/>
      <c r="I1240" s="32">
        <v>520000</v>
      </c>
      <c r="J1240" s="101">
        <f>+SUM(C1240:G1240)-(H1240+I1240)</f>
        <v>96100</v>
      </c>
      <c r="K1240" s="68"/>
      <c r="L1240" s="5"/>
      <c r="M1240" s="5"/>
      <c r="N1240" s="5"/>
      <c r="O1240" s="5"/>
    </row>
    <row r="1241" spans="1:15" x14ac:dyDescent="0.3">
      <c r="A1241" s="122" t="s">
        <v>108</v>
      </c>
      <c r="B1241" s="127" t="s">
        <v>69</v>
      </c>
      <c r="C1241" s="32">
        <v>1784</v>
      </c>
      <c r="D1241" s="104"/>
      <c r="E1241" s="32">
        <v>568600</v>
      </c>
      <c r="F1241" s="32">
        <v>50000</v>
      </c>
      <c r="G1241" s="32"/>
      <c r="H1241" s="32">
        <v>184300</v>
      </c>
      <c r="I1241" s="32">
        <v>422200</v>
      </c>
      <c r="J1241" s="101">
        <f t="shared" ref="J1241" si="616">+SUM(C1241:G1241)-(H1241+I1241)</f>
        <v>13884</v>
      </c>
      <c r="K1241" s="68"/>
      <c r="L1241" s="5"/>
      <c r="M1241" s="5"/>
      <c r="N1241" s="5"/>
      <c r="O1241" s="5"/>
    </row>
    <row r="1242" spans="1:15" x14ac:dyDescent="0.3">
      <c r="A1242" s="122" t="s">
        <v>108</v>
      </c>
      <c r="B1242" s="128" t="s">
        <v>30</v>
      </c>
      <c r="C1242" s="32">
        <v>88800</v>
      </c>
      <c r="D1242" s="119"/>
      <c r="E1242" s="51">
        <v>694600</v>
      </c>
      <c r="F1242" s="51"/>
      <c r="G1242" s="51"/>
      <c r="H1242" s="51"/>
      <c r="I1242" s="51">
        <v>711000</v>
      </c>
      <c r="J1242" s="124">
        <f>+SUM(C1242:G1242)-(H1242+I1242)</f>
        <v>72400</v>
      </c>
      <c r="K1242" s="68"/>
      <c r="L1242" s="5"/>
      <c r="M1242" s="5"/>
      <c r="N1242" s="5"/>
      <c r="O1242" s="5"/>
    </row>
    <row r="1243" spans="1:15" x14ac:dyDescent="0.3">
      <c r="A1243" s="122" t="s">
        <v>108</v>
      </c>
      <c r="B1243" s="129" t="s">
        <v>84</v>
      </c>
      <c r="C1243" s="120">
        <v>233614</v>
      </c>
      <c r="D1243" s="123"/>
      <c r="E1243" s="137"/>
      <c r="F1243" s="137"/>
      <c r="G1243" s="137"/>
      <c r="H1243" s="137"/>
      <c r="I1243" s="137"/>
      <c r="J1243" s="121">
        <f>+SUM(C1243:G1243)-(H1243+I1243)</f>
        <v>233614</v>
      </c>
      <c r="K1243" s="68"/>
      <c r="L1243" s="5"/>
      <c r="M1243" s="5"/>
      <c r="N1243" s="5"/>
      <c r="O1243" s="5"/>
    </row>
    <row r="1244" spans="1:15" x14ac:dyDescent="0.3">
      <c r="A1244" s="122" t="s">
        <v>108</v>
      </c>
      <c r="B1244" s="129" t="s">
        <v>83</v>
      </c>
      <c r="C1244" s="120">
        <v>249769</v>
      </c>
      <c r="D1244" s="123"/>
      <c r="E1244" s="137"/>
      <c r="F1244" s="137"/>
      <c r="G1244" s="137"/>
      <c r="H1244" s="137"/>
      <c r="I1244" s="137"/>
      <c r="J1244" s="121">
        <f t="shared" ref="J1244:J1248" si="617">+SUM(C1244:G1244)-(H1244+I1244)</f>
        <v>249769</v>
      </c>
      <c r="K1244" s="68"/>
      <c r="L1244" s="5"/>
      <c r="M1244" s="5"/>
      <c r="N1244" s="5"/>
      <c r="O1244" s="5"/>
    </row>
    <row r="1245" spans="1:15" x14ac:dyDescent="0.3">
      <c r="A1245" s="122" t="s">
        <v>108</v>
      </c>
      <c r="B1245" s="127" t="s">
        <v>35</v>
      </c>
      <c r="C1245" s="32">
        <v>7890</v>
      </c>
      <c r="D1245" s="31"/>
      <c r="E1245" s="32">
        <v>135600</v>
      </c>
      <c r="F1245" s="104"/>
      <c r="G1245" s="104"/>
      <c r="H1245" s="104"/>
      <c r="I1245" s="32">
        <v>125000</v>
      </c>
      <c r="J1245" s="30">
        <f t="shared" si="617"/>
        <v>18490</v>
      </c>
      <c r="K1245" s="68"/>
      <c r="L1245" s="5"/>
      <c r="M1245" s="5"/>
      <c r="N1245" s="5"/>
      <c r="O1245" s="5"/>
    </row>
    <row r="1246" spans="1:15" x14ac:dyDescent="0.3">
      <c r="A1246" s="122" t="s">
        <v>108</v>
      </c>
      <c r="B1246" s="127" t="s">
        <v>93</v>
      </c>
      <c r="C1246" s="32">
        <v>5000</v>
      </c>
      <c r="D1246" s="31"/>
      <c r="E1246" s="32">
        <v>30000</v>
      </c>
      <c r="F1246" s="104"/>
      <c r="G1246" s="104"/>
      <c r="H1246" s="104"/>
      <c r="I1246" s="32">
        <v>30500</v>
      </c>
      <c r="J1246" s="30">
        <f t="shared" si="617"/>
        <v>4500</v>
      </c>
      <c r="K1246" s="68"/>
      <c r="L1246" s="5"/>
      <c r="M1246" s="5"/>
      <c r="N1246" s="5"/>
      <c r="O1246" s="5"/>
    </row>
    <row r="1247" spans="1:15" x14ac:dyDescent="0.3">
      <c r="A1247" s="122" t="s">
        <v>108</v>
      </c>
      <c r="B1247" s="127" t="s">
        <v>29</v>
      </c>
      <c r="C1247" s="32">
        <v>57700</v>
      </c>
      <c r="D1247" s="31"/>
      <c r="E1247" s="32">
        <v>639000</v>
      </c>
      <c r="F1247" s="104"/>
      <c r="G1247" s="104"/>
      <c r="H1247" s="104"/>
      <c r="I1247" s="32">
        <v>652500</v>
      </c>
      <c r="J1247" s="30">
        <f t="shared" si="617"/>
        <v>44200</v>
      </c>
      <c r="K1247" s="68"/>
      <c r="L1247" s="5"/>
      <c r="M1247" s="5"/>
      <c r="N1247" s="5"/>
      <c r="O1247" s="5"/>
    </row>
    <row r="1248" spans="1:15" x14ac:dyDescent="0.3">
      <c r="A1248" s="122" t="s">
        <v>108</v>
      </c>
      <c r="B1248" s="127" t="s">
        <v>94</v>
      </c>
      <c r="C1248" s="32">
        <v>-32081</v>
      </c>
      <c r="D1248" s="31"/>
      <c r="E1248" s="104"/>
      <c r="F1248" s="104"/>
      <c r="G1248" s="104"/>
      <c r="H1248" s="104"/>
      <c r="I1248" s="32">
        <v>819628</v>
      </c>
      <c r="J1248" s="30">
        <f t="shared" si="617"/>
        <v>-851709</v>
      </c>
      <c r="K1248" s="68"/>
      <c r="L1248" s="5"/>
      <c r="M1248" s="5"/>
      <c r="N1248" s="5"/>
      <c r="O1248" s="5"/>
    </row>
    <row r="1249" spans="1:15" x14ac:dyDescent="0.3">
      <c r="A1249" s="122" t="s">
        <v>108</v>
      </c>
      <c r="B1249" s="127" t="s">
        <v>101</v>
      </c>
      <c r="C1249" s="32">
        <v>62000</v>
      </c>
      <c r="D1249" s="31"/>
      <c r="E1249" s="32">
        <v>622600</v>
      </c>
      <c r="F1249" s="104"/>
      <c r="G1249" s="104"/>
      <c r="H1249" s="104"/>
      <c r="I1249" s="32">
        <v>594300</v>
      </c>
      <c r="J1249" s="30">
        <f>+SUM(C1249:G1249)-(H1249+I1249)</f>
        <v>90300</v>
      </c>
      <c r="K1249" s="68"/>
      <c r="L1249" s="5"/>
      <c r="M1249" s="5"/>
      <c r="N1249" s="5"/>
      <c r="O1249" s="5"/>
    </row>
    <row r="1250" spans="1:15" x14ac:dyDescent="0.3">
      <c r="A1250" s="122" t="s">
        <v>108</v>
      </c>
      <c r="B1250" s="128" t="s">
        <v>32</v>
      </c>
      <c r="C1250" s="32">
        <v>4300</v>
      </c>
      <c r="D1250" s="119"/>
      <c r="E1250" s="136"/>
      <c r="F1250" s="136"/>
      <c r="G1250" s="138"/>
      <c r="H1250" s="136"/>
      <c r="I1250" s="51">
        <v>4000</v>
      </c>
      <c r="J1250" s="30">
        <f t="shared" ref="J1250" si="618">+SUM(C1250:G1250)-(H1250+I1250)</f>
        <v>300</v>
      </c>
      <c r="K1250" s="68"/>
      <c r="L1250" s="5"/>
      <c r="M1250" s="5"/>
      <c r="N1250" s="5"/>
      <c r="O1250" s="5"/>
    </row>
    <row r="1251" spans="1:15" x14ac:dyDescent="0.3">
      <c r="A1251" s="34" t="s">
        <v>60</v>
      </c>
      <c r="B1251" s="35"/>
      <c r="C1251" s="35"/>
      <c r="D1251" s="35"/>
      <c r="E1251" s="35"/>
      <c r="F1251" s="35"/>
      <c r="G1251" s="35"/>
      <c r="H1251" s="35"/>
      <c r="I1251" s="35"/>
      <c r="J1251" s="36"/>
      <c r="K1251" s="68"/>
      <c r="L1251" s="5"/>
      <c r="M1251" s="5"/>
      <c r="N1251" s="5"/>
      <c r="O1251" s="5"/>
    </row>
    <row r="1252" spans="1:15" x14ac:dyDescent="0.3">
      <c r="A1252" s="122" t="s">
        <v>108</v>
      </c>
      <c r="B1252" s="37" t="s">
        <v>61</v>
      </c>
      <c r="C1252" s="38">
        <v>62150</v>
      </c>
      <c r="D1252" s="49">
        <v>5500000</v>
      </c>
      <c r="E1252" s="103"/>
      <c r="F1252" s="103"/>
      <c r="G1252" s="139"/>
      <c r="H1252" s="131">
        <v>3968900</v>
      </c>
      <c r="I1252" s="126">
        <v>1276534</v>
      </c>
      <c r="J1252" s="30">
        <f>+SUM(C1252:G1252)-(H1252+I1252)</f>
        <v>316716</v>
      </c>
      <c r="K1252" s="68"/>
      <c r="L1252" s="5"/>
      <c r="M1252" s="5"/>
      <c r="N1252" s="5"/>
      <c r="O1252" s="5"/>
    </row>
    <row r="1253" spans="1:15" x14ac:dyDescent="0.3">
      <c r="A1253" s="43" t="s">
        <v>62</v>
      </c>
      <c r="B1253" s="24"/>
      <c r="C1253" s="35"/>
      <c r="D1253" s="24"/>
      <c r="E1253" s="24"/>
      <c r="F1253" s="24"/>
      <c r="G1253" s="24"/>
      <c r="H1253" s="24"/>
      <c r="I1253" s="24"/>
      <c r="J1253" s="36"/>
      <c r="L1253" s="5"/>
      <c r="M1253" s="5"/>
      <c r="N1253" s="5"/>
      <c r="O1253" s="5"/>
    </row>
    <row r="1254" spans="1:15" x14ac:dyDescent="0.3">
      <c r="A1254" s="122" t="s">
        <v>108</v>
      </c>
      <c r="B1254" s="37" t="s">
        <v>63</v>
      </c>
      <c r="C1254" s="125">
        <v>11284555</v>
      </c>
      <c r="D1254" s="132"/>
      <c r="E1254" s="49"/>
      <c r="F1254" s="49"/>
      <c r="G1254" s="49"/>
      <c r="H1254" s="51">
        <v>5500000</v>
      </c>
      <c r="I1254" s="53">
        <v>273881</v>
      </c>
      <c r="J1254" s="30">
        <f>+SUM(C1254:G1254)-(H1254+I1254)</f>
        <v>5510674</v>
      </c>
      <c r="K1254" s="68"/>
      <c r="L1254" s="5"/>
      <c r="M1254" s="5"/>
      <c r="N1254" s="5"/>
      <c r="O1254" s="5"/>
    </row>
    <row r="1255" spans="1:15" x14ac:dyDescent="0.3">
      <c r="A1255" s="122" t="s">
        <v>108</v>
      </c>
      <c r="B1255" s="37" t="s">
        <v>64</v>
      </c>
      <c r="C1255" s="125">
        <v>2158645</v>
      </c>
      <c r="D1255" s="49">
        <v>15435980</v>
      </c>
      <c r="E1255" s="48"/>
      <c r="F1255" s="48"/>
      <c r="G1255" s="48"/>
      <c r="H1255" s="32"/>
      <c r="I1255" s="50">
        <v>6400961</v>
      </c>
      <c r="J1255" s="30">
        <f>SUM(C1255:G1255)-(H1255+I1255)</f>
        <v>11193664</v>
      </c>
      <c r="K1255" s="68"/>
      <c r="L1255" s="5"/>
      <c r="M1255" s="5"/>
      <c r="N1255" s="5"/>
      <c r="O1255" s="5"/>
    </row>
    <row r="1256" spans="1:15" ht="15.6" x14ac:dyDescent="0.3">
      <c r="C1256" s="141">
        <f>SUM(C1237:C1255)</f>
        <v>14101751</v>
      </c>
      <c r="I1256" s="140">
        <f>SUM(I1237:I1255)</f>
        <v>12539304</v>
      </c>
      <c r="J1256" s="105">
        <f>+SUM(J1237:J1255)</f>
        <v>16998427</v>
      </c>
      <c r="L1256" s="5"/>
      <c r="M1256" s="5"/>
      <c r="N1256" s="5"/>
      <c r="O1256" s="5"/>
    </row>
    <row r="1257" spans="1:15" x14ac:dyDescent="0.3">
      <c r="A1257" s="10"/>
      <c r="B1257" s="11"/>
      <c r="C1257" s="12"/>
      <c r="D1257" s="12"/>
      <c r="E1257" s="12"/>
      <c r="F1257" s="12"/>
      <c r="G1257" s="12"/>
      <c r="H1257" s="12"/>
      <c r="I1257" s="12"/>
      <c r="J1257" s="133"/>
      <c r="L1257" s="5"/>
      <c r="M1257" s="5"/>
      <c r="N1257" s="5"/>
      <c r="O1257" s="5"/>
    </row>
    <row r="1258" spans="1:15" x14ac:dyDescent="0.3">
      <c r="A1258" s="14"/>
      <c r="B1258" s="15"/>
      <c r="C1258" s="12"/>
      <c r="D1258" s="12"/>
      <c r="E1258" s="13"/>
      <c r="F1258" s="12"/>
      <c r="G1258" s="12"/>
      <c r="H1258" s="12"/>
      <c r="I1258" s="12"/>
      <c r="L1258" s="5"/>
      <c r="M1258" s="5"/>
      <c r="N1258" s="5"/>
      <c r="O1258" s="5"/>
    </row>
    <row r="1259" spans="1:15" x14ac:dyDescent="0.3">
      <c r="A1259" s="16" t="s">
        <v>52</v>
      </c>
      <c r="B1259" s="16"/>
      <c r="C1259" s="16"/>
      <c r="D1259" s="17"/>
      <c r="E1259" s="17"/>
      <c r="F1259" s="17"/>
      <c r="G1259" s="17"/>
      <c r="H1259" s="17"/>
      <c r="I1259" s="17"/>
      <c r="L1259" s="5"/>
      <c r="M1259" s="5"/>
      <c r="N1259" s="5"/>
      <c r="O1259" s="5"/>
    </row>
    <row r="1260" spans="1:15" x14ac:dyDescent="0.3">
      <c r="A1260" s="18" t="s">
        <v>106</v>
      </c>
      <c r="B1260" s="18"/>
      <c r="C1260" s="18"/>
      <c r="D1260" s="18"/>
      <c r="E1260" s="18"/>
      <c r="F1260" s="18"/>
      <c r="G1260" s="18"/>
      <c r="H1260" s="18"/>
      <c r="I1260" s="18"/>
      <c r="J1260" s="17"/>
      <c r="L1260" s="5"/>
      <c r="M1260" s="5"/>
      <c r="N1260" s="5"/>
      <c r="O1260" s="5"/>
    </row>
    <row r="1261" spans="1:15" x14ac:dyDescent="0.3">
      <c r="A1261" s="19"/>
      <c r="B1261" s="17"/>
      <c r="C1261" s="20"/>
      <c r="D1261" s="20"/>
      <c r="E1261" s="20"/>
      <c r="F1261" s="20"/>
      <c r="G1261" s="20"/>
      <c r="H1261" s="17"/>
      <c r="I1261" s="17"/>
      <c r="J1261" s="18"/>
      <c r="L1261" s="5"/>
      <c r="M1261" s="5"/>
      <c r="N1261" s="5"/>
      <c r="O1261" s="5"/>
    </row>
    <row r="1262" spans="1:15" x14ac:dyDescent="0.3">
      <c r="A1262" s="449" t="s">
        <v>53</v>
      </c>
      <c r="B1262" s="451" t="s">
        <v>54</v>
      </c>
      <c r="C1262" s="453" t="s">
        <v>104</v>
      </c>
      <c r="D1262" s="455" t="s">
        <v>55</v>
      </c>
      <c r="E1262" s="456"/>
      <c r="F1262" s="456"/>
      <c r="G1262" s="457"/>
      <c r="H1262" s="458" t="s">
        <v>56</v>
      </c>
      <c r="I1262" s="460" t="s">
        <v>57</v>
      </c>
      <c r="J1262" s="17"/>
      <c r="L1262" s="5"/>
      <c r="M1262" s="5"/>
      <c r="N1262" s="5"/>
      <c r="O1262" s="5"/>
    </row>
    <row r="1263" spans="1:15" x14ac:dyDescent="0.3">
      <c r="A1263" s="450"/>
      <c r="B1263" s="452"/>
      <c r="C1263" s="454"/>
      <c r="D1263" s="21" t="s">
        <v>24</v>
      </c>
      <c r="E1263" s="21" t="s">
        <v>25</v>
      </c>
      <c r="F1263" s="22" t="s">
        <v>107</v>
      </c>
      <c r="G1263" s="21" t="s">
        <v>58</v>
      </c>
      <c r="H1263" s="459"/>
      <c r="I1263" s="461"/>
      <c r="J1263" s="462" t="s">
        <v>105</v>
      </c>
      <c r="L1263" s="5"/>
      <c r="M1263" s="5"/>
      <c r="N1263" s="5"/>
      <c r="O1263" s="5"/>
    </row>
    <row r="1264" spans="1:15" x14ac:dyDescent="0.3">
      <c r="A1264" s="23"/>
      <c r="B1264" s="24" t="s">
        <v>59</v>
      </c>
      <c r="C1264" s="25"/>
      <c r="D1264" s="25"/>
      <c r="E1264" s="25"/>
      <c r="F1264" s="25"/>
      <c r="G1264" s="25"/>
      <c r="H1264" s="25"/>
      <c r="I1264" s="26"/>
      <c r="J1264" s="463"/>
      <c r="L1264" s="5"/>
      <c r="M1264" s="5"/>
      <c r="N1264" s="5"/>
      <c r="O1264" s="5"/>
    </row>
    <row r="1265" spans="1:15" x14ac:dyDescent="0.3">
      <c r="A1265" s="122" t="s">
        <v>103</v>
      </c>
      <c r="B1265" s="127" t="s">
        <v>76</v>
      </c>
      <c r="C1265" s="32">
        <v>22200</v>
      </c>
      <c r="D1265" s="31"/>
      <c r="E1265" s="32">
        <v>439970</v>
      </c>
      <c r="F1265" s="104"/>
      <c r="G1265" s="104"/>
      <c r="H1265" s="135"/>
      <c r="I1265" s="32">
        <v>473500</v>
      </c>
      <c r="J1265" s="30">
        <f>+SUM(C1265:G1265)-(H1265+I1265)</f>
        <v>-11330</v>
      </c>
      <c r="K1265" s="68"/>
      <c r="L1265" s="5"/>
      <c r="M1265" s="5"/>
      <c r="N1265" s="5"/>
      <c r="O1265" s="5"/>
    </row>
    <row r="1266" spans="1:15" x14ac:dyDescent="0.3">
      <c r="A1266" s="122" t="s">
        <v>103</v>
      </c>
      <c r="B1266" s="127" t="s">
        <v>47</v>
      </c>
      <c r="C1266" s="32">
        <v>3060</v>
      </c>
      <c r="D1266" s="31"/>
      <c r="E1266" s="32">
        <v>157200</v>
      </c>
      <c r="F1266" s="32"/>
      <c r="G1266" s="32"/>
      <c r="H1266" s="55"/>
      <c r="I1266" s="32">
        <v>152000</v>
      </c>
      <c r="J1266" s="30">
        <f t="shared" ref="J1266:J1267" si="619">+SUM(C1266:G1266)-(H1266+I1266)</f>
        <v>8260</v>
      </c>
      <c r="K1266" s="68"/>
      <c r="L1266" s="5"/>
      <c r="M1266" s="5"/>
      <c r="N1266" s="5"/>
      <c r="O1266" s="5"/>
    </row>
    <row r="1267" spans="1:15" x14ac:dyDescent="0.3">
      <c r="A1267" s="122" t="s">
        <v>103</v>
      </c>
      <c r="B1267" s="127" t="s">
        <v>31</v>
      </c>
      <c r="C1267" s="32">
        <v>3795</v>
      </c>
      <c r="D1267" s="31"/>
      <c r="E1267" s="32">
        <v>45000</v>
      </c>
      <c r="F1267" s="32"/>
      <c r="G1267" s="32"/>
      <c r="H1267" s="32"/>
      <c r="I1267" s="32">
        <v>45000</v>
      </c>
      <c r="J1267" s="101">
        <f t="shared" si="619"/>
        <v>3795</v>
      </c>
      <c r="K1267" s="68"/>
      <c r="L1267" s="5"/>
      <c r="M1267" s="5"/>
      <c r="N1267" s="5"/>
      <c r="O1267" s="5"/>
    </row>
    <row r="1268" spans="1:15" x14ac:dyDescent="0.3">
      <c r="A1268" s="122" t="s">
        <v>103</v>
      </c>
      <c r="B1268" s="127" t="s">
        <v>77</v>
      </c>
      <c r="C1268" s="32">
        <v>2300</v>
      </c>
      <c r="D1268" s="104"/>
      <c r="E1268" s="32">
        <v>266600</v>
      </c>
      <c r="F1268" s="32">
        <v>159900</v>
      </c>
      <c r="G1268" s="32"/>
      <c r="H1268" s="32">
        <v>25000</v>
      </c>
      <c r="I1268" s="32">
        <v>486900</v>
      </c>
      <c r="J1268" s="101">
        <f>+SUM(C1268:G1268)-(H1268+I1268)</f>
        <v>-83100</v>
      </c>
      <c r="K1268" s="68"/>
      <c r="L1268" s="5"/>
      <c r="M1268" s="5"/>
      <c r="N1268" s="5"/>
      <c r="O1268" s="5"/>
    </row>
    <row r="1269" spans="1:15" x14ac:dyDescent="0.3">
      <c r="A1269" s="122" t="s">
        <v>103</v>
      </c>
      <c r="B1269" s="127" t="s">
        <v>69</v>
      </c>
      <c r="C1269" s="32">
        <v>-14216</v>
      </c>
      <c r="D1269" s="104"/>
      <c r="E1269" s="32">
        <v>622600</v>
      </c>
      <c r="F1269" s="32">
        <v>25000</v>
      </c>
      <c r="G1269" s="32"/>
      <c r="H1269" s="32">
        <v>260700</v>
      </c>
      <c r="I1269" s="32">
        <v>370900</v>
      </c>
      <c r="J1269" s="101">
        <f>+SUM(C1269:G1269)-(H1269+I1269)</f>
        <v>1784</v>
      </c>
      <c r="K1269" s="68"/>
      <c r="L1269" s="5"/>
      <c r="M1269" s="5"/>
      <c r="N1269" s="5"/>
      <c r="O1269" s="5"/>
    </row>
    <row r="1270" spans="1:15" x14ac:dyDescent="0.3">
      <c r="A1270" s="122" t="s">
        <v>103</v>
      </c>
      <c r="B1270" s="128" t="s">
        <v>30</v>
      </c>
      <c r="C1270" s="51">
        <v>143300</v>
      </c>
      <c r="D1270" s="119"/>
      <c r="E1270" s="51">
        <v>466500</v>
      </c>
      <c r="F1270" s="136"/>
      <c r="G1270" s="136"/>
      <c r="H1270" s="136"/>
      <c r="I1270" s="51">
        <v>521000</v>
      </c>
      <c r="J1270" s="124">
        <f>+SUM(C1270:G1270)-(H1270+I1270)</f>
        <v>88800</v>
      </c>
      <c r="K1270" s="68"/>
      <c r="L1270" s="5"/>
      <c r="M1270" s="5"/>
      <c r="N1270" s="5"/>
      <c r="O1270" s="5"/>
    </row>
    <row r="1271" spans="1:15" x14ac:dyDescent="0.3">
      <c r="A1271" s="122" t="s">
        <v>103</v>
      </c>
      <c r="B1271" s="129" t="s">
        <v>84</v>
      </c>
      <c r="C1271" s="120">
        <v>233614</v>
      </c>
      <c r="D1271" s="123"/>
      <c r="E1271" s="137"/>
      <c r="F1271" s="137"/>
      <c r="G1271" s="137"/>
      <c r="H1271" s="137"/>
      <c r="I1271" s="137"/>
      <c r="J1271" s="121">
        <f>+SUM(C1271:G1271)-(H1271+I1271)</f>
        <v>233614</v>
      </c>
      <c r="K1271" s="68"/>
      <c r="L1271" s="5"/>
      <c r="M1271" s="5"/>
      <c r="N1271" s="5"/>
      <c r="O1271" s="5"/>
    </row>
    <row r="1272" spans="1:15" x14ac:dyDescent="0.3">
      <c r="A1272" s="122" t="s">
        <v>103</v>
      </c>
      <c r="B1272" s="129" t="s">
        <v>83</v>
      </c>
      <c r="C1272" s="120">
        <v>249768</v>
      </c>
      <c r="D1272" s="123"/>
      <c r="E1272" s="137"/>
      <c r="F1272" s="137"/>
      <c r="G1272" s="137"/>
      <c r="H1272" s="137"/>
      <c r="I1272" s="137"/>
      <c r="J1272" s="121">
        <f t="shared" ref="J1272:J1278" si="620">+SUM(C1272:G1272)-(H1272+I1272)</f>
        <v>249768</v>
      </c>
      <c r="K1272" s="68"/>
      <c r="L1272" s="5"/>
      <c r="M1272" s="5"/>
      <c r="N1272" s="5"/>
      <c r="O1272" s="5"/>
    </row>
    <row r="1273" spans="1:15" x14ac:dyDescent="0.3">
      <c r="A1273" s="122" t="s">
        <v>103</v>
      </c>
      <c r="B1273" s="127" t="s">
        <v>35</v>
      </c>
      <c r="C1273" s="32">
        <v>55090</v>
      </c>
      <c r="D1273" s="31"/>
      <c r="E1273" s="32">
        <v>143000</v>
      </c>
      <c r="F1273" s="32">
        <v>70800</v>
      </c>
      <c r="G1273" s="104"/>
      <c r="H1273" s="104"/>
      <c r="I1273" s="32">
        <v>261000</v>
      </c>
      <c r="J1273" s="30">
        <f t="shared" si="620"/>
        <v>7890</v>
      </c>
      <c r="K1273" s="68"/>
      <c r="L1273" s="5"/>
      <c r="M1273" s="5"/>
      <c r="N1273" s="5"/>
      <c r="O1273" s="5"/>
    </row>
    <row r="1274" spans="1:15" x14ac:dyDescent="0.3">
      <c r="A1274" s="122" t="s">
        <v>103</v>
      </c>
      <c r="B1274" s="127" t="s">
        <v>93</v>
      </c>
      <c r="C1274" s="32">
        <v>0</v>
      </c>
      <c r="D1274" s="31"/>
      <c r="E1274" s="32">
        <v>30000</v>
      </c>
      <c r="F1274" s="104"/>
      <c r="G1274" s="104"/>
      <c r="H1274" s="104"/>
      <c r="I1274" s="32">
        <v>25000</v>
      </c>
      <c r="J1274" s="30">
        <f t="shared" si="620"/>
        <v>5000</v>
      </c>
      <c r="K1274" s="68"/>
      <c r="L1274" s="5"/>
      <c r="M1274" s="5"/>
      <c r="N1274" s="5"/>
      <c r="O1274" s="5"/>
    </row>
    <row r="1275" spans="1:15" x14ac:dyDescent="0.3">
      <c r="A1275" s="122" t="s">
        <v>103</v>
      </c>
      <c r="B1275" s="127" t="s">
        <v>29</v>
      </c>
      <c r="C1275" s="32">
        <v>110700</v>
      </c>
      <c r="D1275" s="31"/>
      <c r="E1275" s="32">
        <v>375000</v>
      </c>
      <c r="F1275" s="32">
        <v>30000</v>
      </c>
      <c r="G1275" s="104"/>
      <c r="H1275" s="104"/>
      <c r="I1275" s="32">
        <v>458000</v>
      </c>
      <c r="J1275" s="30">
        <f t="shared" si="620"/>
        <v>57700</v>
      </c>
      <c r="K1275" s="68"/>
      <c r="L1275" s="5"/>
      <c r="M1275" s="5"/>
      <c r="N1275" s="5"/>
      <c r="O1275" s="5"/>
    </row>
    <row r="1276" spans="1:15" x14ac:dyDescent="0.3">
      <c r="A1276" s="122" t="s">
        <v>103</v>
      </c>
      <c r="B1276" s="127" t="s">
        <v>94</v>
      </c>
      <c r="C1276" s="32">
        <v>-32081</v>
      </c>
      <c r="D1276" s="31"/>
      <c r="E1276" s="104">
        <v>0</v>
      </c>
      <c r="F1276" s="104"/>
      <c r="G1276" s="104"/>
      <c r="H1276" s="104"/>
      <c r="I1276" s="104">
        <v>0</v>
      </c>
      <c r="J1276" s="30">
        <f t="shared" si="620"/>
        <v>-32081</v>
      </c>
      <c r="K1276" s="68"/>
      <c r="L1276" s="5"/>
      <c r="M1276" s="5"/>
      <c r="N1276" s="5"/>
      <c r="O1276" s="5"/>
    </row>
    <row r="1277" spans="1:15" x14ac:dyDescent="0.3">
      <c r="A1277" s="122" t="s">
        <v>103</v>
      </c>
      <c r="B1277" s="127" t="s">
        <v>101</v>
      </c>
      <c r="C1277" s="32">
        <v>0</v>
      </c>
      <c r="D1277" s="31"/>
      <c r="E1277" s="32">
        <v>82000</v>
      </c>
      <c r="F1277" s="104"/>
      <c r="G1277" s="104"/>
      <c r="H1277" s="104"/>
      <c r="I1277" s="32">
        <v>20000</v>
      </c>
      <c r="J1277" s="30">
        <f>+SUM(C1277:G1277)-(H1277+I1277)</f>
        <v>62000</v>
      </c>
      <c r="K1277" s="68"/>
      <c r="L1277" s="5"/>
      <c r="M1277" s="5"/>
      <c r="N1277" s="5"/>
      <c r="O1277" s="5"/>
    </row>
    <row r="1278" spans="1:15" x14ac:dyDescent="0.3">
      <c r="A1278" s="122" t="s">
        <v>103</v>
      </c>
      <c r="B1278" s="128" t="s">
        <v>32</v>
      </c>
      <c r="C1278" s="51">
        <v>7300</v>
      </c>
      <c r="D1278" s="119"/>
      <c r="E1278" s="136"/>
      <c r="F1278" s="136"/>
      <c r="G1278" s="138"/>
      <c r="H1278" s="136"/>
      <c r="I1278" s="51">
        <v>3000</v>
      </c>
      <c r="J1278" s="30">
        <f t="shared" si="620"/>
        <v>4300</v>
      </c>
      <c r="K1278" s="68"/>
      <c r="L1278" s="5"/>
      <c r="M1278" s="5"/>
      <c r="N1278" s="5"/>
      <c r="O1278" s="5"/>
    </row>
    <row r="1279" spans="1:15" x14ac:dyDescent="0.3">
      <c r="A1279" s="34" t="s">
        <v>60</v>
      </c>
      <c r="B1279" s="35"/>
      <c r="C1279" s="35"/>
      <c r="D1279" s="35"/>
      <c r="E1279" s="35"/>
      <c r="F1279" s="35"/>
      <c r="G1279" s="35"/>
      <c r="H1279" s="35"/>
      <c r="I1279" s="35"/>
      <c r="J1279" s="36"/>
      <c r="K1279" s="68"/>
      <c r="L1279" s="5"/>
      <c r="M1279" s="5"/>
      <c r="N1279" s="5"/>
      <c r="O1279" s="5"/>
    </row>
    <row r="1280" spans="1:15" x14ac:dyDescent="0.3">
      <c r="A1280" s="122" t="s">
        <v>103</v>
      </c>
      <c r="B1280" s="37" t="s">
        <v>61</v>
      </c>
      <c r="C1280" s="38">
        <v>817769</v>
      </c>
      <c r="D1280" s="49">
        <v>3000000</v>
      </c>
      <c r="E1280" s="103"/>
      <c r="F1280" s="103"/>
      <c r="G1280" s="139"/>
      <c r="H1280" s="131">
        <v>2627870</v>
      </c>
      <c r="I1280" s="126">
        <v>1127749</v>
      </c>
      <c r="J1280" s="30">
        <f>+SUM(C1280:G1280)-(H1280+I1280)</f>
        <v>62150</v>
      </c>
      <c r="K1280" s="68"/>
      <c r="L1280" s="5"/>
      <c r="M1280" s="5"/>
      <c r="N1280" s="5"/>
      <c r="O1280" s="5"/>
    </row>
    <row r="1281" spans="1:15" x14ac:dyDescent="0.3">
      <c r="A1281" s="43" t="s">
        <v>62</v>
      </c>
      <c r="B1281" s="24"/>
      <c r="C1281" s="35"/>
      <c r="D1281" s="24"/>
      <c r="E1281" s="24"/>
      <c r="F1281" s="24"/>
      <c r="G1281" s="24"/>
      <c r="H1281" s="24"/>
      <c r="I1281" s="24"/>
      <c r="J1281" s="36"/>
      <c r="L1281" s="5"/>
      <c r="M1281" s="5"/>
      <c r="N1281" s="5"/>
      <c r="O1281" s="5"/>
    </row>
    <row r="1282" spans="1:15" x14ac:dyDescent="0.3">
      <c r="A1282" s="122" t="s">
        <v>103</v>
      </c>
      <c r="B1282" s="37" t="s">
        <v>63</v>
      </c>
      <c r="C1282" s="125">
        <v>14712920</v>
      </c>
      <c r="D1282" s="132"/>
      <c r="E1282" s="49"/>
      <c r="F1282" s="49"/>
      <c r="G1282" s="49"/>
      <c r="H1282" s="51">
        <v>3000000</v>
      </c>
      <c r="I1282" s="53">
        <v>428365</v>
      </c>
      <c r="J1282" s="30">
        <f>+SUM(C1282:G1282)-(H1282+I1282)</f>
        <v>11284555</v>
      </c>
      <c r="K1282" s="68"/>
      <c r="L1282" s="5"/>
      <c r="M1282" s="5"/>
      <c r="N1282" s="5"/>
      <c r="O1282" s="5"/>
    </row>
    <row r="1283" spans="1:15" x14ac:dyDescent="0.3">
      <c r="A1283" s="122" t="s">
        <v>103</v>
      </c>
      <c r="B1283" s="37" t="s">
        <v>64</v>
      </c>
      <c r="C1283" s="125">
        <v>8361083</v>
      </c>
      <c r="D1283" s="49"/>
      <c r="E1283" s="48"/>
      <c r="F1283" s="48"/>
      <c r="G1283" s="48"/>
      <c r="H1283" s="32"/>
      <c r="I1283" s="50">
        <v>6202438</v>
      </c>
      <c r="J1283" s="30">
        <f>SUM(C1283:G1283)-(H1283+I1283)</f>
        <v>2158645</v>
      </c>
      <c r="K1283" s="68"/>
      <c r="L1283" s="5"/>
      <c r="M1283" s="5"/>
      <c r="N1283" s="5"/>
      <c r="O1283" s="5"/>
    </row>
    <row r="1284" spans="1:15" ht="15.6" x14ac:dyDescent="0.3">
      <c r="C1284" s="9"/>
      <c r="I1284" s="140">
        <f>SUM(I1265:I1283)</f>
        <v>10574852</v>
      </c>
      <c r="J1284" s="105">
        <f>+SUM(J1265:J1283)</f>
        <v>14101750</v>
      </c>
      <c r="K1284" s="9">
        <f>J1284-C1256</f>
        <v>-1</v>
      </c>
      <c r="L1284" s="5"/>
      <c r="M1284" s="5"/>
      <c r="N1284" s="5"/>
      <c r="O1284" s="5"/>
    </row>
    <row r="1285" spans="1:15" x14ac:dyDescent="0.3">
      <c r="A1285" s="10"/>
      <c r="B1285" s="11"/>
      <c r="C1285" s="12"/>
      <c r="D1285" s="12"/>
      <c r="E1285" s="12"/>
      <c r="F1285" s="12"/>
      <c r="G1285" s="12"/>
      <c r="H1285" s="12"/>
      <c r="I1285" s="12"/>
      <c r="J1285" s="133"/>
      <c r="L1285" s="5"/>
      <c r="M1285" s="5"/>
      <c r="N1285" s="5"/>
      <c r="O1285" s="5"/>
    </row>
    <row r="1286" spans="1:15" x14ac:dyDescent="0.3">
      <c r="A1286" s="16" t="s">
        <v>52</v>
      </c>
      <c r="B1286" s="16"/>
      <c r="C1286" s="16"/>
      <c r="D1286" s="17"/>
      <c r="E1286" s="17"/>
      <c r="F1286" s="17"/>
      <c r="G1286" s="17"/>
      <c r="H1286" s="17"/>
      <c r="I1286" s="17"/>
      <c r="L1286" s="5"/>
      <c r="M1286" s="5"/>
      <c r="N1286" s="5"/>
      <c r="O1286" s="5"/>
    </row>
    <row r="1287" spans="1:15" x14ac:dyDescent="0.3">
      <c r="A1287" s="18" t="s">
        <v>95</v>
      </c>
      <c r="B1287" s="18"/>
      <c r="C1287" s="18"/>
      <c r="D1287" s="18"/>
      <c r="E1287" s="18"/>
      <c r="F1287" s="18"/>
      <c r="G1287" s="18"/>
      <c r="H1287" s="18"/>
      <c r="I1287" s="18"/>
      <c r="J1287" s="17"/>
      <c r="L1287" s="5"/>
      <c r="M1287" s="5"/>
      <c r="N1287" s="5"/>
      <c r="O1287" s="5"/>
    </row>
    <row r="1288" spans="1:15" x14ac:dyDescent="0.3">
      <c r="A1288" s="19"/>
      <c r="B1288" s="17"/>
      <c r="C1288" s="20"/>
      <c r="D1288" s="20"/>
      <c r="E1288" s="20"/>
      <c r="F1288" s="20"/>
      <c r="G1288" s="20"/>
      <c r="H1288" s="17"/>
      <c r="I1288" s="17"/>
      <c r="J1288" s="18"/>
      <c r="L1288" s="5"/>
      <c r="M1288" s="5"/>
      <c r="N1288" s="5"/>
      <c r="O1288" s="5"/>
    </row>
    <row r="1289" spans="1:15" ht="15" customHeight="1" x14ac:dyDescent="0.3">
      <c r="A1289" s="449" t="s">
        <v>53</v>
      </c>
      <c r="B1289" s="451" t="s">
        <v>54</v>
      </c>
      <c r="C1289" s="453" t="s">
        <v>96</v>
      </c>
      <c r="D1289" s="455" t="s">
        <v>55</v>
      </c>
      <c r="E1289" s="456"/>
      <c r="F1289" s="456"/>
      <c r="G1289" s="457"/>
      <c r="H1289" s="458" t="s">
        <v>56</v>
      </c>
      <c r="I1289" s="460" t="s">
        <v>57</v>
      </c>
      <c r="J1289" s="17"/>
      <c r="L1289" s="5"/>
      <c r="M1289" s="5"/>
      <c r="N1289" s="5"/>
      <c r="O1289" s="5"/>
    </row>
    <row r="1290" spans="1:15" ht="15" customHeight="1" x14ac:dyDescent="0.3">
      <c r="A1290" s="450"/>
      <c r="B1290" s="452"/>
      <c r="C1290" s="454"/>
      <c r="D1290" s="21" t="s">
        <v>24</v>
      </c>
      <c r="E1290" s="21" t="s">
        <v>25</v>
      </c>
      <c r="F1290" s="22" t="s">
        <v>99</v>
      </c>
      <c r="G1290" s="21" t="s">
        <v>58</v>
      </c>
      <c r="H1290" s="459"/>
      <c r="I1290" s="461"/>
      <c r="J1290" s="462" t="s">
        <v>97</v>
      </c>
      <c r="L1290" s="5"/>
      <c r="M1290" s="5"/>
      <c r="N1290" s="5"/>
      <c r="O1290" s="5"/>
    </row>
    <row r="1291" spans="1:15" x14ac:dyDescent="0.3">
      <c r="A1291" s="23"/>
      <c r="B1291" s="24" t="s">
        <v>59</v>
      </c>
      <c r="C1291" s="25"/>
      <c r="D1291" s="25"/>
      <c r="E1291" s="25"/>
      <c r="F1291" s="25"/>
      <c r="G1291" s="25"/>
      <c r="H1291" s="25"/>
      <c r="I1291" s="26"/>
      <c r="J1291" s="463"/>
      <c r="L1291" s="5"/>
      <c r="M1291" s="5"/>
      <c r="N1291" s="5"/>
      <c r="O1291" s="5"/>
    </row>
    <row r="1292" spans="1:15" x14ac:dyDescent="0.3">
      <c r="A1292" s="122" t="s">
        <v>98</v>
      </c>
      <c r="B1292" s="127" t="s">
        <v>76</v>
      </c>
      <c r="C1292" s="32">
        <v>-10750</v>
      </c>
      <c r="D1292" s="31"/>
      <c r="E1292" s="31">
        <v>170625</v>
      </c>
      <c r="F1292" s="31">
        <v>301700</v>
      </c>
      <c r="G1292" s="31"/>
      <c r="H1292" s="55">
        <v>27000</v>
      </c>
      <c r="I1292" s="32">
        <v>412375</v>
      </c>
      <c r="J1292" s="30">
        <f>+SUM(C1292:G1292)-(H1292+I1292)</f>
        <v>22200</v>
      </c>
      <c r="K1292" s="68"/>
      <c r="L1292" s="5"/>
      <c r="M1292" s="5"/>
      <c r="N1292" s="5"/>
      <c r="O1292" s="5"/>
    </row>
    <row r="1293" spans="1:15" x14ac:dyDescent="0.3">
      <c r="A1293" s="122" t="s">
        <v>98</v>
      </c>
      <c r="B1293" s="127" t="s">
        <v>47</v>
      </c>
      <c r="C1293" s="32">
        <v>9060</v>
      </c>
      <c r="D1293" s="31"/>
      <c r="E1293" s="31">
        <v>0</v>
      </c>
      <c r="F1293" s="31"/>
      <c r="G1293" s="31"/>
      <c r="H1293" s="55"/>
      <c r="I1293" s="32">
        <v>6000</v>
      </c>
      <c r="J1293" s="30">
        <f t="shared" ref="J1293:J1294" si="621">+SUM(C1293:G1293)-(H1293+I1293)</f>
        <v>3060</v>
      </c>
      <c r="K1293" s="68"/>
      <c r="L1293" s="5"/>
      <c r="M1293" s="5"/>
      <c r="N1293" s="5"/>
      <c r="O1293" s="5"/>
    </row>
    <row r="1294" spans="1:15" x14ac:dyDescent="0.3">
      <c r="A1294" s="122" t="s">
        <v>98</v>
      </c>
      <c r="B1294" s="127" t="s">
        <v>31</v>
      </c>
      <c r="C1294" s="32">
        <v>1195</v>
      </c>
      <c r="D1294" s="31"/>
      <c r="E1294" s="31">
        <v>75000</v>
      </c>
      <c r="F1294" s="32"/>
      <c r="G1294" s="32"/>
      <c r="H1294" s="32"/>
      <c r="I1294" s="32">
        <v>72400</v>
      </c>
      <c r="J1294" s="101">
        <f t="shared" si="621"/>
        <v>3795</v>
      </c>
      <c r="K1294" s="68"/>
      <c r="L1294" s="5"/>
      <c r="M1294" s="5"/>
      <c r="N1294" s="5"/>
      <c r="O1294" s="5"/>
    </row>
    <row r="1295" spans="1:15" x14ac:dyDescent="0.3">
      <c r="A1295" s="122" t="s">
        <v>98</v>
      </c>
      <c r="B1295" s="127" t="s">
        <v>77</v>
      </c>
      <c r="C1295" s="32">
        <v>-8600</v>
      </c>
      <c r="D1295" s="104"/>
      <c r="E1295" s="31">
        <v>596900</v>
      </c>
      <c r="F1295" s="32"/>
      <c r="G1295" s="32"/>
      <c r="H1295" s="32"/>
      <c r="I1295" s="32">
        <v>586000</v>
      </c>
      <c r="J1295" s="101">
        <f>+SUM(C1295:G1295)-(H1295+I1295)</f>
        <v>2300</v>
      </c>
      <c r="K1295" s="68"/>
      <c r="L1295" s="5"/>
      <c r="M1295" s="5"/>
      <c r="N1295" s="5"/>
      <c r="O1295" s="5"/>
    </row>
    <row r="1296" spans="1:15" x14ac:dyDescent="0.3">
      <c r="A1296" s="122" t="s">
        <v>98</v>
      </c>
      <c r="B1296" s="127" t="s">
        <v>69</v>
      </c>
      <c r="C1296" s="32">
        <v>8884</v>
      </c>
      <c r="D1296" s="104"/>
      <c r="E1296" s="31">
        <v>618600</v>
      </c>
      <c r="F1296" s="32">
        <v>27000</v>
      </c>
      <c r="G1296" s="32"/>
      <c r="H1296" s="32">
        <v>301700</v>
      </c>
      <c r="I1296" s="32">
        <v>367000</v>
      </c>
      <c r="J1296" s="101">
        <f t="shared" ref="J1296" si="622">+SUM(C1296:G1296)-(H1296+I1296)</f>
        <v>-14216</v>
      </c>
      <c r="K1296" s="68"/>
      <c r="L1296" s="5"/>
      <c r="M1296" s="5"/>
      <c r="N1296" s="5"/>
      <c r="O1296" s="5"/>
    </row>
    <row r="1297" spans="1:15" x14ac:dyDescent="0.3">
      <c r="A1297" s="119" t="s">
        <v>98</v>
      </c>
      <c r="B1297" s="128" t="s">
        <v>30</v>
      </c>
      <c r="C1297" s="51">
        <v>191600</v>
      </c>
      <c r="D1297" s="119"/>
      <c r="E1297" s="119">
        <v>777000</v>
      </c>
      <c r="F1297" s="51"/>
      <c r="G1297" s="51"/>
      <c r="H1297" s="51"/>
      <c r="I1297" s="51">
        <v>825300</v>
      </c>
      <c r="J1297" s="124">
        <f>+SUM(C1297:G1297)-(H1297+I1297)</f>
        <v>143300</v>
      </c>
      <c r="K1297" s="68"/>
      <c r="L1297" s="5"/>
      <c r="M1297" s="5"/>
      <c r="N1297" s="5"/>
      <c r="O1297" s="5"/>
    </row>
    <row r="1298" spans="1:15" x14ac:dyDescent="0.3">
      <c r="A1298" s="123" t="s">
        <v>98</v>
      </c>
      <c r="B1298" s="129" t="s">
        <v>84</v>
      </c>
      <c r="C1298" s="120">
        <v>233614</v>
      </c>
      <c r="D1298" s="123"/>
      <c r="E1298" s="123"/>
      <c r="F1298" s="123"/>
      <c r="G1298" s="123"/>
      <c r="H1298" s="120"/>
      <c r="I1298" s="120"/>
      <c r="J1298" s="121">
        <f>+SUM(C1298:G1298)-(H1298+I1298)</f>
        <v>233614</v>
      </c>
      <c r="K1298" s="68"/>
      <c r="L1298" s="5"/>
      <c r="M1298" s="5"/>
      <c r="N1298" s="5"/>
      <c r="O1298" s="5"/>
    </row>
    <row r="1299" spans="1:15" x14ac:dyDescent="0.3">
      <c r="A1299" s="123" t="s">
        <v>98</v>
      </c>
      <c r="B1299" s="129" t="s">
        <v>83</v>
      </c>
      <c r="C1299" s="120">
        <v>249769</v>
      </c>
      <c r="D1299" s="123"/>
      <c r="E1299" s="123"/>
      <c r="F1299" s="123"/>
      <c r="G1299" s="123"/>
      <c r="H1299" s="120"/>
      <c r="I1299" s="120"/>
      <c r="J1299" s="121">
        <f t="shared" ref="J1299:J1304" si="623">+SUM(C1299:G1299)-(H1299+I1299)</f>
        <v>249769</v>
      </c>
      <c r="K1299" s="68"/>
      <c r="L1299" s="5"/>
      <c r="M1299" s="5"/>
      <c r="N1299" s="5"/>
      <c r="O1299" s="5"/>
    </row>
    <row r="1300" spans="1:15" x14ac:dyDescent="0.3">
      <c r="A1300" s="122" t="s">
        <v>98</v>
      </c>
      <c r="B1300" s="127" t="s">
        <v>35</v>
      </c>
      <c r="C1300" s="32">
        <v>-3510</v>
      </c>
      <c r="D1300" s="31"/>
      <c r="E1300" s="31">
        <v>240100</v>
      </c>
      <c r="F1300" s="31"/>
      <c r="G1300" s="31"/>
      <c r="H1300" s="32"/>
      <c r="I1300" s="32">
        <v>181500</v>
      </c>
      <c r="J1300" s="30">
        <f t="shared" si="623"/>
        <v>55090</v>
      </c>
      <c r="K1300" s="68"/>
      <c r="L1300" s="5"/>
      <c r="M1300" s="5"/>
      <c r="N1300" s="5"/>
      <c r="O1300" s="5"/>
    </row>
    <row r="1301" spans="1:15" x14ac:dyDescent="0.3">
      <c r="A1301" s="122" t="s">
        <v>98</v>
      </c>
      <c r="B1301" s="127" t="s">
        <v>93</v>
      </c>
      <c r="C1301" s="32">
        <v>0</v>
      </c>
      <c r="D1301" s="31"/>
      <c r="E1301" s="31">
        <v>5000</v>
      </c>
      <c r="F1301" s="31"/>
      <c r="G1301" s="31"/>
      <c r="H1301" s="32"/>
      <c r="I1301" s="32">
        <v>5000</v>
      </c>
      <c r="J1301" s="30">
        <f t="shared" si="623"/>
        <v>0</v>
      </c>
      <c r="K1301" s="68"/>
      <c r="L1301" s="5"/>
      <c r="M1301" s="5"/>
      <c r="N1301" s="5"/>
      <c r="O1301" s="5"/>
    </row>
    <row r="1302" spans="1:15" x14ac:dyDescent="0.3">
      <c r="A1302" s="122" t="s">
        <v>98</v>
      </c>
      <c r="B1302" s="127" t="s">
        <v>29</v>
      </c>
      <c r="C1302" s="32">
        <v>111200</v>
      </c>
      <c r="D1302" s="31"/>
      <c r="E1302" s="31">
        <v>704000</v>
      </c>
      <c r="F1302" s="31"/>
      <c r="G1302" s="31"/>
      <c r="H1302" s="32"/>
      <c r="I1302" s="32">
        <v>704500</v>
      </c>
      <c r="J1302" s="30">
        <f t="shared" si="623"/>
        <v>110700</v>
      </c>
      <c r="K1302" s="68"/>
      <c r="L1302" s="5"/>
      <c r="M1302" s="5"/>
      <c r="N1302" s="5"/>
      <c r="O1302" s="5"/>
    </row>
    <row r="1303" spans="1:15" x14ac:dyDescent="0.3">
      <c r="A1303" s="122" t="s">
        <v>98</v>
      </c>
      <c r="B1303" s="127" t="s">
        <v>94</v>
      </c>
      <c r="C1303" s="32">
        <v>-32081</v>
      </c>
      <c r="D1303" s="31"/>
      <c r="E1303" s="31">
        <v>0</v>
      </c>
      <c r="F1303" s="31"/>
      <c r="G1303" s="31"/>
      <c r="H1303" s="32"/>
      <c r="I1303" s="32">
        <v>0</v>
      </c>
      <c r="J1303" s="30">
        <f t="shared" si="623"/>
        <v>-32081</v>
      </c>
      <c r="K1303" s="68"/>
      <c r="L1303" s="5"/>
      <c r="M1303" s="5"/>
      <c r="N1303" s="5"/>
      <c r="O1303" s="5"/>
    </row>
    <row r="1304" spans="1:15" x14ac:dyDescent="0.3">
      <c r="A1304" s="122" t="s">
        <v>98</v>
      </c>
      <c r="B1304" s="128" t="s">
        <v>32</v>
      </c>
      <c r="C1304" s="51">
        <v>5300</v>
      </c>
      <c r="D1304" s="119"/>
      <c r="E1304" s="119">
        <v>10000</v>
      </c>
      <c r="F1304" s="119"/>
      <c r="G1304" s="130"/>
      <c r="H1304" s="51"/>
      <c r="I1304" s="51">
        <v>8000</v>
      </c>
      <c r="J1304" s="30">
        <f t="shared" si="623"/>
        <v>7300</v>
      </c>
      <c r="K1304" s="68"/>
      <c r="L1304" s="5"/>
      <c r="M1304" s="5"/>
      <c r="N1304" s="5"/>
      <c r="O1304" s="5"/>
    </row>
    <row r="1305" spans="1:15" x14ac:dyDescent="0.3">
      <c r="A1305" s="34" t="s">
        <v>60</v>
      </c>
      <c r="B1305" s="35"/>
      <c r="C1305" s="35"/>
      <c r="D1305" s="35"/>
      <c r="E1305" s="35"/>
      <c r="F1305" s="35"/>
      <c r="G1305" s="35"/>
      <c r="H1305" s="35"/>
      <c r="I1305" s="35"/>
      <c r="J1305" s="36"/>
      <c r="K1305" s="68"/>
      <c r="L1305" s="5"/>
      <c r="M1305" s="5"/>
      <c r="N1305" s="5"/>
      <c r="O1305" s="5"/>
    </row>
    <row r="1306" spans="1:15" x14ac:dyDescent="0.3">
      <c r="A1306" s="27" t="s">
        <v>98</v>
      </c>
      <c r="B1306" s="37" t="s">
        <v>61</v>
      </c>
      <c r="C1306" s="38">
        <v>733034</v>
      </c>
      <c r="D1306" s="39">
        <v>4293000</v>
      </c>
      <c r="E1306" s="39"/>
      <c r="F1306" s="39"/>
      <c r="G1306" s="125"/>
      <c r="H1306" s="131">
        <v>3197225</v>
      </c>
      <c r="I1306" s="126">
        <v>1011040</v>
      </c>
      <c r="J1306" s="30">
        <f>+SUM(C1306:G1306)-(H1306+I1306)</f>
        <v>817769</v>
      </c>
      <c r="K1306" s="68"/>
      <c r="L1306" s="5"/>
      <c r="M1306" s="5"/>
      <c r="N1306" s="5"/>
      <c r="O1306" s="5"/>
    </row>
    <row r="1307" spans="1:15" x14ac:dyDescent="0.3">
      <c r="A1307" s="43" t="s">
        <v>62</v>
      </c>
      <c r="B1307" s="24"/>
      <c r="C1307" s="35"/>
      <c r="D1307" s="24"/>
      <c r="E1307" s="24"/>
      <c r="F1307" s="24"/>
      <c r="G1307" s="24"/>
      <c r="H1307" s="24"/>
      <c r="I1307" s="24"/>
      <c r="J1307" s="36"/>
      <c r="L1307" s="5"/>
      <c r="M1307" s="5"/>
      <c r="N1307" s="5"/>
      <c r="O1307" s="5"/>
    </row>
    <row r="1308" spans="1:15" x14ac:dyDescent="0.3">
      <c r="A1308" s="27" t="s">
        <v>98</v>
      </c>
      <c r="B1308" s="37" t="s">
        <v>63</v>
      </c>
      <c r="C1308" s="125">
        <v>19184971</v>
      </c>
      <c r="D1308" s="132"/>
      <c r="E1308" s="49"/>
      <c r="F1308" s="49"/>
      <c r="G1308" s="49"/>
      <c r="H1308" s="51">
        <v>4000000</v>
      </c>
      <c r="I1308" s="53">
        <v>472051</v>
      </c>
      <c r="J1308" s="30">
        <f>+SUM(C1308:G1308)-(H1308+I1308)</f>
        <v>14712920</v>
      </c>
      <c r="K1308" s="68"/>
      <c r="L1308" s="5"/>
      <c r="M1308" s="5"/>
      <c r="N1308" s="5"/>
      <c r="O1308" s="5"/>
    </row>
    <row r="1309" spans="1:15" x14ac:dyDescent="0.3">
      <c r="A1309" s="27" t="s">
        <v>98</v>
      </c>
      <c r="B1309" s="37" t="s">
        <v>64</v>
      </c>
      <c r="C1309" s="125">
        <v>14419055</v>
      </c>
      <c r="D1309" s="49"/>
      <c r="E1309" s="48"/>
      <c r="F1309" s="48"/>
      <c r="G1309" s="48"/>
      <c r="H1309" s="32">
        <v>293000</v>
      </c>
      <c r="I1309" s="50">
        <v>5764972</v>
      </c>
      <c r="J1309" s="30">
        <f>SUM(C1309:G1309)-(H1309+I1309)</f>
        <v>8361083</v>
      </c>
      <c r="K1309" s="68"/>
      <c r="L1309" s="5"/>
      <c r="M1309" s="5"/>
      <c r="N1309" s="5"/>
      <c r="O1309" s="5"/>
    </row>
    <row r="1310" spans="1:15" ht="15.6" x14ac:dyDescent="0.3">
      <c r="C1310" s="9"/>
      <c r="I1310" s="9"/>
      <c r="J1310" s="105">
        <f>+SUM(J1292:J1309)</f>
        <v>24676603</v>
      </c>
      <c r="L1310" s="5"/>
      <c r="M1310" s="5"/>
      <c r="N1310" s="5"/>
      <c r="O1310" s="5"/>
    </row>
    <row r="1311" spans="1:15" x14ac:dyDescent="0.3">
      <c r="A1311" s="10"/>
      <c r="B1311" s="11"/>
      <c r="C1311" s="12"/>
      <c r="D1311" s="12"/>
      <c r="E1311" s="12"/>
      <c r="F1311" s="12"/>
      <c r="G1311" s="12"/>
      <c r="H1311" s="12"/>
      <c r="I1311" s="12"/>
      <c r="J1311" s="133"/>
      <c r="L1311" s="5"/>
      <c r="M1311" s="5"/>
      <c r="N1311" s="5"/>
      <c r="O1311" s="5"/>
    </row>
    <row r="1312" spans="1:15" x14ac:dyDescent="0.3">
      <c r="A1312" s="16" t="s">
        <v>52</v>
      </c>
      <c r="B1312" s="16"/>
      <c r="C1312" s="16"/>
      <c r="D1312" s="17"/>
      <c r="E1312" s="17"/>
      <c r="F1312" s="17"/>
      <c r="G1312" s="17"/>
      <c r="H1312" s="17"/>
      <c r="I1312" s="17"/>
      <c r="L1312" s="5"/>
      <c r="M1312" s="5"/>
      <c r="N1312" s="5"/>
      <c r="O1312" s="5"/>
    </row>
    <row r="1313" spans="1:15" x14ac:dyDescent="0.3">
      <c r="A1313" s="18" t="s">
        <v>87</v>
      </c>
      <c r="B1313" s="18"/>
      <c r="C1313" s="18"/>
      <c r="D1313" s="18"/>
      <c r="E1313" s="18"/>
      <c r="F1313" s="18"/>
      <c r="G1313" s="18"/>
      <c r="H1313" s="18"/>
      <c r="I1313" s="18"/>
      <c r="J1313" s="17"/>
      <c r="L1313" s="5"/>
      <c r="M1313" s="5"/>
      <c r="N1313" s="5"/>
      <c r="O1313" s="5"/>
    </row>
    <row r="1314" spans="1:15" ht="15" customHeight="1" x14ac:dyDescent="0.3">
      <c r="A1314" s="19"/>
      <c r="B1314" s="17"/>
      <c r="C1314" s="20"/>
      <c r="D1314" s="20"/>
      <c r="E1314" s="20"/>
      <c r="F1314" s="20"/>
      <c r="G1314" s="20"/>
      <c r="H1314" s="17"/>
      <c r="I1314" s="17"/>
      <c r="J1314" s="18"/>
      <c r="L1314" s="5"/>
      <c r="M1314" s="5"/>
      <c r="N1314" s="5"/>
      <c r="O1314" s="5"/>
    </row>
    <row r="1315" spans="1:15" ht="15" customHeight="1" x14ac:dyDescent="0.3">
      <c r="A1315" s="449" t="s">
        <v>53</v>
      </c>
      <c r="B1315" s="451" t="s">
        <v>54</v>
      </c>
      <c r="C1315" s="453" t="s">
        <v>88</v>
      </c>
      <c r="D1315" s="455" t="s">
        <v>55</v>
      </c>
      <c r="E1315" s="456"/>
      <c r="F1315" s="456"/>
      <c r="G1315" s="457"/>
      <c r="H1315" s="458" t="s">
        <v>56</v>
      </c>
      <c r="I1315" s="460" t="s">
        <v>57</v>
      </c>
      <c r="J1315" s="17"/>
      <c r="L1315" s="5"/>
      <c r="M1315" s="5"/>
      <c r="N1315" s="5"/>
      <c r="O1315" s="5"/>
    </row>
    <row r="1316" spans="1:15" ht="15" customHeight="1" x14ac:dyDescent="0.3">
      <c r="A1316" s="450"/>
      <c r="B1316" s="452"/>
      <c r="C1316" s="454"/>
      <c r="D1316" s="21" t="s">
        <v>24</v>
      </c>
      <c r="E1316" s="21" t="s">
        <v>25</v>
      </c>
      <c r="F1316" s="22" t="s">
        <v>91</v>
      </c>
      <c r="G1316" s="21" t="s">
        <v>58</v>
      </c>
      <c r="H1316" s="459"/>
      <c r="I1316" s="461"/>
      <c r="J1316" s="462" t="s">
        <v>89</v>
      </c>
      <c r="L1316" s="5"/>
      <c r="M1316" s="5"/>
      <c r="N1316" s="5"/>
      <c r="O1316" s="5"/>
    </row>
    <row r="1317" spans="1:15" x14ac:dyDescent="0.3">
      <c r="A1317" s="23"/>
      <c r="B1317" s="24" t="s">
        <v>59</v>
      </c>
      <c r="C1317" s="25"/>
      <c r="D1317" s="25"/>
      <c r="E1317" s="25"/>
      <c r="F1317" s="25"/>
      <c r="G1317" s="25"/>
      <c r="H1317" s="25"/>
      <c r="I1317" s="26"/>
      <c r="J1317" s="463"/>
      <c r="L1317" s="5"/>
      <c r="M1317" s="5"/>
      <c r="N1317" s="5"/>
      <c r="O1317" s="5"/>
    </row>
    <row r="1318" spans="1:15" x14ac:dyDescent="0.3">
      <c r="A1318" s="27" t="s">
        <v>90</v>
      </c>
      <c r="B1318" s="8" t="s">
        <v>76</v>
      </c>
      <c r="C1318" s="28" t="e">
        <f>+#REF!</f>
        <v>#REF!</v>
      </c>
      <c r="D1318" s="29"/>
      <c r="E1318" s="29">
        <v>271100</v>
      </c>
      <c r="F1318" s="29">
        <f>112800+126500</f>
        <v>239300</v>
      </c>
      <c r="G1318" s="29"/>
      <c r="H1318" s="55"/>
      <c r="I1318" s="33">
        <v>521950</v>
      </c>
      <c r="J1318" s="30" t="e">
        <f>+SUM(C1318:G1318)-(H1318+I1318)</f>
        <v>#REF!</v>
      </c>
      <c r="L1318" s="5"/>
      <c r="M1318" s="5"/>
      <c r="N1318" s="5"/>
      <c r="O1318" s="5"/>
    </row>
    <row r="1319" spans="1:15" x14ac:dyDescent="0.3">
      <c r="A1319" s="27" t="s">
        <v>90</v>
      </c>
      <c r="B1319" s="8" t="s">
        <v>47</v>
      </c>
      <c r="C1319" s="28" t="e">
        <f>+C1083</f>
        <v>#REF!</v>
      </c>
      <c r="D1319" s="29"/>
      <c r="E1319" s="29">
        <v>625000</v>
      </c>
      <c r="F1319" s="29"/>
      <c r="G1319" s="29"/>
      <c r="H1319" s="55">
        <v>247500</v>
      </c>
      <c r="I1319" s="33">
        <v>371500</v>
      </c>
      <c r="J1319" s="30" t="e">
        <f t="shared" ref="J1319:J1320" si="624">+SUM(C1319:G1319)-(H1319+I1319)</f>
        <v>#REF!</v>
      </c>
      <c r="L1319" s="5"/>
      <c r="M1319" s="5"/>
      <c r="N1319" s="5"/>
      <c r="O1319" s="5"/>
    </row>
    <row r="1320" spans="1:15" x14ac:dyDescent="0.3">
      <c r="A1320" s="27" t="s">
        <v>90</v>
      </c>
      <c r="B1320" s="8" t="s">
        <v>31</v>
      </c>
      <c r="C1320" s="28" t="e">
        <f>+C1084</f>
        <v>#REF!</v>
      </c>
      <c r="D1320" s="29"/>
      <c r="E1320" s="29">
        <v>60000</v>
      </c>
      <c r="F1320" s="100"/>
      <c r="G1320" s="100"/>
      <c r="H1320" s="32"/>
      <c r="I1320" s="54">
        <v>67200</v>
      </c>
      <c r="J1320" s="101" t="e">
        <f t="shared" si="624"/>
        <v>#REF!</v>
      </c>
      <c r="L1320" s="5"/>
      <c r="M1320" s="5"/>
      <c r="N1320" s="5"/>
      <c r="O1320" s="5"/>
    </row>
    <row r="1321" spans="1:15" ht="15.75" customHeight="1" x14ac:dyDescent="0.3">
      <c r="A1321" s="27" t="s">
        <v>90</v>
      </c>
      <c r="B1321" s="8" t="s">
        <v>77</v>
      </c>
      <c r="C1321" s="28" t="e">
        <f>+C1085</f>
        <v>#REF!</v>
      </c>
      <c r="D1321" s="56"/>
      <c r="E1321" s="29">
        <v>140000</v>
      </c>
      <c r="F1321" s="100">
        <v>270500</v>
      </c>
      <c r="G1321" s="100"/>
      <c r="H1321" s="32"/>
      <c r="I1321" s="32">
        <v>417300</v>
      </c>
      <c r="J1321" s="101" t="e">
        <f>+SUM(C1321:G1321)-(H1321+I1321)</f>
        <v>#REF!</v>
      </c>
      <c r="L1321" s="5"/>
      <c r="M1321" s="5"/>
      <c r="N1321" s="5"/>
      <c r="O1321" s="5"/>
    </row>
    <row r="1322" spans="1:15" x14ac:dyDescent="0.3">
      <c r="A1322" s="27" t="s">
        <v>90</v>
      </c>
      <c r="B1322" s="8" t="s">
        <v>69</v>
      </c>
      <c r="C1322" s="28">
        <v>15984</v>
      </c>
      <c r="D1322" s="56"/>
      <c r="E1322" s="29">
        <v>256400</v>
      </c>
      <c r="F1322" s="100"/>
      <c r="G1322" s="100"/>
      <c r="H1322" s="32"/>
      <c r="I1322" s="33">
        <v>263500</v>
      </c>
      <c r="J1322" s="101">
        <f t="shared" ref="J1322" si="625">+SUM(C1322:G1322)-(H1322+I1322)</f>
        <v>8884</v>
      </c>
      <c r="L1322" s="5"/>
      <c r="M1322" s="5"/>
      <c r="N1322" s="5"/>
      <c r="O1322" s="5"/>
    </row>
    <row r="1323" spans="1:15" x14ac:dyDescent="0.3">
      <c r="A1323" s="27" t="s">
        <v>90</v>
      </c>
      <c r="B1323" s="8" t="s">
        <v>30</v>
      </c>
      <c r="C1323" s="28" t="e">
        <f t="shared" ref="C1323:C1327" si="626">+C1086</f>
        <v>#REF!</v>
      </c>
      <c r="D1323" s="29"/>
      <c r="E1323" s="29">
        <v>858500</v>
      </c>
      <c r="F1323" s="100"/>
      <c r="G1323" s="100"/>
      <c r="H1323" s="32"/>
      <c r="I1323" s="33">
        <v>645000</v>
      </c>
      <c r="J1323" s="101" t="e">
        <f>+SUM(C1323:G1323)-(H1323+I1323)</f>
        <v>#REF!</v>
      </c>
      <c r="L1323" s="5"/>
      <c r="M1323" s="5"/>
      <c r="N1323" s="5"/>
      <c r="O1323" s="5"/>
    </row>
    <row r="1324" spans="1:15" x14ac:dyDescent="0.3">
      <c r="A1324" s="27" t="s">
        <v>90</v>
      </c>
      <c r="B1324" s="8" t="s">
        <v>35</v>
      </c>
      <c r="C1324" s="28" t="e">
        <f t="shared" si="626"/>
        <v>#REF!</v>
      </c>
      <c r="D1324" s="29"/>
      <c r="E1324" s="29">
        <v>800700</v>
      </c>
      <c r="F1324" s="29"/>
      <c r="G1324" s="29"/>
      <c r="H1324" s="32">
        <v>262300</v>
      </c>
      <c r="I1324" s="33">
        <v>543600</v>
      </c>
      <c r="J1324" s="30" t="e">
        <f>+SUM(C1324:G1324)-(H1324+I1324)</f>
        <v>#REF!</v>
      </c>
      <c r="L1324" s="5"/>
      <c r="M1324" s="5"/>
      <c r="N1324" s="5"/>
      <c r="O1324" s="5"/>
    </row>
    <row r="1325" spans="1:15" x14ac:dyDescent="0.3">
      <c r="A1325" s="27" t="s">
        <v>90</v>
      </c>
      <c r="B1325" s="8" t="s">
        <v>29</v>
      </c>
      <c r="C1325" s="28" t="e">
        <f t="shared" si="626"/>
        <v>#REF!</v>
      </c>
      <c r="D1325" s="29"/>
      <c r="E1325" s="29">
        <v>971600</v>
      </c>
      <c r="F1325" s="29"/>
      <c r="G1325" s="29"/>
      <c r="H1325" s="32">
        <v>200000</v>
      </c>
      <c r="I1325" s="33">
        <v>639450</v>
      </c>
      <c r="J1325" s="30" t="e">
        <f t="shared" ref="J1325:J1326" si="627">+SUM(C1325:G1325)-(H1325+I1325)</f>
        <v>#REF!</v>
      </c>
      <c r="L1325" s="5"/>
      <c r="M1325" s="5"/>
      <c r="N1325" s="5"/>
      <c r="O1325" s="5"/>
    </row>
    <row r="1326" spans="1:15" x14ac:dyDescent="0.3">
      <c r="A1326" s="27" t="s">
        <v>90</v>
      </c>
      <c r="B1326" s="8" t="s">
        <v>5</v>
      </c>
      <c r="C1326" s="28" t="e">
        <f t="shared" si="626"/>
        <v>#REF!</v>
      </c>
      <c r="D1326" s="29"/>
      <c r="E1326" s="29"/>
      <c r="F1326" s="29"/>
      <c r="G1326" s="29"/>
      <c r="H1326" s="32"/>
      <c r="I1326" s="54">
        <v>23000</v>
      </c>
      <c r="J1326" s="30" t="e">
        <f t="shared" si="627"/>
        <v>#REF!</v>
      </c>
      <c r="L1326" s="5"/>
      <c r="M1326" s="5"/>
      <c r="N1326" s="5"/>
      <c r="O1326" s="5"/>
    </row>
    <row r="1327" spans="1:15" x14ac:dyDescent="0.3">
      <c r="A1327" s="27" t="s">
        <v>90</v>
      </c>
      <c r="B1327" s="8" t="s">
        <v>32</v>
      </c>
      <c r="C1327" s="28" t="e">
        <f t="shared" si="626"/>
        <v>#REF!</v>
      </c>
      <c r="D1327" s="29"/>
      <c r="E1327" s="29"/>
      <c r="F1327" s="29"/>
      <c r="G1327" s="29"/>
      <c r="H1327" s="32"/>
      <c r="I1327" s="33">
        <v>0</v>
      </c>
      <c r="J1327" s="30" t="e">
        <f>+SUM(C1327:G1327)-(H1327+I1327)</f>
        <v>#REF!</v>
      </c>
      <c r="L1327" s="5"/>
      <c r="M1327" s="5"/>
      <c r="N1327" s="5"/>
      <c r="O1327" s="5"/>
    </row>
    <row r="1328" spans="1:15" x14ac:dyDescent="0.3">
      <c r="A1328" s="107" t="s">
        <v>90</v>
      </c>
      <c r="B1328" s="108" t="s">
        <v>92</v>
      </c>
      <c r="C1328" s="109">
        <v>3721074</v>
      </c>
      <c r="D1328" s="110"/>
      <c r="E1328" s="111"/>
      <c r="F1328" s="110"/>
      <c r="G1328" s="112"/>
      <c r="H1328" s="109">
        <v>3721074</v>
      </c>
      <c r="I1328" s="113"/>
      <c r="J1328" s="114">
        <f>+SUM(C1328:G1328)-(H1328+I1328)</f>
        <v>0</v>
      </c>
      <c r="L1328" s="5"/>
      <c r="M1328" s="5"/>
      <c r="N1328" s="5"/>
      <c r="O1328" s="5"/>
    </row>
    <row r="1329" spans="1:15" x14ac:dyDescent="0.3">
      <c r="A1329" s="34" t="s">
        <v>60</v>
      </c>
      <c r="B1329" s="35"/>
      <c r="C1329" s="35"/>
      <c r="D1329" s="35"/>
      <c r="E1329" s="35"/>
      <c r="F1329" s="35"/>
      <c r="G1329" s="35"/>
      <c r="H1329" s="35"/>
      <c r="I1329" s="35"/>
      <c r="J1329" s="36"/>
      <c r="L1329" s="5"/>
      <c r="M1329" s="5"/>
      <c r="N1329" s="5"/>
      <c r="O1329" s="5"/>
    </row>
    <row r="1330" spans="1:15" x14ac:dyDescent="0.3">
      <c r="A1330" s="27" t="s">
        <v>90</v>
      </c>
      <c r="B1330" s="37" t="s">
        <v>61</v>
      </c>
      <c r="C1330" s="38" t="e">
        <f>+C1082</f>
        <v>#REF!</v>
      </c>
      <c r="D1330" s="39">
        <v>5000000</v>
      </c>
      <c r="E1330" s="39"/>
      <c r="F1330" s="39"/>
      <c r="G1330" s="40">
        <v>200000</v>
      </c>
      <c r="H1330" s="47">
        <v>3983300</v>
      </c>
      <c r="I1330" s="41">
        <v>776245</v>
      </c>
      <c r="J1330" s="42" t="e">
        <f>+SUM(C1330:G1330)-(H1330+I1330)</f>
        <v>#REF!</v>
      </c>
      <c r="L1330" s="5"/>
      <c r="M1330" s="5"/>
      <c r="N1330" s="5"/>
      <c r="O1330" s="5"/>
    </row>
    <row r="1331" spans="1:15" x14ac:dyDescent="0.3">
      <c r="A1331" s="43" t="s">
        <v>62</v>
      </c>
      <c r="B1331" s="24"/>
      <c r="C1331" s="35"/>
      <c r="D1331" s="24"/>
      <c r="E1331" s="24"/>
      <c r="F1331" s="24"/>
      <c r="G1331" s="24"/>
      <c r="H1331" s="24"/>
      <c r="I1331" s="24"/>
      <c r="J1331" s="36"/>
      <c r="L1331" s="5"/>
      <c r="M1331" s="5"/>
      <c r="N1331" s="5"/>
      <c r="O1331" s="5"/>
    </row>
    <row r="1332" spans="1:15" x14ac:dyDescent="0.3">
      <c r="A1332" s="27" t="s">
        <v>90</v>
      </c>
      <c r="B1332" s="37" t="s">
        <v>63</v>
      </c>
      <c r="C1332" s="44" t="e">
        <f>+#REF!</f>
        <v>#REF!</v>
      </c>
      <c r="D1332" s="52">
        <v>19826114</v>
      </c>
      <c r="E1332" s="49"/>
      <c r="F1332" s="49"/>
      <c r="G1332" s="49"/>
      <c r="H1332" s="51">
        <v>5000000</v>
      </c>
      <c r="I1332" s="53">
        <v>455737</v>
      </c>
      <c r="J1332" s="30" t="e">
        <f>+SUM(C1332:G1332)-(H1332+I1332)</f>
        <v>#REF!</v>
      </c>
      <c r="L1332" s="5"/>
      <c r="M1332" s="5"/>
      <c r="N1332" s="5"/>
      <c r="O1332" s="5"/>
    </row>
    <row r="1333" spans="1:15" x14ac:dyDescent="0.3">
      <c r="A1333" s="27" t="s">
        <v>90</v>
      </c>
      <c r="B1333" s="37" t="s">
        <v>64</v>
      </c>
      <c r="C1333" s="44" t="e">
        <f>+C1081</f>
        <v>#REF!</v>
      </c>
      <c r="D1333" s="49">
        <v>13119140</v>
      </c>
      <c r="E1333" s="48"/>
      <c r="F1333" s="48"/>
      <c r="G1333" s="48"/>
      <c r="H1333" s="32"/>
      <c r="I1333" s="50">
        <v>3445919</v>
      </c>
      <c r="J1333" s="30" t="e">
        <f>SUM(C1333:G1333)-(H1333+I1333)</f>
        <v>#REF!</v>
      </c>
      <c r="L1333" s="5"/>
      <c r="M1333" s="5"/>
      <c r="N1333" s="5"/>
      <c r="O1333" s="5"/>
    </row>
    <row r="1334" spans="1:15" x14ac:dyDescent="0.3">
      <c r="A1334" s="148" t="s">
        <v>90</v>
      </c>
      <c r="B1334" s="145" t="s">
        <v>83</v>
      </c>
      <c r="C1334" s="149">
        <v>249769</v>
      </c>
      <c r="D1334" s="49"/>
      <c r="E1334" s="49"/>
      <c r="F1334" s="49"/>
      <c r="G1334" s="49"/>
      <c r="H1334" s="32"/>
      <c r="I1334" s="50"/>
      <c r="J1334" s="150">
        <f>SUM(C1334:G1334)-(H1334+I1334)</f>
        <v>249769</v>
      </c>
      <c r="L1334" s="5"/>
      <c r="M1334" s="5"/>
      <c r="N1334" s="5"/>
      <c r="O1334" s="5"/>
    </row>
    <row r="1335" spans="1:15" x14ac:dyDescent="0.3">
      <c r="A1335" s="148" t="s">
        <v>90</v>
      </c>
      <c r="B1335" s="146" t="s">
        <v>84</v>
      </c>
      <c r="C1335" s="149">
        <v>233614</v>
      </c>
      <c r="D1335" s="49"/>
      <c r="E1335" s="49"/>
      <c r="F1335" s="49"/>
      <c r="G1335" s="49"/>
      <c r="H1335" s="32"/>
      <c r="I1335" s="50"/>
      <c r="J1335" s="150">
        <f>SUM(C1335:G1335)-(H1335+I1335)</f>
        <v>233614</v>
      </c>
      <c r="L1335" s="5"/>
      <c r="M1335" s="5"/>
      <c r="N1335" s="5"/>
      <c r="O1335" s="5"/>
    </row>
    <row r="1336" spans="1:15" x14ac:dyDescent="0.3">
      <c r="A1336" s="148" t="s">
        <v>90</v>
      </c>
      <c r="B1336" s="147" t="s">
        <v>85</v>
      </c>
      <c r="C1336" s="149">
        <v>330169</v>
      </c>
      <c r="D1336" s="151"/>
      <c r="E1336" s="151"/>
      <c r="F1336" s="151"/>
      <c r="G1336" s="151"/>
      <c r="H1336" s="151"/>
      <c r="I1336" s="151"/>
      <c r="J1336" s="150">
        <f>SUM(C1336:G1336)-(H1336+I1336)</f>
        <v>330169</v>
      </c>
      <c r="L1336" s="5"/>
      <c r="M1336" s="5"/>
      <c r="N1336" s="5"/>
      <c r="O1336" s="5"/>
    </row>
    <row r="1337" spans="1:15" ht="15.6" x14ac:dyDescent="0.3">
      <c r="C1337" s="9"/>
      <c r="I1337" s="9"/>
      <c r="J1337" s="105" t="e">
        <f>+SUM(J1318:J1336)</f>
        <v>#REF!</v>
      </c>
      <c r="K1337" s="106" t="e">
        <f>+J1337-I1094</f>
        <v>#REF!</v>
      </c>
      <c r="L1337" s="5"/>
      <c r="M1337" s="5"/>
      <c r="N1337" s="5"/>
      <c r="O1337" s="5"/>
    </row>
    <row r="1339" spans="1:15" x14ac:dyDescent="0.3">
      <c r="A1339" s="16" t="s">
        <v>52</v>
      </c>
      <c r="B1339" s="16"/>
      <c r="C1339" s="16"/>
      <c r="D1339" s="17"/>
      <c r="E1339" s="17"/>
      <c r="F1339" s="17"/>
      <c r="G1339" s="17"/>
      <c r="H1339" s="17"/>
      <c r="I1339" s="17"/>
      <c r="L1339" s="5"/>
      <c r="M1339" s="5"/>
      <c r="N1339" s="5"/>
      <c r="O1339" s="5"/>
    </row>
    <row r="1340" spans="1:15" x14ac:dyDescent="0.3">
      <c r="A1340" s="18" t="s">
        <v>78</v>
      </c>
      <c r="B1340" s="18"/>
      <c r="C1340" s="18"/>
      <c r="D1340" s="18"/>
      <c r="E1340" s="18"/>
      <c r="F1340" s="18"/>
      <c r="G1340" s="18"/>
      <c r="H1340" s="18"/>
      <c r="I1340" s="18"/>
      <c r="J1340" s="17"/>
      <c r="L1340" s="5"/>
      <c r="M1340" s="5"/>
      <c r="N1340" s="5"/>
      <c r="O1340" s="5"/>
    </row>
    <row r="1341" spans="1:15" x14ac:dyDescent="0.3">
      <c r="A1341" s="19"/>
      <c r="B1341" s="17"/>
      <c r="C1341" s="20"/>
      <c r="D1341" s="20"/>
      <c r="E1341" s="20"/>
      <c r="F1341" s="20"/>
      <c r="G1341" s="20"/>
      <c r="H1341" s="17"/>
      <c r="I1341" s="17"/>
      <c r="J1341" s="18"/>
      <c r="L1341" s="5"/>
      <c r="M1341" s="5"/>
      <c r="N1341" s="5"/>
      <c r="O1341" s="5"/>
    </row>
    <row r="1342" spans="1:15" x14ac:dyDescent="0.3">
      <c r="A1342" s="449" t="s">
        <v>53</v>
      </c>
      <c r="B1342" s="451" t="s">
        <v>54</v>
      </c>
      <c r="C1342" s="453" t="s">
        <v>80</v>
      </c>
      <c r="D1342" s="455" t="s">
        <v>55</v>
      </c>
      <c r="E1342" s="456"/>
      <c r="F1342" s="456"/>
      <c r="G1342" s="457"/>
      <c r="H1342" s="458" t="s">
        <v>56</v>
      </c>
      <c r="I1342" s="460" t="s">
        <v>57</v>
      </c>
      <c r="J1342" s="17"/>
      <c r="L1342" s="5"/>
      <c r="M1342" s="5"/>
      <c r="N1342" s="5"/>
      <c r="O1342" s="5"/>
    </row>
    <row r="1343" spans="1:15" ht="36.75" customHeight="1" x14ac:dyDescent="0.3">
      <c r="A1343" s="450"/>
      <c r="B1343" s="452"/>
      <c r="C1343" s="454"/>
      <c r="D1343" s="21" t="s">
        <v>24</v>
      </c>
      <c r="E1343" s="21" t="s">
        <v>25</v>
      </c>
      <c r="F1343" s="22" t="s">
        <v>69</v>
      </c>
      <c r="G1343" s="21" t="s">
        <v>58</v>
      </c>
      <c r="H1343" s="459"/>
      <c r="I1343" s="461"/>
      <c r="J1343" s="462" t="s">
        <v>86</v>
      </c>
      <c r="L1343" s="5"/>
      <c r="M1343" s="5"/>
      <c r="N1343" s="5"/>
      <c r="O1343" s="5"/>
    </row>
    <row r="1344" spans="1:15" x14ac:dyDescent="0.3">
      <c r="A1344" s="23"/>
      <c r="B1344" s="24" t="s">
        <v>59</v>
      </c>
      <c r="C1344" s="25"/>
      <c r="D1344" s="25"/>
      <c r="E1344" s="25"/>
      <c r="F1344" s="25"/>
      <c r="G1344" s="25"/>
      <c r="H1344" s="25"/>
      <c r="I1344" s="26"/>
      <c r="J1344" s="463"/>
      <c r="L1344" s="5"/>
      <c r="M1344" s="5"/>
      <c r="N1344" s="5"/>
      <c r="O1344" s="5"/>
    </row>
    <row r="1345" spans="1:15" x14ac:dyDescent="0.3">
      <c r="A1345" s="27" t="s">
        <v>79</v>
      </c>
      <c r="B1345" s="8" t="s">
        <v>76</v>
      </c>
      <c r="C1345" s="28">
        <v>0</v>
      </c>
      <c r="D1345" s="29"/>
      <c r="E1345" s="29">
        <v>40000</v>
      </c>
      <c r="F1345" s="29"/>
      <c r="G1345" s="29"/>
      <c r="H1345" s="55"/>
      <c r="I1345" s="33">
        <v>39200</v>
      </c>
      <c r="J1345" s="30">
        <f>+SUM(C1345:G1345)-(H1345+I1345)</f>
        <v>800</v>
      </c>
      <c r="L1345" s="5"/>
      <c r="M1345" s="5"/>
      <c r="N1345" s="5"/>
      <c r="O1345" s="5"/>
    </row>
    <row r="1346" spans="1:15" x14ac:dyDescent="0.3">
      <c r="A1346" s="27" t="s">
        <v>79</v>
      </c>
      <c r="B1346" s="8" t="str">
        <f>+A1083</f>
        <v>JUILLET</v>
      </c>
      <c r="C1346" s="28">
        <v>19060</v>
      </c>
      <c r="D1346" s="29"/>
      <c r="E1346" s="29">
        <v>20000</v>
      </c>
      <c r="F1346" s="29"/>
      <c r="G1346" s="29"/>
      <c r="H1346" s="55"/>
      <c r="I1346" s="33">
        <v>36000</v>
      </c>
      <c r="J1346" s="30">
        <f t="shared" ref="J1346:J1353" si="628">+SUM(C1346:G1346)-(H1346+I1346)</f>
        <v>3060</v>
      </c>
      <c r="L1346" s="5"/>
      <c r="M1346" s="5"/>
      <c r="N1346" s="5"/>
      <c r="O1346" s="5"/>
    </row>
    <row r="1347" spans="1:15" x14ac:dyDescent="0.3">
      <c r="A1347" s="27" t="s">
        <v>79</v>
      </c>
      <c r="B1347" s="8" t="str">
        <f>+A1084</f>
        <v>JUILLET</v>
      </c>
      <c r="C1347" s="28">
        <v>8395</v>
      </c>
      <c r="D1347" s="29"/>
      <c r="E1347" s="29">
        <v>20000</v>
      </c>
      <c r="F1347" s="100"/>
      <c r="G1347" s="100"/>
      <c r="H1347" s="32"/>
      <c r="I1347" s="54">
        <v>20000</v>
      </c>
      <c r="J1347" s="101">
        <f t="shared" si="628"/>
        <v>8395</v>
      </c>
      <c r="L1347" s="5"/>
      <c r="M1347" s="5"/>
      <c r="N1347" s="5"/>
      <c r="O1347" s="5"/>
    </row>
    <row r="1348" spans="1:15" x14ac:dyDescent="0.3">
      <c r="A1348" s="27" t="s">
        <v>79</v>
      </c>
      <c r="B1348" s="8" t="str">
        <f>+A1085</f>
        <v>JUILLET</v>
      </c>
      <c r="C1348" s="28">
        <v>0</v>
      </c>
      <c r="D1348" s="56"/>
      <c r="E1348" s="29">
        <v>100000</v>
      </c>
      <c r="F1348" s="100">
        <v>102200</v>
      </c>
      <c r="G1348" s="100"/>
      <c r="H1348" s="32"/>
      <c r="I1348" s="32">
        <v>204000</v>
      </c>
      <c r="J1348" s="101">
        <f>+SUM(C1348:G1348)-(H1348+I1348)</f>
        <v>-1800</v>
      </c>
      <c r="L1348" s="5"/>
      <c r="M1348" s="5"/>
      <c r="N1348" s="5"/>
      <c r="O1348" s="5"/>
    </row>
    <row r="1349" spans="1:15" x14ac:dyDescent="0.3">
      <c r="A1349" s="27" t="s">
        <v>79</v>
      </c>
      <c r="B1349" s="8" t="e">
        <f>+#REF!</f>
        <v>#REF!</v>
      </c>
      <c r="C1349" s="28">
        <v>7559</v>
      </c>
      <c r="D1349" s="56"/>
      <c r="E1349" s="29">
        <v>866200</v>
      </c>
      <c r="F1349" s="100"/>
      <c r="G1349" s="100"/>
      <c r="H1349" s="32">
        <v>252200</v>
      </c>
      <c r="I1349" s="33">
        <v>605575</v>
      </c>
      <c r="J1349" s="101">
        <f t="shared" si="628"/>
        <v>15984</v>
      </c>
      <c r="L1349" s="5"/>
      <c r="M1349" s="5"/>
      <c r="N1349" s="5"/>
      <c r="O1349" s="5"/>
    </row>
    <row r="1350" spans="1:15" x14ac:dyDescent="0.3">
      <c r="A1350" s="27" t="s">
        <v>79</v>
      </c>
      <c r="B1350" s="8" t="str">
        <f t="shared" ref="B1350:B1353" si="629">+A1086</f>
        <v>JUILLET</v>
      </c>
      <c r="C1350" s="28">
        <v>214000</v>
      </c>
      <c r="D1350" s="29"/>
      <c r="E1350" s="29">
        <v>724100</v>
      </c>
      <c r="F1350" s="100"/>
      <c r="G1350" s="100"/>
      <c r="H1350" s="32"/>
      <c r="I1350" s="33">
        <v>960000</v>
      </c>
      <c r="J1350" s="101">
        <f>+SUM(C1350:G1350)-(H1350+I1350)</f>
        <v>-21900</v>
      </c>
      <c r="L1350" s="5"/>
      <c r="M1350" s="5"/>
      <c r="N1350" s="5"/>
      <c r="O1350" s="5"/>
    </row>
    <row r="1351" spans="1:15" x14ac:dyDescent="0.3">
      <c r="A1351" s="27" t="s">
        <v>79</v>
      </c>
      <c r="B1351" s="8" t="str">
        <f t="shared" si="629"/>
        <v>JUILLET</v>
      </c>
      <c r="C1351" s="28">
        <v>-13805</v>
      </c>
      <c r="D1351" s="29"/>
      <c r="E1351" s="29">
        <v>333400</v>
      </c>
      <c r="F1351" s="29">
        <v>150000</v>
      </c>
      <c r="G1351" s="29"/>
      <c r="H1351" s="32">
        <v>129000</v>
      </c>
      <c r="I1351" s="33">
        <v>338905</v>
      </c>
      <c r="J1351" s="30">
        <f>+SUM(C1351:G1351)-(H1351+I1351)</f>
        <v>1690</v>
      </c>
      <c r="L1351" s="5"/>
      <c r="M1351" s="5"/>
      <c r="N1351" s="5"/>
      <c r="O1351" s="5"/>
    </row>
    <row r="1352" spans="1:15" x14ac:dyDescent="0.3">
      <c r="A1352" s="27" t="s">
        <v>79</v>
      </c>
      <c r="B1352" s="8" t="str">
        <f t="shared" si="629"/>
        <v>JUILLET</v>
      </c>
      <c r="C1352" s="28">
        <v>84350</v>
      </c>
      <c r="D1352" s="29"/>
      <c r="E1352" s="29">
        <v>669400</v>
      </c>
      <c r="F1352" s="29"/>
      <c r="G1352" s="29"/>
      <c r="H1352" s="32">
        <v>100000</v>
      </c>
      <c r="I1352" s="33">
        <v>674700</v>
      </c>
      <c r="J1352" s="30">
        <f>+SUM(C1352:G1352)-(H1352+I1352)</f>
        <v>-20950</v>
      </c>
      <c r="L1352" s="5"/>
      <c r="M1352" s="5"/>
      <c r="N1352" s="5"/>
      <c r="O1352" s="5"/>
    </row>
    <row r="1353" spans="1:15" x14ac:dyDescent="0.3">
      <c r="A1353" s="27" t="s">
        <v>79</v>
      </c>
      <c r="B1353" s="8" t="str">
        <f t="shared" si="629"/>
        <v>JUILLET</v>
      </c>
      <c r="C1353" s="28">
        <v>-216251</v>
      </c>
      <c r="D1353" s="29"/>
      <c r="E1353" s="29">
        <v>242000</v>
      </c>
      <c r="F1353" s="29"/>
      <c r="G1353" s="29"/>
      <c r="H1353" s="32"/>
      <c r="I1353" s="54">
        <v>34830</v>
      </c>
      <c r="J1353" s="30">
        <f t="shared" si="628"/>
        <v>-9081</v>
      </c>
      <c r="L1353" s="5"/>
      <c r="M1353" s="5"/>
      <c r="N1353" s="5"/>
      <c r="O1353" s="5"/>
    </row>
    <row r="1354" spans="1:15" x14ac:dyDescent="0.3">
      <c r="A1354" s="27" t="s">
        <v>79</v>
      </c>
      <c r="B1354" s="8" t="s">
        <v>33</v>
      </c>
      <c r="C1354" s="28">
        <v>2025</v>
      </c>
      <c r="D1354" s="29"/>
      <c r="E1354" s="29">
        <v>25000</v>
      </c>
      <c r="F1354" s="29"/>
      <c r="G1354" s="29"/>
      <c r="H1354" s="32">
        <v>3025</v>
      </c>
      <c r="I1354" s="33">
        <v>24000</v>
      </c>
      <c r="J1354" s="30">
        <f>+SUM(C1354:G1354)-(H1354+I1354)</f>
        <v>0</v>
      </c>
      <c r="L1354" s="5"/>
      <c r="M1354" s="5"/>
      <c r="N1354" s="5"/>
      <c r="O1354" s="5"/>
    </row>
    <row r="1355" spans="1:15" x14ac:dyDescent="0.3">
      <c r="A1355" s="27" t="s">
        <v>79</v>
      </c>
      <c r="B1355" s="8" t="s">
        <v>32</v>
      </c>
      <c r="C1355" s="28">
        <v>10000</v>
      </c>
      <c r="D1355" s="31"/>
      <c r="E1355" s="29">
        <v>0</v>
      </c>
      <c r="F1355" s="31"/>
      <c r="G1355" s="31"/>
      <c r="H1355" s="32"/>
      <c r="I1355" s="33">
        <v>4700</v>
      </c>
      <c r="J1355" s="30">
        <f>+SUM(C1355:G1355)-(H1355+I1355)</f>
        <v>5300</v>
      </c>
      <c r="L1355" s="5"/>
      <c r="M1355" s="5"/>
      <c r="N1355" s="5"/>
      <c r="O1355" s="5"/>
    </row>
    <row r="1356" spans="1:15" x14ac:dyDescent="0.3">
      <c r="A1356" s="34" t="s">
        <v>60</v>
      </c>
      <c r="B1356" s="35"/>
      <c r="C1356" s="35"/>
      <c r="D1356" s="35"/>
      <c r="E1356" s="35"/>
      <c r="F1356" s="35"/>
      <c r="G1356" s="35"/>
      <c r="H1356" s="35"/>
      <c r="I1356" s="35"/>
      <c r="J1356" s="36"/>
      <c r="L1356" s="5"/>
      <c r="M1356" s="5"/>
      <c r="N1356" s="5"/>
      <c r="O1356" s="5"/>
    </row>
    <row r="1357" spans="1:15" x14ac:dyDescent="0.3">
      <c r="A1357" s="27" t="s">
        <v>79</v>
      </c>
      <c r="B1357" s="37" t="s">
        <v>61</v>
      </c>
      <c r="C1357" s="38">
        <v>791675</v>
      </c>
      <c r="D1357" s="39">
        <v>3185100</v>
      </c>
      <c r="E1357" s="39"/>
      <c r="F1357" s="39"/>
      <c r="G1357" s="40">
        <v>237025</v>
      </c>
      <c r="H1357" s="47">
        <v>3045100</v>
      </c>
      <c r="I1357" s="41">
        <v>876121</v>
      </c>
      <c r="J1357" s="42">
        <f>+SUM(C1357:G1357)-(H1357+I1357)</f>
        <v>292579</v>
      </c>
      <c r="L1357" s="5"/>
      <c r="M1357" s="5"/>
      <c r="N1357" s="5"/>
      <c r="O1357" s="5"/>
    </row>
    <row r="1358" spans="1:15" x14ac:dyDescent="0.3">
      <c r="A1358" s="43" t="s">
        <v>62</v>
      </c>
      <c r="B1358" s="24"/>
      <c r="C1358" s="35"/>
      <c r="D1358" s="24"/>
      <c r="E1358" s="24"/>
      <c r="F1358" s="24"/>
      <c r="G1358" s="24"/>
      <c r="H1358" s="24"/>
      <c r="I1358" s="24"/>
      <c r="J1358" s="36"/>
      <c r="L1358" s="5"/>
      <c r="M1358" s="5"/>
      <c r="N1358" s="5"/>
      <c r="O1358" s="5"/>
    </row>
    <row r="1359" spans="1:15" x14ac:dyDescent="0.3">
      <c r="A1359" s="27" t="s">
        <v>79</v>
      </c>
      <c r="B1359" s="37" t="s">
        <v>63</v>
      </c>
      <c r="C1359" s="44">
        <v>8039273</v>
      </c>
      <c r="D1359" s="52">
        <v>0</v>
      </c>
      <c r="E1359" s="49"/>
      <c r="F1359" s="49"/>
      <c r="G1359" s="49"/>
      <c r="H1359" s="51">
        <v>3000000</v>
      </c>
      <c r="I1359" s="53">
        <v>224679</v>
      </c>
      <c r="J1359" s="30">
        <f>+SUM(C1359:G1359)-(H1359+I1359)</f>
        <v>4814594</v>
      </c>
      <c r="L1359" s="5"/>
      <c r="M1359" s="5"/>
      <c r="N1359" s="5"/>
      <c r="O1359" s="5"/>
    </row>
    <row r="1360" spans="1:15" x14ac:dyDescent="0.3">
      <c r="A1360" s="27" t="s">
        <v>79</v>
      </c>
      <c r="B1360" s="37" t="s">
        <v>64</v>
      </c>
      <c r="C1360" s="44">
        <v>13283340</v>
      </c>
      <c r="D1360" s="49">
        <v>0</v>
      </c>
      <c r="E1360" s="48"/>
      <c r="F1360" s="48"/>
      <c r="G1360" s="48"/>
      <c r="H1360" s="32">
        <v>185100</v>
      </c>
      <c r="I1360" s="50">
        <v>8352406</v>
      </c>
      <c r="J1360" s="30">
        <f>SUM(C1360:G1360)-(H1360+I1360)</f>
        <v>4745834</v>
      </c>
    </row>
    <row r="1361" spans="1:15" x14ac:dyDescent="0.3">
      <c r="A1361" s="45" t="s">
        <v>79</v>
      </c>
      <c r="B1361" s="145" t="s">
        <v>82</v>
      </c>
      <c r="C1361" s="44">
        <v>3721074</v>
      </c>
      <c r="D1361" s="45"/>
      <c r="E1361" s="45"/>
      <c r="F1361" s="45"/>
      <c r="G1361" s="45"/>
      <c r="H1361" s="45"/>
      <c r="I1361" s="45"/>
      <c r="J1361" s="101">
        <f>SUM(C1361:G1361)-(H1361+I1361)</f>
        <v>3721074</v>
      </c>
    </row>
    <row r="1362" spans="1:15" x14ac:dyDescent="0.3">
      <c r="A1362" s="45" t="s">
        <v>79</v>
      </c>
      <c r="B1362" s="145" t="s">
        <v>83</v>
      </c>
      <c r="C1362" s="44">
        <v>249769</v>
      </c>
      <c r="D1362" s="49"/>
      <c r="E1362" s="49"/>
      <c r="F1362" s="49"/>
      <c r="G1362" s="49"/>
      <c r="H1362" s="32"/>
      <c r="I1362" s="50"/>
      <c r="J1362" s="101">
        <f>SUM(C1362:G1362)-(H1362+I1362)</f>
        <v>249769</v>
      </c>
    </row>
    <row r="1363" spans="1:15" x14ac:dyDescent="0.3">
      <c r="A1363" s="45" t="s">
        <v>79</v>
      </c>
      <c r="B1363" s="146" t="s">
        <v>84</v>
      </c>
      <c r="C1363" s="44">
        <v>233614</v>
      </c>
      <c r="D1363" s="49"/>
      <c r="E1363" s="49"/>
      <c r="F1363" s="49"/>
      <c r="G1363" s="49"/>
      <c r="H1363" s="32"/>
      <c r="I1363" s="50"/>
      <c r="J1363" s="101">
        <f>SUM(C1363:G1363)-(H1363+I1363)</f>
        <v>233614</v>
      </c>
    </row>
    <row r="1364" spans="1:15" x14ac:dyDescent="0.3">
      <c r="A1364" s="45" t="s">
        <v>79</v>
      </c>
      <c r="B1364" s="147" t="s">
        <v>85</v>
      </c>
      <c r="C1364" s="44">
        <v>330169</v>
      </c>
      <c r="D1364" s="45"/>
      <c r="E1364" s="45"/>
      <c r="F1364" s="45"/>
      <c r="G1364" s="45"/>
      <c r="H1364" s="45"/>
      <c r="I1364" s="45"/>
      <c r="J1364" s="101">
        <f>SUM(C1364:G1364)-(H1364+I1364)</f>
        <v>330169</v>
      </c>
    </row>
    <row r="1365" spans="1:15" ht="15.6" x14ac:dyDescent="0.3">
      <c r="C1365" s="9"/>
      <c r="I1365" s="9"/>
      <c r="J1365" s="105">
        <f>+SUM(J1345:J1364)</f>
        <v>14369131</v>
      </c>
    </row>
    <row r="1366" spans="1:15" x14ac:dyDescent="0.3">
      <c r="C1366" s="9"/>
      <c r="I1366" s="9"/>
      <c r="J1366" s="9"/>
    </row>
    <row r="1367" spans="1:15" s="70" customFormat="1" x14ac:dyDescent="0.3">
      <c r="A1367" s="69" t="s">
        <v>65</v>
      </c>
      <c r="B1367" s="69"/>
      <c r="C1367" s="69"/>
      <c r="D1367" s="69"/>
      <c r="E1367" s="69"/>
      <c r="F1367" s="69"/>
      <c r="G1367" s="69"/>
      <c r="H1367" s="69"/>
      <c r="I1367" s="69"/>
      <c r="J1367" s="17"/>
      <c r="L1367" s="71"/>
      <c r="M1367" s="71"/>
      <c r="N1367" s="71"/>
      <c r="O1367" s="71"/>
    </row>
    <row r="1368" spans="1:15" s="70" customFormat="1" x14ac:dyDescent="0.3">
      <c r="A1368" s="19"/>
      <c r="B1368" s="17"/>
      <c r="C1368" s="72"/>
      <c r="D1368" s="72"/>
      <c r="E1368" s="72"/>
      <c r="F1368" s="72"/>
      <c r="G1368" s="72"/>
      <c r="H1368" s="17"/>
      <c r="I1368" s="17"/>
      <c r="J1368" s="69"/>
      <c r="L1368" s="71"/>
      <c r="M1368" s="71"/>
      <c r="N1368" s="71"/>
      <c r="O1368" s="71"/>
    </row>
    <row r="1369" spans="1:15" s="70" customFormat="1" x14ac:dyDescent="0.3">
      <c r="A1369" s="449" t="s">
        <v>53</v>
      </c>
      <c r="B1369" s="451" t="s">
        <v>54</v>
      </c>
      <c r="C1369" s="453" t="s">
        <v>67</v>
      </c>
      <c r="D1369" s="476" t="s">
        <v>55</v>
      </c>
      <c r="E1369" s="477"/>
      <c r="F1369" s="477"/>
      <c r="G1369" s="478"/>
      <c r="H1369" s="479" t="s">
        <v>56</v>
      </c>
      <c r="I1369" s="481" t="s">
        <v>57</v>
      </c>
      <c r="J1369" s="17"/>
      <c r="L1369" s="71"/>
      <c r="M1369" s="71"/>
      <c r="N1369" s="71"/>
      <c r="O1369" s="71"/>
    </row>
    <row r="1370" spans="1:15" s="70" customFormat="1" x14ac:dyDescent="0.3">
      <c r="A1370" s="450"/>
      <c r="B1370" s="452"/>
      <c r="C1370" s="454"/>
      <c r="D1370" s="21" t="s">
        <v>24</v>
      </c>
      <c r="E1370" s="21" t="s">
        <v>25</v>
      </c>
      <c r="F1370" s="22" t="s">
        <v>69</v>
      </c>
      <c r="G1370" s="21" t="s">
        <v>58</v>
      </c>
      <c r="H1370" s="480"/>
      <c r="I1370" s="482"/>
      <c r="J1370" s="462" t="s">
        <v>68</v>
      </c>
      <c r="L1370" s="71"/>
      <c r="M1370" s="71"/>
      <c r="N1370" s="71"/>
      <c r="O1370" s="71"/>
    </row>
    <row r="1371" spans="1:15" s="70" customFormat="1" x14ac:dyDescent="0.3">
      <c r="A1371" s="73"/>
      <c r="B1371" s="74" t="s">
        <v>59</v>
      </c>
      <c r="C1371" s="75"/>
      <c r="D1371" s="75"/>
      <c r="E1371" s="75"/>
      <c r="F1371" s="75"/>
      <c r="G1371" s="75"/>
      <c r="H1371" s="75"/>
      <c r="I1371" s="76"/>
      <c r="J1371" s="463"/>
      <c r="L1371" s="71"/>
      <c r="M1371" s="71"/>
      <c r="N1371" s="71"/>
      <c r="O1371" s="71"/>
    </row>
    <row r="1372" spans="1:15" s="70" customFormat="1" x14ac:dyDescent="0.3">
      <c r="A1372" s="77" t="s">
        <v>66</v>
      </c>
      <c r="B1372" s="8" t="s">
        <v>47</v>
      </c>
      <c r="C1372" s="78">
        <v>40560</v>
      </c>
      <c r="D1372" s="29"/>
      <c r="E1372" s="29">
        <v>0</v>
      </c>
      <c r="F1372" s="29"/>
      <c r="G1372" s="29"/>
      <c r="H1372" s="79"/>
      <c r="I1372" s="80">
        <f>+SUM([1]COMPTA_CREPIN!$F$3050:$F$3066)</f>
        <v>21500</v>
      </c>
      <c r="J1372" s="30">
        <f>+SUM(C1372:G1372)-(H1372+I1372)</f>
        <v>19060</v>
      </c>
      <c r="L1372" s="71"/>
      <c r="M1372" s="71"/>
      <c r="N1372" s="71"/>
      <c r="O1372" s="71"/>
    </row>
    <row r="1373" spans="1:15" s="70" customFormat="1" x14ac:dyDescent="0.3">
      <c r="A1373" s="77" t="s">
        <v>66</v>
      </c>
      <c r="B1373" s="8" t="s">
        <v>28</v>
      </c>
      <c r="C1373" s="78">
        <v>227975</v>
      </c>
      <c r="D1373" s="29"/>
      <c r="E1373" s="29">
        <f>+'[2]Compta Dalia (2)'!$E$1908+'[2]Compta Dalia (2)'!$E$1909+'[2]Compta Dalia (2)'!$E$1911+'[2]Compta Dalia (2)'!$E$1917</f>
        <v>119600</v>
      </c>
      <c r="F1373" s="29"/>
      <c r="G1373" s="29"/>
      <c r="H1373" s="79">
        <f>+'[2]Compta Dalia (2)'!$F$1919</f>
        <v>1635</v>
      </c>
      <c r="I1373" s="80">
        <v>345940</v>
      </c>
      <c r="J1373" s="30">
        <f t="shared" ref="J1373:J1380" si="630">+SUM(C1373:G1373)-(H1373+I1373)</f>
        <v>0</v>
      </c>
      <c r="L1373" s="71"/>
      <c r="M1373" s="71"/>
      <c r="N1373" s="71"/>
      <c r="O1373" s="71"/>
    </row>
    <row r="1374" spans="1:15" s="70" customFormat="1" x14ac:dyDescent="0.3">
      <c r="A1374" s="77" t="s">
        <v>66</v>
      </c>
      <c r="B1374" s="8" t="s">
        <v>31</v>
      </c>
      <c r="C1374" s="78">
        <v>-605</v>
      </c>
      <c r="D1374" s="29"/>
      <c r="E1374" s="29">
        <f>+'[3]compta (3)'!$E$2556+'[3]compta (3)'!$E$2557+'[3]compta (3)'!$E$2558</f>
        <v>30000</v>
      </c>
      <c r="F1374" s="29"/>
      <c r="G1374" s="29"/>
      <c r="H1374" s="81"/>
      <c r="I1374" s="82">
        <f>'[3]compta (3)'!$F$2559</f>
        <v>21000</v>
      </c>
      <c r="J1374" s="30">
        <f t="shared" si="630"/>
        <v>8395</v>
      </c>
      <c r="L1374" s="71"/>
      <c r="M1374" s="71"/>
      <c r="N1374" s="71"/>
      <c r="O1374" s="71"/>
    </row>
    <row r="1375" spans="1:15" s="70" customFormat="1" x14ac:dyDescent="0.3">
      <c r="A1375" s="77" t="s">
        <v>66</v>
      </c>
      <c r="B1375" s="99" t="s">
        <v>26</v>
      </c>
      <c r="C1375" s="78">
        <v>264659</v>
      </c>
      <c r="D1375" s="100"/>
      <c r="E1375" s="100">
        <f>+'[4]compta (2)'!$E$2521+'[4]compta (2)'!$E$2525+'[4]compta (2)'!$E$2527+'[4]compta (2)'!$E$2529</f>
        <v>325000</v>
      </c>
      <c r="F1375" s="100"/>
      <c r="G1375" s="100"/>
      <c r="H1375" s="32">
        <f>'[4]compta (2)'!$F$2528+60000</f>
        <v>75000</v>
      </c>
      <c r="I1375" s="32">
        <f>'[4]compta (2)'!$F$2522+'[4]compta (2)'!$F$2523+'[4]compta (2)'!$F$2524+'[4]compta (2)'!$F$2526+'[4]compta (2)'!$F$2530+'[4]compta (2)'!$F$2532+'[4]compta (2)'!$F$2533+'[4]compta (2)'!$F$2534</f>
        <v>507100</v>
      </c>
      <c r="J1375" s="101">
        <f t="shared" si="630"/>
        <v>7559</v>
      </c>
      <c r="L1375" s="71"/>
      <c r="M1375" s="71"/>
      <c r="N1375" s="71"/>
      <c r="O1375" s="71"/>
    </row>
    <row r="1376" spans="1:15" s="70" customFormat="1" x14ac:dyDescent="0.3">
      <c r="A1376" s="77" t="s">
        <v>66</v>
      </c>
      <c r="B1376" s="99" t="s">
        <v>48</v>
      </c>
      <c r="C1376" s="78">
        <v>272500</v>
      </c>
      <c r="D1376" s="100"/>
      <c r="E1376" s="100">
        <f>+'[5]COMPTA_I23C (2)'!$E$4171+'[5]COMPTA_I23C (2)'!$E$4172+'[5]COMPTA_I23C (2)'!$E$4174+'[5]COMPTA_I23C (2)'!$E$4178+'[5]COMPTA_I23C (2)'!$E$4180+'[5]COMPTA_I23C (2)'!$E$4181</f>
        <v>695000</v>
      </c>
      <c r="F1376" s="100"/>
      <c r="G1376" s="100"/>
      <c r="H1376" s="32"/>
      <c r="I1376" s="78">
        <v>753500</v>
      </c>
      <c r="J1376" s="101">
        <f t="shared" si="630"/>
        <v>214000</v>
      </c>
      <c r="L1376" s="71"/>
      <c r="M1376" s="71"/>
      <c r="N1376" s="71"/>
      <c r="O1376" s="71"/>
    </row>
    <row r="1377" spans="1:15" s="70" customFormat="1" x14ac:dyDescent="0.3">
      <c r="A1377" s="77" t="s">
        <v>66</v>
      </c>
      <c r="B1377" s="8" t="s">
        <v>35</v>
      </c>
      <c r="C1377" s="78">
        <v>284595</v>
      </c>
      <c r="D1377" s="29"/>
      <c r="E1377" s="29">
        <f>+'[6]Feuil1 (2)'!$E$2684+'[6]Feuil1 (2)'!$E$2689+'[6]Feuil1 (2)'!$E$2691</f>
        <v>275000</v>
      </c>
      <c r="F1377" s="29">
        <f>'[4]compta (2)'!$F$2531</f>
        <v>60000</v>
      </c>
      <c r="G1377" s="29"/>
      <c r="H1377" s="81"/>
      <c r="I1377" s="80">
        <v>633400</v>
      </c>
      <c r="J1377" s="30">
        <f t="shared" si="630"/>
        <v>-13805</v>
      </c>
      <c r="L1377" s="71"/>
      <c r="M1377" s="71"/>
      <c r="N1377" s="71"/>
      <c r="O1377" s="71"/>
    </row>
    <row r="1378" spans="1:15" s="70" customFormat="1" x14ac:dyDescent="0.3">
      <c r="A1378" s="77" t="s">
        <v>66</v>
      </c>
      <c r="B1378" s="8" t="s">
        <v>27</v>
      </c>
      <c r="C1378" s="78">
        <v>-1750</v>
      </c>
      <c r="D1378" s="29"/>
      <c r="E1378" s="29">
        <f>+'[7]Compta Jospin (2)'!$E$1583+'[7]Compta Jospin (2)'!$E$1584+'[7]Compta Jospin (2)'!$E$1587</f>
        <v>96400</v>
      </c>
      <c r="F1378" s="29"/>
      <c r="G1378" s="29"/>
      <c r="H1378" s="81">
        <f>+'[7]Compta Jospin (2)'!$F$1592</f>
        <v>950</v>
      </c>
      <c r="I1378" s="80">
        <v>93700</v>
      </c>
      <c r="J1378" s="30">
        <f t="shared" si="630"/>
        <v>0</v>
      </c>
      <c r="L1378" s="71"/>
      <c r="M1378" s="71"/>
      <c r="N1378" s="71"/>
      <c r="O1378" s="71"/>
    </row>
    <row r="1379" spans="1:15" s="70" customFormat="1" x14ac:dyDescent="0.3">
      <c r="A1379" s="77" t="s">
        <v>66</v>
      </c>
      <c r="B1379" s="8" t="s">
        <v>29</v>
      </c>
      <c r="C1379" s="78">
        <v>265600</v>
      </c>
      <c r="D1379" s="29"/>
      <c r="E1379" s="29">
        <f>+'[8]COMPT-P29 (2)'!$E$190+'[8]COMPT-P29 (2)'!$E$191+'[8]COMPT-P29 (2)'!$E$196+'[8]COMPT-P29 (2)'!$E$201+'[8]COMPT-P29 (2)'!$E$202+'[8]COMPT-P29 (2)'!$E$204+'[8]COMPT-P29 (2)'!$E$207+'[8]COMPT-P29 (2)'!$E$215</f>
        <v>855600</v>
      </c>
      <c r="F1379" s="29"/>
      <c r="G1379" s="29"/>
      <c r="H1379" s="81"/>
      <c r="I1379" s="80">
        <v>1036850</v>
      </c>
      <c r="J1379" s="30">
        <f t="shared" si="630"/>
        <v>84350</v>
      </c>
      <c r="L1379" s="71"/>
      <c r="M1379" s="71"/>
      <c r="N1379" s="71"/>
      <c r="O1379" s="71"/>
    </row>
    <row r="1380" spans="1:15" s="70" customFormat="1" x14ac:dyDescent="0.3">
      <c r="A1380" s="77" t="s">
        <v>66</v>
      </c>
      <c r="B1380" s="8" t="s">
        <v>49</v>
      </c>
      <c r="C1380" s="78">
        <f t="shared" ref="C1380" si="631">+C1353</f>
        <v>-216251</v>
      </c>
      <c r="D1380" s="29"/>
      <c r="E1380" s="29">
        <v>0</v>
      </c>
      <c r="F1380" s="29"/>
      <c r="G1380" s="29"/>
      <c r="H1380" s="81"/>
      <c r="I1380" s="82">
        <v>0</v>
      </c>
      <c r="J1380" s="30">
        <f t="shared" si="630"/>
        <v>-216251</v>
      </c>
      <c r="L1380" s="71"/>
      <c r="M1380" s="71"/>
      <c r="N1380" s="71"/>
      <c r="O1380" s="71"/>
    </row>
    <row r="1381" spans="1:15" s="70" customFormat="1" x14ac:dyDescent="0.3">
      <c r="A1381" s="77" t="s">
        <v>66</v>
      </c>
      <c r="B1381" s="8" t="s">
        <v>33</v>
      </c>
      <c r="C1381" s="78">
        <v>1025</v>
      </c>
      <c r="D1381" s="29"/>
      <c r="E1381" s="29">
        <f>+'[9]compta shely'!$E$90+'[9]compta shely'!$E$97+'[9]compta shely'!$E$100</f>
        <v>25000</v>
      </c>
      <c r="F1381" s="29"/>
      <c r="G1381" s="29"/>
      <c r="H1381" s="81"/>
      <c r="I1381" s="80">
        <v>24000</v>
      </c>
      <c r="J1381" s="30">
        <f>+SUM(C1381:G1381)-(H1381+I1381)</f>
        <v>2025</v>
      </c>
      <c r="L1381" s="71"/>
      <c r="M1381" s="71"/>
      <c r="N1381" s="71"/>
      <c r="O1381" s="71"/>
    </row>
    <row r="1382" spans="1:15" s="70" customFormat="1" x14ac:dyDescent="0.3">
      <c r="A1382" s="31" t="s">
        <v>66</v>
      </c>
      <c r="B1382" s="8" t="s">
        <v>32</v>
      </c>
      <c r="C1382" s="78">
        <v>0</v>
      </c>
      <c r="D1382" s="31"/>
      <c r="E1382" s="31">
        <f>+'[10]compta ted'!$E$11</f>
        <v>10000</v>
      </c>
      <c r="F1382" s="31"/>
      <c r="G1382" s="31"/>
      <c r="H1382" s="81"/>
      <c r="I1382" s="80">
        <v>0</v>
      </c>
      <c r="J1382" s="30">
        <f>+SUM(C1382:G1382)-(H1382+I1382)</f>
        <v>10000</v>
      </c>
      <c r="L1382" s="71"/>
      <c r="M1382" s="71"/>
      <c r="N1382" s="71"/>
      <c r="O1382" s="71"/>
    </row>
    <row r="1383" spans="1:15" s="70" customFormat="1" x14ac:dyDescent="0.3">
      <c r="A1383" s="83" t="s">
        <v>60</v>
      </c>
      <c r="B1383" s="84"/>
      <c r="C1383" s="84"/>
      <c r="D1383" s="84"/>
      <c r="E1383" s="84"/>
      <c r="F1383" s="84"/>
      <c r="G1383" s="84"/>
      <c r="H1383" s="84"/>
      <c r="I1383" s="84"/>
      <c r="J1383" s="85"/>
      <c r="L1383" s="71"/>
      <c r="M1383" s="71"/>
      <c r="N1383" s="71"/>
      <c r="O1383" s="71"/>
    </row>
    <row r="1384" spans="1:15" s="70" customFormat="1" x14ac:dyDescent="0.3">
      <c r="A1384" s="31" t="s">
        <v>66</v>
      </c>
      <c r="B1384" s="37" t="s">
        <v>61</v>
      </c>
      <c r="C1384" s="38">
        <v>954796</v>
      </c>
      <c r="D1384" s="29">
        <v>3000000</v>
      </c>
      <c r="E1384" s="29"/>
      <c r="F1384" s="29"/>
      <c r="G1384" s="86">
        <v>17585</v>
      </c>
      <c r="H1384" s="87">
        <v>2431600</v>
      </c>
      <c r="I1384" s="88">
        <v>749106</v>
      </c>
      <c r="J1384" s="42">
        <f>+SUM(C1384:G1384)-(H1384+I1384)</f>
        <v>791675</v>
      </c>
      <c r="L1384" s="71"/>
      <c r="M1384" s="71"/>
      <c r="N1384" s="71"/>
      <c r="O1384" s="71"/>
    </row>
    <row r="1385" spans="1:15" s="70" customFormat="1" x14ac:dyDescent="0.3">
      <c r="A1385" s="89" t="s">
        <v>62</v>
      </c>
      <c r="B1385" s="74"/>
      <c r="C1385" s="84"/>
      <c r="D1385" s="74"/>
      <c r="E1385" s="74"/>
      <c r="F1385" s="74"/>
      <c r="G1385" s="74"/>
      <c r="H1385" s="74"/>
      <c r="I1385" s="74"/>
      <c r="J1385" s="85"/>
      <c r="L1385" s="71"/>
      <c r="M1385" s="71"/>
      <c r="N1385" s="71"/>
      <c r="O1385" s="71"/>
    </row>
    <row r="1386" spans="1:15" s="70" customFormat="1" x14ac:dyDescent="0.3">
      <c r="A1386" s="31" t="s">
        <v>66</v>
      </c>
      <c r="B1386" s="37" t="s">
        <v>63</v>
      </c>
      <c r="C1386" s="78">
        <v>705838</v>
      </c>
      <c r="D1386" s="90">
        <v>10801800</v>
      </c>
      <c r="E1386" s="91"/>
      <c r="F1386" s="91"/>
      <c r="G1386" s="91"/>
      <c r="H1386" s="92">
        <v>3000000</v>
      </c>
      <c r="I1386" s="93">
        <v>468365</v>
      </c>
      <c r="J1386" s="30">
        <f>+SUM(C1386:G1386)-(H1386+I1386)</f>
        <v>8039273</v>
      </c>
      <c r="L1386" s="71"/>
      <c r="M1386" s="71"/>
      <c r="N1386" s="71"/>
      <c r="O1386" s="71"/>
    </row>
    <row r="1387" spans="1:15" s="70" customFormat="1" x14ac:dyDescent="0.3">
      <c r="A1387" s="31" t="s">
        <v>66</v>
      </c>
      <c r="B1387" s="37" t="s">
        <v>64</v>
      </c>
      <c r="C1387" s="78">
        <v>14874402</v>
      </c>
      <c r="D1387" s="91">
        <v>3279785</v>
      </c>
      <c r="E1387" s="94"/>
      <c r="F1387" s="94"/>
      <c r="G1387" s="94"/>
      <c r="H1387" s="95"/>
      <c r="I1387" s="96">
        <v>4870847</v>
      </c>
      <c r="J1387" s="30">
        <f>SUM(C1387:G1387)-(H1387+I1387)</f>
        <v>13283340</v>
      </c>
      <c r="L1387" s="71"/>
      <c r="M1387" s="71"/>
      <c r="N1387" s="71"/>
      <c r="O1387" s="71"/>
    </row>
    <row r="1388" spans="1:15" s="70" customFormat="1" x14ac:dyDescent="0.3">
      <c r="L1388" s="71"/>
      <c r="M1388" s="71"/>
      <c r="N1388" s="71"/>
      <c r="O1388" s="71"/>
    </row>
    <row r="1389" spans="1:15" s="70" customFormat="1" x14ac:dyDescent="0.3">
      <c r="C1389" s="97">
        <f>+SUM(C1372:C1387)</f>
        <v>17673344</v>
      </c>
      <c r="I1389" s="97">
        <f>SUM(I1372:I1387)</f>
        <v>9525308</v>
      </c>
      <c r="J1389" s="97">
        <f>+SUM(J1372:J1387)</f>
        <v>22229621</v>
      </c>
      <c r="L1389" s="71"/>
      <c r="M1389" s="71"/>
      <c r="N1389" s="71"/>
      <c r="O1389" s="71"/>
    </row>
    <row r="1390" spans="1:15" x14ac:dyDescent="0.3">
      <c r="C1390" s="9"/>
      <c r="I1390" s="9"/>
      <c r="J1390" s="9"/>
    </row>
    <row r="1391" spans="1:15" x14ac:dyDescent="0.3">
      <c r="A1391" s="62" t="s">
        <v>70</v>
      </c>
      <c r="B1391" s="62"/>
    </row>
    <row r="1392" spans="1:15" x14ac:dyDescent="0.3">
      <c r="A1392" s="63" t="s">
        <v>71</v>
      </c>
      <c r="B1392" s="63"/>
      <c r="C1392" s="63"/>
      <c r="D1392" s="63"/>
      <c r="E1392" s="63"/>
      <c r="F1392" s="63"/>
      <c r="G1392" s="63"/>
      <c r="H1392" s="63"/>
      <c r="I1392" s="63"/>
      <c r="J1392" s="63"/>
      <c r="L1392" s="5"/>
      <c r="M1392" s="5"/>
      <c r="N1392" s="5"/>
      <c r="O1392" s="5"/>
    </row>
    <row r="1394" spans="1:15" ht="15" customHeight="1" x14ac:dyDescent="0.3">
      <c r="A1394" s="464" t="s">
        <v>53</v>
      </c>
      <c r="B1394" s="464" t="s">
        <v>54</v>
      </c>
      <c r="C1394" s="475" t="s">
        <v>73</v>
      </c>
      <c r="D1394" s="470" t="s">
        <v>55</v>
      </c>
      <c r="E1394" s="470"/>
      <c r="F1394" s="470"/>
      <c r="G1394" s="470"/>
      <c r="H1394" s="471" t="s">
        <v>56</v>
      </c>
      <c r="I1394" s="473" t="s">
        <v>57</v>
      </c>
      <c r="J1394" s="466" t="s">
        <v>74</v>
      </c>
      <c r="K1394" s="467"/>
      <c r="L1394" s="5"/>
      <c r="M1394" s="5"/>
      <c r="N1394" s="5"/>
      <c r="O1394" s="5"/>
    </row>
    <row r="1395" spans="1:15" ht="28.5" customHeight="1" x14ac:dyDescent="0.3">
      <c r="A1395" s="465"/>
      <c r="B1395" s="465"/>
      <c r="C1395" s="465"/>
      <c r="D1395" s="67" t="s">
        <v>24</v>
      </c>
      <c r="E1395" s="64" t="s">
        <v>25</v>
      </c>
      <c r="F1395" s="64" t="s">
        <v>27</v>
      </c>
      <c r="G1395" s="64" t="s">
        <v>58</v>
      </c>
      <c r="H1395" s="472"/>
      <c r="I1395" s="474"/>
      <c r="J1395" s="468"/>
      <c r="K1395" s="469"/>
      <c r="L1395" s="5"/>
      <c r="M1395" s="5"/>
      <c r="N1395" s="5"/>
      <c r="O1395" s="5"/>
    </row>
    <row r="1396" spans="1:15" x14ac:dyDescent="0.3">
      <c r="A1396" s="45"/>
      <c r="B1396" s="45" t="s">
        <v>59</v>
      </c>
      <c r="C1396" s="47"/>
      <c r="D1396" s="47"/>
      <c r="E1396" s="47"/>
      <c r="F1396" s="47"/>
      <c r="G1396" s="47"/>
      <c r="H1396" s="47"/>
      <c r="I1396" s="47"/>
      <c r="J1396" s="47"/>
      <c r="K1396" s="45"/>
      <c r="L1396" s="5"/>
      <c r="M1396" s="5"/>
      <c r="N1396" s="5"/>
      <c r="O1396" s="5"/>
    </row>
    <row r="1397" spans="1:15" x14ac:dyDescent="0.3">
      <c r="A1397" s="45" t="s">
        <v>72</v>
      </c>
      <c r="B1397" s="45" t="s">
        <v>47</v>
      </c>
      <c r="C1397" s="47">
        <v>89360</v>
      </c>
      <c r="D1397" s="47"/>
      <c r="E1397" s="47">
        <v>13000</v>
      </c>
      <c r="F1397" s="47"/>
      <c r="G1397" s="47"/>
      <c r="H1397" s="47"/>
      <c r="I1397" s="47">
        <v>61800</v>
      </c>
      <c r="J1397" s="47">
        <v>40560</v>
      </c>
      <c r="K1397" s="45"/>
      <c r="L1397" s="5"/>
      <c r="M1397" s="5"/>
      <c r="N1397" s="5"/>
      <c r="O1397" s="5"/>
    </row>
    <row r="1398" spans="1:15" x14ac:dyDescent="0.3">
      <c r="A1398" s="45" t="s">
        <v>72</v>
      </c>
      <c r="B1398" s="45" t="s">
        <v>28</v>
      </c>
      <c r="C1398" s="47">
        <v>-1025</v>
      </c>
      <c r="D1398" s="47"/>
      <c r="E1398" s="47">
        <v>684500</v>
      </c>
      <c r="F1398" s="47"/>
      <c r="G1398" s="47"/>
      <c r="H1398" s="47"/>
      <c r="I1398" s="47">
        <v>455500</v>
      </c>
      <c r="J1398" s="47">
        <v>227975</v>
      </c>
      <c r="K1398" s="45"/>
      <c r="L1398" s="5"/>
      <c r="M1398" s="5"/>
      <c r="N1398" s="5"/>
      <c r="O1398" s="5"/>
    </row>
    <row r="1399" spans="1:15" x14ac:dyDescent="0.3">
      <c r="A1399" s="45" t="s">
        <v>72</v>
      </c>
      <c r="B1399" s="45" t="s">
        <v>31</v>
      </c>
      <c r="C1399" s="47">
        <v>14395</v>
      </c>
      <c r="D1399" s="47"/>
      <c r="E1399" s="47">
        <v>40000</v>
      </c>
      <c r="F1399" s="47"/>
      <c r="G1399" s="47"/>
      <c r="H1399" s="47"/>
      <c r="I1399" s="47">
        <v>55000</v>
      </c>
      <c r="J1399" s="47">
        <v>-605</v>
      </c>
      <c r="K1399" s="45"/>
      <c r="L1399" s="5"/>
      <c r="M1399" s="5"/>
      <c r="N1399" s="5"/>
      <c r="O1399" s="5"/>
    </row>
    <row r="1400" spans="1:15" x14ac:dyDescent="0.3">
      <c r="A1400" s="45" t="s">
        <v>72</v>
      </c>
      <c r="B1400" s="45" t="s">
        <v>26</v>
      </c>
      <c r="C1400" s="47">
        <v>8559</v>
      </c>
      <c r="D1400" s="47"/>
      <c r="E1400" s="47">
        <v>428750</v>
      </c>
      <c r="F1400" s="47">
        <v>280200</v>
      </c>
      <c r="G1400" s="47"/>
      <c r="H1400" s="47"/>
      <c r="I1400" s="47">
        <v>452850</v>
      </c>
      <c r="J1400" s="47">
        <v>264659</v>
      </c>
      <c r="K1400" s="45"/>
      <c r="L1400" s="5"/>
      <c r="M1400" s="5"/>
      <c r="N1400" s="5"/>
      <c r="O1400" s="5"/>
    </row>
    <row r="1401" spans="1:15" x14ac:dyDescent="0.3">
      <c r="A1401" s="45" t="s">
        <v>72</v>
      </c>
      <c r="B1401" s="45" t="s">
        <v>48</v>
      </c>
      <c r="C1401" s="47">
        <v>-5750</v>
      </c>
      <c r="D1401" s="47"/>
      <c r="E1401" s="47">
        <v>1161750</v>
      </c>
      <c r="F1401" s="47"/>
      <c r="G1401" s="47"/>
      <c r="H1401" s="47">
        <v>124000</v>
      </c>
      <c r="I1401" s="47">
        <v>759500</v>
      </c>
      <c r="J1401" s="47">
        <v>272500</v>
      </c>
      <c r="K1401" s="45"/>
      <c r="L1401" s="5"/>
      <c r="M1401" s="5"/>
      <c r="N1401" s="5"/>
      <c r="O1401" s="5"/>
    </row>
    <row r="1402" spans="1:15" x14ac:dyDescent="0.3">
      <c r="A1402" s="45" t="s">
        <v>72</v>
      </c>
      <c r="B1402" s="45" t="s">
        <v>35</v>
      </c>
      <c r="C1402" s="47">
        <v>12995</v>
      </c>
      <c r="D1402" s="47"/>
      <c r="E1402" s="47">
        <v>726000</v>
      </c>
      <c r="F1402" s="47"/>
      <c r="G1402" s="47"/>
      <c r="H1402" s="47"/>
      <c r="I1402" s="47">
        <v>454400</v>
      </c>
      <c r="J1402" s="47">
        <v>284595</v>
      </c>
      <c r="K1402" s="45"/>
      <c r="L1402" s="5"/>
      <c r="M1402" s="5"/>
      <c r="N1402" s="5"/>
      <c r="O1402" s="5"/>
    </row>
    <row r="1403" spans="1:15" x14ac:dyDescent="0.3">
      <c r="A1403" s="45" t="s">
        <v>72</v>
      </c>
      <c r="B1403" s="45" t="s">
        <v>27</v>
      </c>
      <c r="C1403" s="47">
        <v>6050</v>
      </c>
      <c r="D1403" s="47"/>
      <c r="E1403" s="47">
        <v>736300</v>
      </c>
      <c r="F1403" s="47"/>
      <c r="G1403" s="47"/>
      <c r="H1403" s="47">
        <v>405200</v>
      </c>
      <c r="I1403" s="47">
        <v>338900</v>
      </c>
      <c r="J1403" s="47">
        <v>-1750</v>
      </c>
      <c r="K1403" s="45"/>
      <c r="L1403" s="5"/>
      <c r="M1403" s="5"/>
      <c r="N1403" s="5"/>
      <c r="O1403" s="5"/>
    </row>
    <row r="1404" spans="1:15" x14ac:dyDescent="0.3">
      <c r="A1404" s="45" t="s">
        <v>72</v>
      </c>
      <c r="B1404" s="45" t="s">
        <v>29</v>
      </c>
      <c r="C1404" s="47">
        <v>142400</v>
      </c>
      <c r="D1404" s="47"/>
      <c r="E1404" s="47">
        <v>1014000</v>
      </c>
      <c r="F1404" s="47"/>
      <c r="G1404" s="47"/>
      <c r="H1404" s="47">
        <v>100000</v>
      </c>
      <c r="I1404" s="47">
        <v>790800</v>
      </c>
      <c r="J1404" s="47">
        <v>265600</v>
      </c>
      <c r="K1404" s="45"/>
      <c r="L1404" s="5"/>
      <c r="M1404" s="5"/>
      <c r="N1404" s="5"/>
      <c r="O1404" s="5"/>
    </row>
    <row r="1405" spans="1:15" x14ac:dyDescent="0.3">
      <c r="A1405" s="45" t="s">
        <v>72</v>
      </c>
      <c r="B1405" s="45" t="s">
        <v>49</v>
      </c>
      <c r="C1405" s="47">
        <v>-221251.00072999997</v>
      </c>
      <c r="D1405" s="47"/>
      <c r="E1405" s="47">
        <v>485000</v>
      </c>
      <c r="F1405" s="47"/>
      <c r="G1405" s="47"/>
      <c r="H1405" s="47">
        <v>5000</v>
      </c>
      <c r="I1405" s="47">
        <v>475000</v>
      </c>
      <c r="J1405" s="47">
        <v>-216251.00072999997</v>
      </c>
      <c r="K1405" s="45"/>
      <c r="L1405" s="5"/>
      <c r="M1405" s="5"/>
      <c r="N1405" s="5"/>
      <c r="O1405" s="5"/>
    </row>
    <row r="1406" spans="1:15" x14ac:dyDescent="0.3">
      <c r="A1406" s="45" t="s">
        <v>72</v>
      </c>
      <c r="B1406" s="45" t="s">
        <v>33</v>
      </c>
      <c r="C1406" s="47">
        <v>14225</v>
      </c>
      <c r="D1406" s="47"/>
      <c r="E1406" s="47">
        <v>30000</v>
      </c>
      <c r="F1406" s="47"/>
      <c r="G1406" s="47"/>
      <c r="H1406" s="47"/>
      <c r="I1406" s="47">
        <v>43200</v>
      </c>
      <c r="J1406" s="47">
        <v>1025</v>
      </c>
      <c r="K1406" s="45"/>
      <c r="L1406" s="5"/>
      <c r="M1406" s="5"/>
      <c r="N1406" s="5"/>
      <c r="O1406" s="5"/>
    </row>
    <row r="1407" spans="1:15" x14ac:dyDescent="0.3">
      <c r="A1407" s="65" t="s">
        <v>60</v>
      </c>
      <c r="B1407" s="65"/>
      <c r="C1407" s="66"/>
      <c r="D1407" s="66"/>
      <c r="E1407" s="66"/>
      <c r="F1407" s="66"/>
      <c r="G1407" s="66"/>
      <c r="H1407" s="66"/>
      <c r="I1407" s="66"/>
      <c r="J1407" s="66"/>
      <c r="K1407" s="65"/>
      <c r="L1407" s="5"/>
      <c r="M1407" s="5"/>
      <c r="N1407" s="5"/>
      <c r="O1407" s="5"/>
    </row>
    <row r="1408" spans="1:15" x14ac:dyDescent="0.3">
      <c r="A1408" s="45" t="s">
        <v>72</v>
      </c>
      <c r="B1408" s="45" t="s">
        <v>61</v>
      </c>
      <c r="C1408" s="47">
        <v>494738</v>
      </c>
      <c r="D1408" s="47">
        <v>6000000</v>
      </c>
      <c r="E1408" s="47"/>
      <c r="F1408" s="47"/>
      <c r="G1408" s="47">
        <v>105000</v>
      </c>
      <c r="H1408" s="47">
        <v>5070300</v>
      </c>
      <c r="I1408" s="47">
        <v>574642</v>
      </c>
      <c r="J1408" s="47">
        <v>954796</v>
      </c>
      <c r="K1408" s="45"/>
      <c r="L1408" s="5"/>
      <c r="M1408" s="5"/>
      <c r="N1408" s="5"/>
      <c r="O1408" s="5"/>
    </row>
    <row r="1409" spans="1:15" x14ac:dyDescent="0.3">
      <c r="A1409" s="65" t="s">
        <v>62</v>
      </c>
      <c r="B1409" s="65"/>
      <c r="C1409" s="66"/>
      <c r="D1409" s="66"/>
      <c r="E1409" s="66"/>
      <c r="F1409" s="66"/>
      <c r="G1409" s="66"/>
      <c r="H1409" s="66"/>
      <c r="I1409" s="66"/>
      <c r="J1409" s="66"/>
      <c r="K1409" s="65"/>
      <c r="L1409" s="5"/>
      <c r="M1409" s="5"/>
      <c r="N1409" s="5"/>
      <c r="O1409" s="5"/>
    </row>
    <row r="1410" spans="1:15" x14ac:dyDescent="0.3">
      <c r="A1410" s="45" t="s">
        <v>72</v>
      </c>
      <c r="B1410" s="45" t="s">
        <v>63</v>
      </c>
      <c r="C1410" s="47">
        <v>11363703</v>
      </c>
      <c r="D1410" s="47"/>
      <c r="E1410" s="47"/>
      <c r="F1410" s="47"/>
      <c r="G1410" s="47"/>
      <c r="H1410" s="47">
        <v>10000000</v>
      </c>
      <c r="I1410" s="47">
        <v>657865</v>
      </c>
      <c r="J1410" s="47">
        <v>705838</v>
      </c>
      <c r="K1410" s="45"/>
      <c r="L1410" s="5"/>
      <c r="M1410" s="5"/>
      <c r="N1410" s="5"/>
      <c r="O1410" s="5"/>
    </row>
    <row r="1411" spans="1:15" x14ac:dyDescent="0.3">
      <c r="A1411" s="45" t="s">
        <v>72</v>
      </c>
      <c r="B1411" s="45" t="s">
        <v>64</v>
      </c>
      <c r="C1411" s="47">
        <v>4902843</v>
      </c>
      <c r="D1411" s="47">
        <v>17119140</v>
      </c>
      <c r="E1411" s="47"/>
      <c r="F1411" s="47"/>
      <c r="G1411" s="47"/>
      <c r="H1411" s="47"/>
      <c r="I1411" s="47">
        <v>7147581</v>
      </c>
      <c r="J1411" s="47">
        <v>14874402</v>
      </c>
      <c r="K1411" s="45"/>
      <c r="L1411" s="5"/>
      <c r="M1411" s="5"/>
      <c r="N1411" s="5"/>
      <c r="O1411" s="5"/>
    </row>
    <row r="1412" spans="1:15" x14ac:dyDescent="0.3">
      <c r="A1412" s="45"/>
      <c r="B1412" s="45"/>
      <c r="C1412" s="47"/>
      <c r="D1412" s="47"/>
      <c r="E1412" s="47"/>
      <c r="F1412" s="47"/>
      <c r="G1412" s="47"/>
      <c r="H1412" s="47"/>
      <c r="I1412" s="47"/>
      <c r="J1412" s="47"/>
      <c r="K1412" s="45"/>
      <c r="L1412" s="5"/>
      <c r="M1412" s="5"/>
      <c r="N1412" s="5"/>
      <c r="O1412" s="5"/>
    </row>
    <row r="1413" spans="1:15" x14ac:dyDescent="0.3">
      <c r="A1413" s="45"/>
      <c r="B1413" s="45"/>
      <c r="C1413" s="47"/>
      <c r="D1413" s="47"/>
      <c r="E1413" s="47"/>
      <c r="F1413" s="47"/>
      <c r="G1413" s="47"/>
      <c r="H1413" s="47"/>
      <c r="I1413" s="47">
        <v>12267038</v>
      </c>
      <c r="J1413" s="47">
        <v>17673343.99927</v>
      </c>
      <c r="K1413" s="45" t="b">
        <v>1</v>
      </c>
      <c r="L1413" s="5"/>
      <c r="M1413" s="5"/>
      <c r="N1413" s="5"/>
      <c r="O1413" s="5"/>
    </row>
    <row r="1414" spans="1:15" x14ac:dyDescent="0.3">
      <c r="J1414" s="68" t="b">
        <f>J1413=[11]TABLEAU!$I$16</f>
        <v>1</v>
      </c>
      <c r="L1414" s="5"/>
      <c r="M1414" s="5"/>
      <c r="N1414" s="5"/>
      <c r="O1414" s="5"/>
    </row>
  </sheetData>
  <mergeCells count="133">
    <mergeCell ref="I1153:I1154"/>
    <mergeCell ref="J1154:J1155"/>
    <mergeCell ref="A1153:A1154"/>
    <mergeCell ref="B1153:B1154"/>
    <mergeCell ref="C1153:C1154"/>
    <mergeCell ref="D1153:G1153"/>
    <mergeCell ref="H1153:H1154"/>
    <mergeCell ref="A1006:A1007"/>
    <mergeCell ref="B1006:B1007"/>
    <mergeCell ref="C1006:C1007"/>
    <mergeCell ref="D1006:G1006"/>
    <mergeCell ref="H1006:H1007"/>
    <mergeCell ref="I1006:I1007"/>
    <mergeCell ref="J1007:J1008"/>
    <mergeCell ref="I1078:I1079"/>
    <mergeCell ref="J1079:J1080"/>
    <mergeCell ref="A1078:A1079"/>
    <mergeCell ref="A1127:A1128"/>
    <mergeCell ref="I1102:I1103"/>
    <mergeCell ref="I1127:I1128"/>
    <mergeCell ref="J1103:J1104"/>
    <mergeCell ref="J1128:J1129"/>
    <mergeCell ref="D1054:G1054"/>
    <mergeCell ref="H1054:H1055"/>
    <mergeCell ref="I1289:I1290"/>
    <mergeCell ref="J1290:J1291"/>
    <mergeCell ref="A1289:A1290"/>
    <mergeCell ref="B1289:B1290"/>
    <mergeCell ref="C1289:C1290"/>
    <mergeCell ref="D1289:G1289"/>
    <mergeCell ref="H1289:H1290"/>
    <mergeCell ref="I1234:I1235"/>
    <mergeCell ref="J1235:J1236"/>
    <mergeCell ref="A1234:A1235"/>
    <mergeCell ref="B1234:B1235"/>
    <mergeCell ref="C1234:C1235"/>
    <mergeCell ref="D1234:G1234"/>
    <mergeCell ref="H1234:H1235"/>
    <mergeCell ref="I1262:I1263"/>
    <mergeCell ref="J1263:J1264"/>
    <mergeCell ref="A1262:A1263"/>
    <mergeCell ref="I1179:I1180"/>
    <mergeCell ref="J1180:J1181"/>
    <mergeCell ref="A1179:A1180"/>
    <mergeCell ref="B1179:B1180"/>
    <mergeCell ref="C1179:C1180"/>
    <mergeCell ref="D1179:G1179"/>
    <mergeCell ref="J1316:J1317"/>
    <mergeCell ref="A1315:A1316"/>
    <mergeCell ref="B1315:B1316"/>
    <mergeCell ref="C1315:C1316"/>
    <mergeCell ref="D1315:G1315"/>
    <mergeCell ref="H1315:H1316"/>
    <mergeCell ref="I1206:I1207"/>
    <mergeCell ref="J1207:J1208"/>
    <mergeCell ref="A1206:A1207"/>
    <mergeCell ref="B1206:B1207"/>
    <mergeCell ref="C1206:C1207"/>
    <mergeCell ref="D1206:G1206"/>
    <mergeCell ref="H1206:H1207"/>
    <mergeCell ref="B1262:B1263"/>
    <mergeCell ref="C1262:C1263"/>
    <mergeCell ref="D1262:G1262"/>
    <mergeCell ref="H1262:H1263"/>
    <mergeCell ref="I1315:I1316"/>
    <mergeCell ref="A1394:A1395"/>
    <mergeCell ref="J1343:J1344"/>
    <mergeCell ref="A1342:A1343"/>
    <mergeCell ref="B1342:B1343"/>
    <mergeCell ref="C1342:C1343"/>
    <mergeCell ref="D1342:G1342"/>
    <mergeCell ref="H1342:H1343"/>
    <mergeCell ref="I1342:I1343"/>
    <mergeCell ref="B1394:B1395"/>
    <mergeCell ref="J1394:K1395"/>
    <mergeCell ref="D1394:G1394"/>
    <mergeCell ref="H1394:H1395"/>
    <mergeCell ref="I1394:I1395"/>
    <mergeCell ref="C1394:C1395"/>
    <mergeCell ref="B1369:B1370"/>
    <mergeCell ref="C1369:C1370"/>
    <mergeCell ref="A1369:A1370"/>
    <mergeCell ref="D1369:G1369"/>
    <mergeCell ref="H1369:H1370"/>
    <mergeCell ref="J1370:J1371"/>
    <mergeCell ref="I1369:I1370"/>
    <mergeCell ref="B1078:B1079"/>
    <mergeCell ref="C1078:C1079"/>
    <mergeCell ref="D1078:G1078"/>
    <mergeCell ref="H1078:H1079"/>
    <mergeCell ref="H1179:H1180"/>
    <mergeCell ref="B1127:B1128"/>
    <mergeCell ref="C1127:C1128"/>
    <mergeCell ref="D1127:G1127"/>
    <mergeCell ref="H1127:H1128"/>
    <mergeCell ref="A981:A982"/>
    <mergeCell ref="B981:B982"/>
    <mergeCell ref="C981:C982"/>
    <mergeCell ref="D981:G981"/>
    <mergeCell ref="H981:H982"/>
    <mergeCell ref="I981:I982"/>
    <mergeCell ref="J982:J983"/>
    <mergeCell ref="A1102:A1103"/>
    <mergeCell ref="B1102:B1103"/>
    <mergeCell ref="C1102:C1103"/>
    <mergeCell ref="D1102:G1102"/>
    <mergeCell ref="H1102:H1103"/>
    <mergeCell ref="I1031:I1032"/>
    <mergeCell ref="J1032:J1033"/>
    <mergeCell ref="A1031:A1032"/>
    <mergeCell ref="B1031:B1032"/>
    <mergeCell ref="C1031:C1032"/>
    <mergeCell ref="D1031:G1031"/>
    <mergeCell ref="H1031:H1032"/>
    <mergeCell ref="I1054:I1055"/>
    <mergeCell ref="J1055:J1056"/>
    <mergeCell ref="A1054:A1055"/>
    <mergeCell ref="B1054:B1055"/>
    <mergeCell ref="C1054:C1055"/>
    <mergeCell ref="A933:A934"/>
    <mergeCell ref="B933:B934"/>
    <mergeCell ref="C933:C934"/>
    <mergeCell ref="D933:G933"/>
    <mergeCell ref="H933:H934"/>
    <mergeCell ref="I933:I934"/>
    <mergeCell ref="J934:J935"/>
    <mergeCell ref="A886:A887"/>
    <mergeCell ref="B886:B887"/>
    <mergeCell ref="C886:C887"/>
    <mergeCell ref="D886:G886"/>
    <mergeCell ref="H886:H887"/>
    <mergeCell ref="I886:I887"/>
    <mergeCell ref="J887:J8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workbookViewId="0">
      <selection activeCell="F10" sqref="F10"/>
    </sheetView>
  </sheetViews>
  <sheetFormatPr defaultColWidth="11.5546875" defaultRowHeight="14.4" x14ac:dyDescent="0.3"/>
  <cols>
    <col min="1" max="1" width="21" customWidth="1"/>
    <col min="2" max="2" width="16.109375" customWidth="1"/>
    <col min="3" max="3" width="8" customWidth="1"/>
    <col min="4" max="4" width="12.5546875" bestFit="1" customWidth="1"/>
  </cols>
  <sheetData>
    <row r="3" spans="1:4" x14ac:dyDescent="0.3">
      <c r="A3" s="1" t="s">
        <v>345</v>
      </c>
      <c r="B3" t="s">
        <v>350</v>
      </c>
    </row>
    <row r="4" spans="1:4" x14ac:dyDescent="0.3">
      <c r="A4" s="2" t="s">
        <v>102</v>
      </c>
      <c r="B4" s="236">
        <v>6074103</v>
      </c>
    </row>
    <row r="5" spans="1:4" x14ac:dyDescent="0.3">
      <c r="A5" s="2" t="s">
        <v>288</v>
      </c>
      <c r="B5" s="236">
        <v>6150039</v>
      </c>
    </row>
    <row r="6" spans="1:4" x14ac:dyDescent="0.3">
      <c r="A6" s="2" t="s">
        <v>346</v>
      </c>
      <c r="B6" s="236">
        <v>12224142</v>
      </c>
    </row>
    <row r="13" spans="1:4" x14ac:dyDescent="0.3">
      <c r="A13" s="1" t="s">
        <v>350</v>
      </c>
      <c r="B13" s="1" t="s">
        <v>344</v>
      </c>
    </row>
    <row r="14" spans="1:4" x14ac:dyDescent="0.3">
      <c r="A14" s="1" t="s">
        <v>345</v>
      </c>
      <c r="B14" t="s">
        <v>102</v>
      </c>
      <c r="C14" t="s">
        <v>288</v>
      </c>
      <c r="D14" t="s">
        <v>346</v>
      </c>
    </row>
    <row r="15" spans="1:4" x14ac:dyDescent="0.3">
      <c r="A15" s="2" t="s">
        <v>198</v>
      </c>
      <c r="B15" s="236"/>
      <c r="C15" s="236">
        <v>4012739</v>
      </c>
      <c r="D15" s="236">
        <v>4012739</v>
      </c>
    </row>
    <row r="16" spans="1:4" x14ac:dyDescent="0.3">
      <c r="A16" s="2" t="s">
        <v>199</v>
      </c>
      <c r="B16" s="236">
        <v>6074103</v>
      </c>
      <c r="C16" s="236">
        <v>2137300</v>
      </c>
      <c r="D16" s="236">
        <v>8211403</v>
      </c>
    </row>
    <row r="17" spans="1:4" x14ac:dyDescent="0.3">
      <c r="A17" s="2" t="s">
        <v>346</v>
      </c>
      <c r="B17" s="236">
        <v>6074103</v>
      </c>
      <c r="C17" s="236">
        <v>6150039</v>
      </c>
      <c r="D17" s="236">
        <v>12224142</v>
      </c>
    </row>
    <row r="19" spans="1:4" x14ac:dyDescent="0.3">
      <c r="C19" s="179">
        <f>(B16*100%)/D16</f>
        <v>0.73971561254513996</v>
      </c>
      <c r="D19" s="180" t="s">
        <v>200</v>
      </c>
    </row>
    <row r="20" spans="1:4" x14ac:dyDescent="0.3">
      <c r="C20" s="179">
        <f>((C16)*100%)/D16</f>
        <v>0.26028438745486004</v>
      </c>
      <c r="D20" s="180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23"/>
  <sheetViews>
    <sheetView topLeftCell="A2" workbookViewId="0">
      <pane xSplit="1" topLeftCell="AM1" activePane="topRight" state="frozen"/>
      <selection pane="topRight" activeCell="AQ23" sqref="AQ23"/>
    </sheetView>
  </sheetViews>
  <sheetFormatPr defaultColWidth="11.5546875" defaultRowHeight="14.4" x14ac:dyDescent="0.3"/>
  <cols>
    <col min="1" max="1" width="21" customWidth="1"/>
    <col min="2" max="2" width="23.88671875" bestFit="1" customWidth="1"/>
    <col min="3" max="3" width="16.109375" customWidth="1"/>
    <col min="4" max="4" width="19.109375" customWidth="1"/>
    <col min="5" max="5" width="16.109375" customWidth="1"/>
    <col min="6" max="6" width="19.109375" customWidth="1"/>
    <col min="7" max="7" width="16.109375" customWidth="1"/>
    <col min="8" max="8" width="19.109375" customWidth="1"/>
    <col min="9" max="9" width="16.109375" customWidth="1"/>
    <col min="10" max="10" width="19.109375" customWidth="1"/>
    <col min="11" max="11" width="16.109375" customWidth="1"/>
    <col min="12" max="12" width="19.109375" customWidth="1"/>
    <col min="13" max="13" width="16.109375" customWidth="1"/>
    <col min="14" max="14" width="19.109375" customWidth="1"/>
    <col min="15" max="15" width="16.109375" customWidth="1"/>
    <col min="16" max="16" width="19.109375" customWidth="1"/>
    <col min="17" max="17" width="16.109375" customWidth="1"/>
    <col min="18" max="18" width="19.109375" customWidth="1"/>
    <col min="19" max="19" width="16.109375" customWidth="1"/>
    <col min="20" max="20" width="19.109375" customWidth="1"/>
    <col min="21" max="21" width="16.109375" customWidth="1"/>
    <col min="22" max="22" width="19.109375" customWidth="1"/>
    <col min="23" max="23" width="16.109375" customWidth="1"/>
    <col min="24" max="24" width="19.109375" customWidth="1"/>
    <col min="25" max="25" width="16.109375" customWidth="1"/>
    <col min="26" max="26" width="19.109375" customWidth="1"/>
    <col min="27" max="27" width="16.109375" customWidth="1"/>
    <col min="28" max="28" width="19.109375" customWidth="1"/>
    <col min="29" max="29" width="16.109375" customWidth="1"/>
    <col min="30" max="30" width="19.109375" customWidth="1"/>
    <col min="31" max="31" width="16.109375" customWidth="1"/>
    <col min="32" max="32" width="19.109375" customWidth="1"/>
    <col min="33" max="33" width="16.109375" customWidth="1"/>
    <col min="34" max="34" width="19.109375" customWidth="1"/>
    <col min="35" max="35" width="16.109375" customWidth="1"/>
    <col min="36" max="36" width="19.109375" customWidth="1"/>
    <col min="37" max="37" width="16.109375" customWidth="1"/>
    <col min="38" max="38" width="19.109375" customWidth="1"/>
    <col min="39" max="39" width="16.109375" customWidth="1"/>
    <col min="40" max="40" width="24.109375" customWidth="1"/>
    <col min="41" max="41" width="21" customWidth="1"/>
    <col min="42" max="42" width="24.109375" customWidth="1"/>
    <col min="43" max="43" width="21" customWidth="1"/>
  </cols>
  <sheetData>
    <row r="3" spans="1:47" x14ac:dyDescent="0.3">
      <c r="B3" s="1" t="s">
        <v>344</v>
      </c>
    </row>
    <row r="4" spans="1:47" x14ac:dyDescent="0.3">
      <c r="B4" t="s">
        <v>430</v>
      </c>
      <c r="D4" t="s">
        <v>230</v>
      </c>
      <c r="F4" t="s">
        <v>558</v>
      </c>
      <c r="H4" t="s">
        <v>318</v>
      </c>
      <c r="J4" t="s">
        <v>268</v>
      </c>
      <c r="L4" t="s">
        <v>461</v>
      </c>
      <c r="N4" t="s">
        <v>432</v>
      </c>
      <c r="P4" t="s">
        <v>239</v>
      </c>
      <c r="R4" t="s">
        <v>170</v>
      </c>
      <c r="T4" t="s">
        <v>174</v>
      </c>
      <c r="V4" t="s">
        <v>3</v>
      </c>
      <c r="X4" t="s">
        <v>171</v>
      </c>
      <c r="Z4" t="s">
        <v>213</v>
      </c>
      <c r="AB4" t="s">
        <v>34</v>
      </c>
      <c r="AD4" t="s">
        <v>517</v>
      </c>
      <c r="AF4" t="s">
        <v>307</v>
      </c>
      <c r="AH4" t="s">
        <v>472</v>
      </c>
      <c r="AJ4" t="s">
        <v>75</v>
      </c>
      <c r="AL4" t="s">
        <v>394</v>
      </c>
      <c r="AN4" t="s">
        <v>347</v>
      </c>
      <c r="AO4" t="s">
        <v>349</v>
      </c>
    </row>
    <row r="5" spans="1:47" x14ac:dyDescent="0.3">
      <c r="A5" s="1" t="s">
        <v>345</v>
      </c>
      <c r="B5" t="s">
        <v>348</v>
      </c>
      <c r="C5" t="s">
        <v>350</v>
      </c>
      <c r="D5" t="s">
        <v>348</v>
      </c>
      <c r="E5" t="s">
        <v>350</v>
      </c>
      <c r="F5" t="s">
        <v>348</v>
      </c>
      <c r="G5" t="s">
        <v>350</v>
      </c>
      <c r="H5" t="s">
        <v>348</v>
      </c>
      <c r="I5" t="s">
        <v>350</v>
      </c>
      <c r="J5" t="s">
        <v>348</v>
      </c>
      <c r="K5" t="s">
        <v>350</v>
      </c>
      <c r="L5" t="s">
        <v>348</v>
      </c>
      <c r="M5" t="s">
        <v>350</v>
      </c>
      <c r="N5" t="s">
        <v>348</v>
      </c>
      <c r="O5" t="s">
        <v>350</v>
      </c>
      <c r="P5" t="s">
        <v>348</v>
      </c>
      <c r="Q5" t="s">
        <v>350</v>
      </c>
      <c r="R5" t="s">
        <v>348</v>
      </c>
      <c r="S5" t="s">
        <v>350</v>
      </c>
      <c r="T5" t="s">
        <v>348</v>
      </c>
      <c r="U5" t="s">
        <v>350</v>
      </c>
      <c r="V5" t="s">
        <v>348</v>
      </c>
      <c r="W5" t="s">
        <v>350</v>
      </c>
      <c r="X5" t="s">
        <v>348</v>
      </c>
      <c r="Y5" t="s">
        <v>350</v>
      </c>
      <c r="Z5" t="s">
        <v>348</v>
      </c>
      <c r="AA5" t="s">
        <v>350</v>
      </c>
      <c r="AB5" t="s">
        <v>348</v>
      </c>
      <c r="AC5" t="s">
        <v>350</v>
      </c>
      <c r="AD5" t="s">
        <v>348</v>
      </c>
      <c r="AE5" t="s">
        <v>350</v>
      </c>
      <c r="AF5" t="s">
        <v>348</v>
      </c>
      <c r="AG5" t="s">
        <v>350</v>
      </c>
      <c r="AH5" t="s">
        <v>348</v>
      </c>
      <c r="AI5" t="s">
        <v>350</v>
      </c>
      <c r="AJ5" t="s">
        <v>348</v>
      </c>
      <c r="AK5" t="s">
        <v>350</v>
      </c>
      <c r="AL5" t="s">
        <v>348</v>
      </c>
      <c r="AM5" t="s">
        <v>350</v>
      </c>
      <c r="AR5" s="45" t="s">
        <v>42</v>
      </c>
      <c r="AS5" s="45" t="s">
        <v>43</v>
      </c>
      <c r="AT5" s="45" t="s">
        <v>44</v>
      </c>
      <c r="AU5" s="45" t="s">
        <v>45</v>
      </c>
    </row>
    <row r="6" spans="1:47" x14ac:dyDescent="0.3">
      <c r="A6" s="2" t="s">
        <v>24</v>
      </c>
      <c r="B6" s="236"/>
      <c r="C6" s="236">
        <v>23345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>
        <v>350000</v>
      </c>
      <c r="P6" s="236"/>
      <c r="Q6" s="236"/>
      <c r="R6" s="236"/>
      <c r="S6" s="236"/>
      <c r="T6" s="236"/>
      <c r="U6" s="236"/>
      <c r="V6" s="236"/>
      <c r="W6" s="236">
        <v>260000</v>
      </c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>
        <v>2000000</v>
      </c>
      <c r="AL6" s="236"/>
      <c r="AM6" s="236"/>
      <c r="AN6" s="236"/>
      <c r="AO6" s="236">
        <v>2633345</v>
      </c>
      <c r="AQ6" s="181" t="str">
        <f>A6</f>
        <v>BCI</v>
      </c>
      <c r="AR6" s="47">
        <f>AJ6</f>
        <v>0</v>
      </c>
      <c r="AS6" s="47">
        <f>AK6</f>
        <v>2000000</v>
      </c>
      <c r="AT6" s="47">
        <f>AO6-AK6</f>
        <v>633345</v>
      </c>
      <c r="AU6" s="47">
        <f>AP6</f>
        <v>0</v>
      </c>
    </row>
    <row r="7" spans="1:47" x14ac:dyDescent="0.3">
      <c r="A7" s="2" t="s">
        <v>148</v>
      </c>
      <c r="B7" s="236"/>
      <c r="C7" s="236">
        <v>35114</v>
      </c>
      <c r="D7" s="236"/>
      <c r="E7" s="236"/>
      <c r="F7" s="236"/>
      <c r="G7" s="236"/>
      <c r="H7" s="236">
        <v>11771804</v>
      </c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>
        <v>4193166</v>
      </c>
      <c r="T7" s="236"/>
      <c r="U7" s="236">
        <v>1000000</v>
      </c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>
        <v>4000000</v>
      </c>
      <c r="AL7" s="236"/>
      <c r="AM7" s="236"/>
      <c r="AN7" s="236">
        <v>11771804</v>
      </c>
      <c r="AO7" s="236">
        <v>9228280</v>
      </c>
      <c r="AQ7" s="181" t="str">
        <f t="shared" ref="AQ7:AQ21" si="0">A7</f>
        <v>BCI-Sous Compte</v>
      </c>
      <c r="AR7" s="47">
        <f t="shared" ref="AR7:AR20" si="1">AJ7</f>
        <v>0</v>
      </c>
      <c r="AS7" s="47">
        <f t="shared" ref="AS7:AS20" si="2">AK7</f>
        <v>4000000</v>
      </c>
      <c r="AT7" s="47">
        <f t="shared" ref="AT7:AT20" si="3">AO7-AK7</f>
        <v>5228280</v>
      </c>
      <c r="AU7" s="47">
        <f>H7</f>
        <v>11771804</v>
      </c>
    </row>
    <row r="8" spans="1:47" x14ac:dyDescent="0.3">
      <c r="A8" s="2" t="s">
        <v>25</v>
      </c>
      <c r="B8" s="236"/>
      <c r="C8" s="236"/>
      <c r="D8" s="236"/>
      <c r="E8" s="236">
        <v>879000</v>
      </c>
      <c r="F8" s="236"/>
      <c r="G8" s="236">
        <v>669000</v>
      </c>
      <c r="H8" s="236"/>
      <c r="I8" s="236"/>
      <c r="J8" s="236"/>
      <c r="K8" s="236">
        <v>45050</v>
      </c>
      <c r="L8" s="236"/>
      <c r="M8" s="236"/>
      <c r="N8" s="236"/>
      <c r="O8" s="236">
        <v>472500</v>
      </c>
      <c r="P8" s="236"/>
      <c r="Q8" s="236">
        <v>259500</v>
      </c>
      <c r="R8" s="236"/>
      <c r="S8" s="236">
        <v>14550</v>
      </c>
      <c r="T8" s="236"/>
      <c r="U8" s="236">
        <v>107772</v>
      </c>
      <c r="V8" s="236"/>
      <c r="W8" s="236">
        <v>114625</v>
      </c>
      <c r="X8" s="236"/>
      <c r="Y8" s="236">
        <v>335000</v>
      </c>
      <c r="Z8" s="236"/>
      <c r="AA8" s="236">
        <v>43140</v>
      </c>
      <c r="AB8" s="236"/>
      <c r="AC8" s="236"/>
      <c r="AD8" s="236"/>
      <c r="AE8" s="236"/>
      <c r="AF8" s="236"/>
      <c r="AG8" s="236"/>
      <c r="AH8" s="236"/>
      <c r="AI8" s="236"/>
      <c r="AJ8" s="236">
        <v>6705000</v>
      </c>
      <c r="AK8" s="236">
        <v>3412500</v>
      </c>
      <c r="AL8" s="236"/>
      <c r="AM8" s="236">
        <v>22000</v>
      </c>
      <c r="AN8" s="236">
        <v>6705000</v>
      </c>
      <c r="AO8" s="236">
        <v>6374637</v>
      </c>
      <c r="AQ8" s="181" t="str">
        <f t="shared" si="0"/>
        <v>Caisse</v>
      </c>
      <c r="AR8" s="47">
        <f t="shared" si="1"/>
        <v>6705000</v>
      </c>
      <c r="AS8" s="47">
        <f t="shared" si="2"/>
        <v>3412500</v>
      </c>
      <c r="AT8" s="47">
        <f t="shared" si="3"/>
        <v>2962137</v>
      </c>
      <c r="AU8" s="47">
        <v>0</v>
      </c>
    </row>
    <row r="9" spans="1:47" x14ac:dyDescent="0.3">
      <c r="A9" s="2" t="s">
        <v>47</v>
      </c>
      <c r="B9" s="236"/>
      <c r="C9" s="236"/>
      <c r="D9" s="236"/>
      <c r="E9" s="236">
        <v>190000</v>
      </c>
      <c r="F9" s="236"/>
      <c r="G9" s="236"/>
      <c r="H9" s="236"/>
      <c r="I9" s="236"/>
      <c r="J9" s="236"/>
      <c r="K9" s="236"/>
      <c r="L9" s="236"/>
      <c r="M9" s="236">
        <v>25000</v>
      </c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>
        <v>61900</v>
      </c>
      <c r="AD9" s="236"/>
      <c r="AE9" s="236"/>
      <c r="AF9" s="236"/>
      <c r="AG9" s="236">
        <v>115000</v>
      </c>
      <c r="AH9" s="236"/>
      <c r="AI9" s="236"/>
      <c r="AJ9" s="236">
        <v>317000</v>
      </c>
      <c r="AK9" s="236"/>
      <c r="AL9" s="236"/>
      <c r="AM9" s="236"/>
      <c r="AN9" s="236">
        <v>317000</v>
      </c>
      <c r="AO9" s="236">
        <v>391900</v>
      </c>
      <c r="AQ9" s="181" t="str">
        <f t="shared" si="0"/>
        <v>Crépin</v>
      </c>
      <c r="AR9" s="47">
        <f t="shared" si="1"/>
        <v>317000</v>
      </c>
      <c r="AS9" s="47">
        <f t="shared" si="2"/>
        <v>0</v>
      </c>
      <c r="AT9" s="47">
        <f t="shared" si="3"/>
        <v>391900</v>
      </c>
      <c r="AU9" s="47">
        <v>0</v>
      </c>
    </row>
    <row r="10" spans="1:47" x14ac:dyDescent="0.3">
      <c r="A10" s="2" t="s">
        <v>270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>
        <v>121500</v>
      </c>
      <c r="AD10" s="236"/>
      <c r="AE10" s="236"/>
      <c r="AF10" s="236"/>
      <c r="AG10" s="236">
        <v>315000</v>
      </c>
      <c r="AH10" s="236"/>
      <c r="AI10" s="236">
        <v>14000</v>
      </c>
      <c r="AJ10" s="236">
        <v>441000</v>
      </c>
      <c r="AK10" s="236"/>
      <c r="AL10" s="236"/>
      <c r="AM10" s="236"/>
      <c r="AN10" s="236">
        <v>441000</v>
      </c>
      <c r="AO10" s="236">
        <v>450500</v>
      </c>
      <c r="AQ10" s="181" t="str">
        <f t="shared" si="0"/>
        <v>D58</v>
      </c>
      <c r="AR10" s="47">
        <f t="shared" si="1"/>
        <v>441000</v>
      </c>
      <c r="AS10" s="47">
        <f t="shared" si="2"/>
        <v>0</v>
      </c>
      <c r="AT10" s="47">
        <f t="shared" si="3"/>
        <v>450500</v>
      </c>
      <c r="AU10" s="47">
        <v>0</v>
      </c>
    </row>
    <row r="11" spans="1:47" x14ac:dyDescent="0.3">
      <c r="A11" s="2" t="s">
        <v>301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>
        <v>104280</v>
      </c>
      <c r="N11" s="236"/>
      <c r="O11" s="236"/>
      <c r="P11" s="236"/>
      <c r="Q11" s="236">
        <v>50900</v>
      </c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>
        <v>55000</v>
      </c>
      <c r="AD11" s="236"/>
      <c r="AE11" s="236">
        <v>115800</v>
      </c>
      <c r="AF11" s="236"/>
      <c r="AG11" s="236">
        <v>450000</v>
      </c>
      <c r="AH11" s="236"/>
      <c r="AI11" s="236"/>
      <c r="AJ11" s="236">
        <v>649500</v>
      </c>
      <c r="AK11" s="236">
        <v>65000</v>
      </c>
      <c r="AL11" s="236"/>
      <c r="AM11" s="236"/>
      <c r="AN11" s="236">
        <v>649500</v>
      </c>
      <c r="AO11" s="236">
        <v>840980</v>
      </c>
      <c r="AQ11" s="181" t="str">
        <f t="shared" si="0"/>
        <v>Donald-Roméo</v>
      </c>
      <c r="AR11" s="47">
        <f t="shared" si="1"/>
        <v>649500</v>
      </c>
      <c r="AS11" s="47">
        <f t="shared" si="2"/>
        <v>65000</v>
      </c>
      <c r="AT11" s="47">
        <f t="shared" si="3"/>
        <v>775980</v>
      </c>
      <c r="AU11" s="47">
        <v>0</v>
      </c>
    </row>
    <row r="12" spans="1:47" x14ac:dyDescent="0.3">
      <c r="A12" s="2" t="s">
        <v>320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>
        <v>28000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>
        <v>28000</v>
      </c>
      <c r="AQ12" s="181" t="str">
        <f t="shared" si="0"/>
        <v>DOVI</v>
      </c>
      <c r="AR12" s="47">
        <f t="shared" si="1"/>
        <v>0</v>
      </c>
      <c r="AS12" s="47">
        <f t="shared" si="2"/>
        <v>0</v>
      </c>
      <c r="AT12" s="47">
        <f t="shared" si="3"/>
        <v>28000</v>
      </c>
      <c r="AU12" s="47">
        <v>0</v>
      </c>
    </row>
    <row r="13" spans="1:47" x14ac:dyDescent="0.3">
      <c r="A13" s="2" t="s">
        <v>31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>
        <v>86000</v>
      </c>
      <c r="AD13" s="236"/>
      <c r="AE13" s="236"/>
      <c r="AF13" s="236"/>
      <c r="AG13" s="236">
        <v>50000</v>
      </c>
      <c r="AH13" s="236"/>
      <c r="AI13" s="236"/>
      <c r="AJ13" s="236">
        <v>75000</v>
      </c>
      <c r="AK13" s="236"/>
      <c r="AL13" s="236"/>
      <c r="AM13" s="236"/>
      <c r="AN13" s="236">
        <v>75000</v>
      </c>
      <c r="AO13" s="236">
        <v>136000</v>
      </c>
      <c r="AQ13" s="181" t="str">
        <f t="shared" si="0"/>
        <v>Evariste</v>
      </c>
      <c r="AR13" s="47">
        <f t="shared" si="1"/>
        <v>75000</v>
      </c>
      <c r="AS13" s="47">
        <f t="shared" si="2"/>
        <v>0</v>
      </c>
      <c r="AT13" s="47">
        <f t="shared" si="3"/>
        <v>136000</v>
      </c>
      <c r="AU13" s="47">
        <v>0</v>
      </c>
    </row>
    <row r="14" spans="1:47" x14ac:dyDescent="0.3">
      <c r="A14" s="2" t="s">
        <v>143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>
        <v>25500</v>
      </c>
      <c r="AD14" s="236"/>
      <c r="AE14" s="236"/>
      <c r="AF14" s="236"/>
      <c r="AG14" s="236"/>
      <c r="AH14" s="236"/>
      <c r="AI14" s="236"/>
      <c r="AJ14" s="236"/>
      <c r="AK14" s="236">
        <v>120000</v>
      </c>
      <c r="AL14" s="236"/>
      <c r="AM14" s="236"/>
      <c r="AN14" s="236"/>
      <c r="AO14" s="236">
        <v>145500</v>
      </c>
      <c r="AQ14" s="181" t="str">
        <f t="shared" si="0"/>
        <v>Grace</v>
      </c>
      <c r="AR14" s="47">
        <f t="shared" si="1"/>
        <v>0</v>
      </c>
      <c r="AS14" s="47">
        <f t="shared" si="2"/>
        <v>120000</v>
      </c>
      <c r="AT14" s="47">
        <f t="shared" si="3"/>
        <v>25500</v>
      </c>
      <c r="AU14" s="47">
        <v>0</v>
      </c>
    </row>
    <row r="15" spans="1:47" x14ac:dyDescent="0.3">
      <c r="A15" s="2" t="s">
        <v>197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>
        <v>6000</v>
      </c>
      <c r="AD15" s="236"/>
      <c r="AE15" s="236"/>
      <c r="AF15" s="236"/>
      <c r="AG15" s="236">
        <v>10500</v>
      </c>
      <c r="AH15" s="236"/>
      <c r="AI15" s="236"/>
      <c r="AJ15" s="236">
        <v>20000</v>
      </c>
      <c r="AK15" s="236"/>
      <c r="AL15" s="236"/>
      <c r="AM15" s="236"/>
      <c r="AN15" s="236">
        <v>20000</v>
      </c>
      <c r="AO15" s="236">
        <v>16500</v>
      </c>
      <c r="AQ15" s="181" t="str">
        <f t="shared" si="0"/>
        <v>Hurielle</v>
      </c>
      <c r="AR15" s="47">
        <f t="shared" si="1"/>
        <v>20000</v>
      </c>
      <c r="AS15" s="47">
        <f t="shared" si="2"/>
        <v>0</v>
      </c>
      <c r="AT15" s="47">
        <f t="shared" si="3"/>
        <v>16500</v>
      </c>
      <c r="AU15" s="47">
        <v>0</v>
      </c>
    </row>
    <row r="16" spans="1:47" x14ac:dyDescent="0.3">
      <c r="A16" s="2" t="s">
        <v>424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>
        <v>30000</v>
      </c>
      <c r="AD16" s="236"/>
      <c r="AE16" s="236"/>
      <c r="AF16" s="236"/>
      <c r="AG16" s="236">
        <v>6000</v>
      </c>
      <c r="AH16" s="236"/>
      <c r="AI16" s="236">
        <v>2000</v>
      </c>
      <c r="AJ16" s="236">
        <v>40000</v>
      </c>
      <c r="AK16" s="236"/>
      <c r="AL16" s="236"/>
      <c r="AM16" s="236"/>
      <c r="AN16" s="236">
        <v>40000</v>
      </c>
      <c r="AO16" s="236">
        <v>38000</v>
      </c>
      <c r="AQ16" s="181" t="str">
        <f t="shared" si="0"/>
        <v>IT87</v>
      </c>
      <c r="AR16" s="47">
        <f t="shared" si="1"/>
        <v>40000</v>
      </c>
      <c r="AS16" s="47">
        <f t="shared" si="2"/>
        <v>0</v>
      </c>
      <c r="AT16" s="47">
        <f t="shared" si="3"/>
        <v>38000</v>
      </c>
      <c r="AU16" s="47">
        <v>0</v>
      </c>
    </row>
    <row r="17" spans="1:47" x14ac:dyDescent="0.3">
      <c r="A17" s="2" t="s">
        <v>93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>
        <v>34000</v>
      </c>
      <c r="AD17" s="236"/>
      <c r="AE17" s="236"/>
      <c r="AF17" s="236"/>
      <c r="AG17" s="236">
        <v>15000</v>
      </c>
      <c r="AH17" s="236"/>
      <c r="AI17" s="236"/>
      <c r="AJ17" s="236">
        <v>20000</v>
      </c>
      <c r="AK17" s="236">
        <v>160000</v>
      </c>
      <c r="AL17" s="236"/>
      <c r="AM17" s="236"/>
      <c r="AN17" s="236">
        <v>20000</v>
      </c>
      <c r="AO17" s="236">
        <v>209000</v>
      </c>
      <c r="AQ17" s="181" t="str">
        <f t="shared" si="0"/>
        <v>Merveille</v>
      </c>
      <c r="AR17" s="47">
        <f t="shared" si="1"/>
        <v>20000</v>
      </c>
      <c r="AS17" s="47">
        <f t="shared" si="2"/>
        <v>160000</v>
      </c>
      <c r="AT17" s="47">
        <f t="shared" si="3"/>
        <v>49000</v>
      </c>
      <c r="AU17" s="47">
        <v>0</v>
      </c>
    </row>
    <row r="18" spans="1:47" x14ac:dyDescent="0.3">
      <c r="A18" s="2" t="s">
        <v>302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>
        <v>27000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>
        <v>157000</v>
      </c>
      <c r="AD18" s="236"/>
      <c r="AE18" s="236">
        <v>30000</v>
      </c>
      <c r="AF18" s="236"/>
      <c r="AG18" s="236">
        <v>164000</v>
      </c>
      <c r="AH18" s="236"/>
      <c r="AI18" s="236"/>
      <c r="AJ18" s="236">
        <v>449000</v>
      </c>
      <c r="AK18" s="236"/>
      <c r="AL18" s="236"/>
      <c r="AM18" s="236"/>
      <c r="AN18" s="236">
        <v>449000</v>
      </c>
      <c r="AO18" s="236">
        <v>378000</v>
      </c>
      <c r="AQ18" s="181" t="str">
        <f t="shared" si="0"/>
        <v>Oracle</v>
      </c>
      <c r="AR18" s="47">
        <f t="shared" si="1"/>
        <v>449000</v>
      </c>
      <c r="AS18" s="47">
        <f t="shared" si="2"/>
        <v>0</v>
      </c>
      <c r="AT18" s="47">
        <f t="shared" si="3"/>
        <v>378000</v>
      </c>
      <c r="AU18" s="47">
        <v>0</v>
      </c>
    </row>
    <row r="19" spans="1:47" x14ac:dyDescent="0.3">
      <c r="A19" s="2" t="s">
        <v>29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>
        <v>136500</v>
      </c>
      <c r="AD19" s="236"/>
      <c r="AE19" s="236"/>
      <c r="AF19" s="236"/>
      <c r="AG19" s="236">
        <v>375000</v>
      </c>
      <c r="AH19" s="236"/>
      <c r="AI19" s="236">
        <v>43500</v>
      </c>
      <c r="AJ19" s="236">
        <v>870000</v>
      </c>
      <c r="AK19" s="236">
        <v>360000</v>
      </c>
      <c r="AL19" s="236"/>
      <c r="AM19" s="236"/>
      <c r="AN19" s="236">
        <v>870000</v>
      </c>
      <c r="AO19" s="236">
        <v>915000</v>
      </c>
      <c r="AQ19" s="181" t="str">
        <f t="shared" si="0"/>
        <v>P29</v>
      </c>
      <c r="AR19" s="47">
        <f t="shared" si="1"/>
        <v>870000</v>
      </c>
      <c r="AS19" s="47">
        <f t="shared" si="2"/>
        <v>360000</v>
      </c>
      <c r="AT19" s="47">
        <f t="shared" si="3"/>
        <v>555000</v>
      </c>
      <c r="AU19" s="47">
        <v>0</v>
      </c>
    </row>
    <row r="20" spans="1:47" x14ac:dyDescent="0.3">
      <c r="A20" s="2" t="s">
        <v>269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>
        <v>153000</v>
      </c>
      <c r="AD20" s="236"/>
      <c r="AE20" s="236"/>
      <c r="AF20" s="236"/>
      <c r="AG20" s="236">
        <v>375000</v>
      </c>
      <c r="AH20" s="236"/>
      <c r="AI20" s="236">
        <v>28000</v>
      </c>
      <c r="AJ20" s="236">
        <v>531000</v>
      </c>
      <c r="AK20" s="236"/>
      <c r="AL20" s="236"/>
      <c r="AM20" s="236"/>
      <c r="AN20" s="236">
        <v>531000</v>
      </c>
      <c r="AO20" s="236">
        <v>556000</v>
      </c>
      <c r="AQ20" s="181" t="str">
        <f t="shared" si="0"/>
        <v>T73</v>
      </c>
      <c r="AR20" s="47">
        <f t="shared" si="1"/>
        <v>531000</v>
      </c>
      <c r="AS20" s="47">
        <f t="shared" si="2"/>
        <v>0</v>
      </c>
      <c r="AT20" s="47">
        <f t="shared" si="3"/>
        <v>556000</v>
      </c>
      <c r="AU20" s="47">
        <v>0</v>
      </c>
    </row>
    <row r="21" spans="1:47" x14ac:dyDescent="0.3">
      <c r="A21" s="2" t="s">
        <v>346</v>
      </c>
      <c r="B21" s="236"/>
      <c r="C21" s="236">
        <v>58459</v>
      </c>
      <c r="D21" s="236"/>
      <c r="E21" s="236">
        <v>1069000</v>
      </c>
      <c r="F21" s="236"/>
      <c r="G21" s="236">
        <v>669000</v>
      </c>
      <c r="H21" s="236">
        <v>11771804</v>
      </c>
      <c r="I21" s="236"/>
      <c r="J21" s="236"/>
      <c r="K21" s="236">
        <v>45050</v>
      </c>
      <c r="L21" s="236"/>
      <c r="M21" s="236">
        <v>156280</v>
      </c>
      <c r="N21" s="236"/>
      <c r="O21" s="236">
        <v>822500</v>
      </c>
      <c r="P21" s="236"/>
      <c r="Q21" s="236">
        <v>310400</v>
      </c>
      <c r="R21" s="236"/>
      <c r="S21" s="236">
        <v>4207716</v>
      </c>
      <c r="T21" s="236"/>
      <c r="U21" s="236">
        <v>1107772</v>
      </c>
      <c r="V21" s="236"/>
      <c r="W21" s="236">
        <v>374625</v>
      </c>
      <c r="X21" s="236"/>
      <c r="Y21" s="236">
        <v>335000</v>
      </c>
      <c r="Z21" s="236"/>
      <c r="AA21" s="236">
        <v>43140</v>
      </c>
      <c r="AB21" s="236"/>
      <c r="AC21" s="236">
        <v>894400</v>
      </c>
      <c r="AD21" s="236"/>
      <c r="AE21" s="236">
        <v>145800</v>
      </c>
      <c r="AF21" s="236"/>
      <c r="AG21" s="236">
        <v>1875500</v>
      </c>
      <c r="AH21" s="236"/>
      <c r="AI21" s="236">
        <v>87500</v>
      </c>
      <c r="AJ21" s="236">
        <v>10117500</v>
      </c>
      <c r="AK21" s="236">
        <v>10117500</v>
      </c>
      <c r="AL21" s="236"/>
      <c r="AM21" s="236">
        <v>22000</v>
      </c>
      <c r="AN21" s="236">
        <v>21889304</v>
      </c>
      <c r="AO21" s="236">
        <v>22341642</v>
      </c>
      <c r="AQ21" s="181" t="str">
        <f t="shared" si="0"/>
        <v>Total général</v>
      </c>
      <c r="AR21" s="47">
        <f>+SUM(AR6:AR20)</f>
        <v>10117500</v>
      </c>
      <c r="AS21" s="47">
        <f>+SUM(AS6:AS20)</f>
        <v>10117500</v>
      </c>
      <c r="AT21" s="47">
        <f>+SUM(AT6:AT20)</f>
        <v>12224142</v>
      </c>
      <c r="AU21" s="47">
        <f t="shared" ref="AU21" si="4">+SUM(AU6:AU20)</f>
        <v>11771804</v>
      </c>
    </row>
    <row r="23" spans="1:47" x14ac:dyDescent="0.3">
      <c r="AR23" s="317">
        <f>+AS21-AR21</f>
        <v>0</v>
      </c>
      <c r="AS23" s="317" t="b">
        <f>AT21=GETPIVOTDATA("Spent",Donateurs!$A$3)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7"/>
  <sheetViews>
    <sheetView tabSelected="1" zoomScale="71" zoomScaleNormal="71" workbookViewId="0">
      <pane ySplit="1" topLeftCell="A245" activePane="bottomLeft" state="frozen"/>
      <selection pane="bottomLeft" activeCell="B281" sqref="B281:D282"/>
    </sheetView>
  </sheetViews>
  <sheetFormatPr defaultColWidth="11.5546875" defaultRowHeight="14.4" x14ac:dyDescent="0.3"/>
  <cols>
    <col min="1" max="1" width="10.33203125" customWidth="1"/>
    <col min="2" max="2" width="83.33203125" customWidth="1"/>
    <col min="3" max="3" width="21" customWidth="1"/>
    <col min="4" max="4" width="13.88671875" customWidth="1"/>
    <col min="5" max="5" width="18.6640625" customWidth="1"/>
    <col min="6" max="6" width="13.5546875" customWidth="1"/>
    <col min="7" max="7" width="18.33203125" customWidth="1"/>
    <col min="8" max="8" width="17.88671875" customWidth="1"/>
    <col min="9" max="9" width="13.33203125" style="338" customWidth="1"/>
    <col min="10" max="10" width="10.88671875" customWidth="1"/>
    <col min="12" max="12" width="9.6640625" customWidth="1"/>
    <col min="13" max="13" width="16.109375" customWidth="1"/>
    <col min="14" max="14" width="11.44140625" customWidth="1"/>
    <col min="16" max="16" width="11.44140625" style="211"/>
  </cols>
  <sheetData>
    <row r="1" spans="1:18" s="159" customFormat="1" ht="26.25" customHeight="1" x14ac:dyDescent="0.3">
      <c r="A1" s="483" t="s">
        <v>356</v>
      </c>
      <c r="B1" s="483"/>
      <c r="C1" s="483"/>
      <c r="D1" s="483"/>
      <c r="E1" s="484"/>
      <c r="F1" s="485"/>
      <c r="G1" s="483"/>
      <c r="H1" s="483"/>
      <c r="I1" s="486"/>
      <c r="J1" s="483"/>
      <c r="K1" s="483"/>
      <c r="L1" s="483"/>
      <c r="M1" s="483"/>
      <c r="N1" s="483"/>
      <c r="O1" s="487"/>
      <c r="P1" s="217"/>
    </row>
    <row r="2" spans="1:18" s="157" customFormat="1" ht="13.8" x14ac:dyDescent="0.25">
      <c r="A2" s="189"/>
      <c r="B2" s="197" t="s">
        <v>351</v>
      </c>
      <c r="C2" s="198">
        <v>23593552</v>
      </c>
      <c r="D2" s="192"/>
      <c r="E2" s="193"/>
      <c r="F2" s="199"/>
      <c r="G2" s="200"/>
      <c r="J2" s="191"/>
      <c r="N2" s="192"/>
      <c r="O2" s="201"/>
      <c r="P2" s="218"/>
    </row>
    <row r="3" spans="1:18" s="157" customFormat="1" ht="13.8" x14ac:dyDescent="0.25">
      <c r="A3" s="189"/>
      <c r="C3" s="192"/>
      <c r="D3" s="192"/>
      <c r="E3" s="193"/>
      <c r="F3" s="199"/>
      <c r="G3" s="200"/>
      <c r="J3" s="191"/>
      <c r="N3" s="192"/>
      <c r="O3" s="201"/>
      <c r="P3" s="218"/>
    </row>
    <row r="4" spans="1:18" s="157" customFormat="1" ht="13.8" x14ac:dyDescent="0.25">
      <c r="A4" s="189"/>
      <c r="B4" s="202" t="s">
        <v>6</v>
      </c>
      <c r="C4" s="203" t="s">
        <v>7</v>
      </c>
      <c r="D4" s="192"/>
      <c r="E4" s="193"/>
      <c r="F4" s="199"/>
      <c r="G4" s="200"/>
      <c r="I4" s="335"/>
      <c r="J4" s="191"/>
      <c r="N4" s="192"/>
      <c r="O4" s="201"/>
      <c r="P4" s="218"/>
    </row>
    <row r="5" spans="1:18" s="157" customFormat="1" ht="13.8" x14ac:dyDescent="0.25">
      <c r="A5" s="189"/>
      <c r="B5" s="157" t="s">
        <v>8</v>
      </c>
      <c r="C5" s="204">
        <f>SUM(E13:E1063)</f>
        <v>21889304</v>
      </c>
      <c r="D5" s="192"/>
      <c r="E5" s="205" t="s">
        <v>100</v>
      </c>
      <c r="F5" s="199"/>
      <c r="G5" s="200"/>
      <c r="H5" s="194"/>
      <c r="J5" s="191"/>
      <c r="N5" s="192"/>
      <c r="O5" s="201"/>
      <c r="P5" s="218"/>
    </row>
    <row r="6" spans="1:18" s="157" customFormat="1" ht="13.8" x14ac:dyDescent="0.25">
      <c r="A6" s="189"/>
      <c r="B6" s="157" t="s">
        <v>9</v>
      </c>
      <c r="C6" s="204">
        <f>SUM(F13:F1064)</f>
        <v>22341642</v>
      </c>
      <c r="D6" s="192"/>
      <c r="E6" s="206">
        <f>+C7-Récapitulatif!I21</f>
        <v>0</v>
      </c>
      <c r="F6" s="199"/>
      <c r="G6" s="200"/>
      <c r="J6" s="207"/>
      <c r="K6" s="195"/>
      <c r="N6" s="192"/>
      <c r="O6" s="201"/>
      <c r="P6" s="218"/>
    </row>
    <row r="7" spans="1:18" s="157" customFormat="1" ht="13.8" x14ac:dyDescent="0.25">
      <c r="A7" s="189"/>
      <c r="B7" s="208" t="s">
        <v>10</v>
      </c>
      <c r="C7" s="209">
        <f>C2+C5-C6</f>
        <v>23141214</v>
      </c>
      <c r="D7" s="210">
        <f>C7-Récapitulatif!I21</f>
        <v>0</v>
      </c>
      <c r="E7" s="193"/>
      <c r="F7" s="199"/>
      <c r="G7" s="200"/>
      <c r="J7" s="191"/>
      <c r="K7" s="195"/>
      <c r="N7" s="192"/>
      <c r="O7" s="201"/>
      <c r="P7" s="218"/>
    </row>
    <row r="8" spans="1:18" s="157" customFormat="1" ht="13.8" x14ac:dyDescent="0.25">
      <c r="A8" s="189"/>
      <c r="C8" s="192"/>
      <c r="D8" s="192"/>
      <c r="E8" s="193"/>
      <c r="F8" s="199"/>
      <c r="G8" s="200"/>
      <c r="J8" s="191"/>
      <c r="N8" s="192"/>
      <c r="O8" s="201"/>
      <c r="P8" s="218"/>
    </row>
    <row r="9" spans="1:18" s="190" customFormat="1" ht="13.8" x14ac:dyDescent="0.25">
      <c r="I9" s="336"/>
      <c r="P9" s="219"/>
    </row>
    <row r="10" spans="1:18" s="190" customFormat="1" ht="13.8" x14ac:dyDescent="0.25">
      <c r="I10" s="336"/>
      <c r="P10" s="219"/>
    </row>
    <row r="11" spans="1:18" s="190" customFormat="1" ht="13.8" x14ac:dyDescent="0.25">
      <c r="A11" s="359"/>
      <c r="B11" s="359"/>
      <c r="C11" s="359"/>
      <c r="D11" s="359"/>
      <c r="E11" s="359"/>
      <c r="F11" s="359"/>
      <c r="G11" s="359"/>
      <c r="H11" s="359"/>
      <c r="I11" s="360"/>
      <c r="J11" s="359"/>
      <c r="K11" s="359"/>
      <c r="L11" s="359"/>
      <c r="M11" s="359"/>
      <c r="N11" s="359"/>
      <c r="O11" s="359"/>
      <c r="P11" s="219"/>
    </row>
    <row r="12" spans="1:18" s="190" customFormat="1" ht="13.8" x14ac:dyDescent="0.25">
      <c r="A12" s="268" t="s">
        <v>0</v>
      </c>
      <c r="B12" s="269" t="s">
        <v>11</v>
      </c>
      <c r="C12" s="273" t="s">
        <v>12</v>
      </c>
      <c r="D12" s="273" t="s">
        <v>13</v>
      </c>
      <c r="E12" s="271" t="s">
        <v>14</v>
      </c>
      <c r="F12" s="348" t="s">
        <v>15</v>
      </c>
      <c r="G12" s="272" t="s">
        <v>16</v>
      </c>
      <c r="H12" s="269" t="s">
        <v>17</v>
      </c>
      <c r="I12" s="269" t="s">
        <v>18</v>
      </c>
      <c r="J12" s="273" t="s">
        <v>19</v>
      </c>
      <c r="K12" s="269" t="s">
        <v>20</v>
      </c>
      <c r="L12" s="269" t="s">
        <v>21</v>
      </c>
      <c r="M12" s="269" t="s">
        <v>81</v>
      </c>
      <c r="N12" s="270" t="s">
        <v>23</v>
      </c>
      <c r="O12" s="269" t="s">
        <v>22</v>
      </c>
      <c r="P12" s="350"/>
      <c r="Q12" s="157"/>
      <c r="R12" s="157"/>
    </row>
    <row r="13" spans="1:18" s="223" customFormat="1" ht="13.8" x14ac:dyDescent="0.25">
      <c r="A13" s="391">
        <v>45108</v>
      </c>
      <c r="B13" s="392" t="s">
        <v>351</v>
      </c>
      <c r="C13" s="392"/>
      <c r="D13" s="392"/>
      <c r="E13" s="393"/>
      <c r="F13" s="394"/>
      <c r="G13" s="395">
        <f>+C2</f>
        <v>23593552</v>
      </c>
      <c r="H13" s="392"/>
      <c r="I13" s="389"/>
      <c r="J13" s="392"/>
      <c r="K13" s="392"/>
      <c r="L13" s="392"/>
      <c r="M13" s="392"/>
      <c r="N13" s="392"/>
      <c r="O13" s="392"/>
      <c r="P13" s="222"/>
      <c r="Q13" s="221"/>
      <c r="R13" s="221"/>
    </row>
    <row r="14" spans="1:18" s="223" customFormat="1" ht="13.8" x14ac:dyDescent="0.25">
      <c r="A14" s="237">
        <v>45108</v>
      </c>
      <c r="B14" s="223" t="s">
        <v>357</v>
      </c>
      <c r="C14" s="223" t="s">
        <v>432</v>
      </c>
      <c r="D14" s="223" t="s">
        <v>154</v>
      </c>
      <c r="E14" s="215"/>
      <c r="F14" s="274">
        <v>167000</v>
      </c>
      <c r="G14" s="215">
        <f t="shared" ref="G14:G77" si="0">+G13+E14-F14</f>
        <v>23426552</v>
      </c>
      <c r="H14" s="223" t="s">
        <v>25</v>
      </c>
      <c r="I14" s="275" t="s">
        <v>304</v>
      </c>
      <c r="J14" s="223" t="s">
        <v>288</v>
      </c>
      <c r="K14" s="223" t="s">
        <v>198</v>
      </c>
      <c r="L14" s="223" t="s">
        <v>330</v>
      </c>
      <c r="M14" s="238"/>
      <c r="N14" s="235"/>
      <c r="P14" s="351"/>
      <c r="Q14" s="240"/>
      <c r="R14" s="240"/>
    </row>
    <row r="15" spans="1:18" s="223" customFormat="1" ht="13.8" x14ac:dyDescent="0.25">
      <c r="A15" s="234">
        <v>45108</v>
      </c>
      <c r="B15" s="223" t="s">
        <v>455</v>
      </c>
      <c r="C15" s="235" t="s">
        <v>34</v>
      </c>
      <c r="D15" s="223" t="s">
        <v>2</v>
      </c>
      <c r="F15" s="215">
        <v>15000</v>
      </c>
      <c r="G15" s="215">
        <f t="shared" si="0"/>
        <v>23411552</v>
      </c>
      <c r="H15" s="215" t="s">
        <v>47</v>
      </c>
      <c r="I15" s="275" t="s">
        <v>304</v>
      </c>
      <c r="J15" s="223" t="s">
        <v>102</v>
      </c>
      <c r="K15" s="235" t="s">
        <v>199</v>
      </c>
      <c r="L15" s="235" t="s">
        <v>330</v>
      </c>
      <c r="M15" s="223" t="s">
        <v>565</v>
      </c>
      <c r="N15" s="235" t="s">
        <v>342</v>
      </c>
      <c r="P15" s="351"/>
      <c r="Q15" s="215"/>
      <c r="R15" s="240"/>
    </row>
    <row r="16" spans="1:18" s="223" customFormat="1" ht="13.8" x14ac:dyDescent="0.25">
      <c r="A16" s="237">
        <v>45108</v>
      </c>
      <c r="B16" s="235" t="s">
        <v>523</v>
      </c>
      <c r="C16" s="235" t="s">
        <v>34</v>
      </c>
      <c r="D16" s="223" t="s">
        <v>155</v>
      </c>
      <c r="E16" s="235"/>
      <c r="F16" s="244">
        <v>15000</v>
      </c>
      <c r="G16" s="215">
        <f t="shared" si="0"/>
        <v>23396552</v>
      </c>
      <c r="H16" s="235" t="s">
        <v>31</v>
      </c>
      <c r="I16" s="275" t="s">
        <v>304</v>
      </c>
      <c r="J16" s="223" t="s">
        <v>288</v>
      </c>
      <c r="K16" s="235" t="s">
        <v>199</v>
      </c>
      <c r="L16" s="235" t="s">
        <v>330</v>
      </c>
      <c r="M16" s="223" t="s">
        <v>566</v>
      </c>
      <c r="N16" s="235" t="s">
        <v>342</v>
      </c>
      <c r="O16" s="235"/>
      <c r="P16" s="351"/>
      <c r="Q16" s="215"/>
      <c r="R16" s="240"/>
    </row>
    <row r="17" spans="1:18" s="223" customFormat="1" ht="13.8" x14ac:dyDescent="0.25">
      <c r="A17" s="234">
        <v>45109</v>
      </c>
      <c r="B17" s="223" t="s">
        <v>428</v>
      </c>
      <c r="C17" s="223" t="s">
        <v>3</v>
      </c>
      <c r="D17" s="223" t="s">
        <v>300</v>
      </c>
      <c r="F17" s="223">
        <v>260000</v>
      </c>
      <c r="G17" s="215">
        <f t="shared" si="0"/>
        <v>23136552</v>
      </c>
      <c r="H17" s="235" t="s">
        <v>24</v>
      </c>
      <c r="I17" s="221">
        <v>3654555</v>
      </c>
      <c r="J17" s="223" t="s">
        <v>288</v>
      </c>
      <c r="K17" s="223" t="s">
        <v>198</v>
      </c>
      <c r="L17" s="223" t="s">
        <v>330</v>
      </c>
      <c r="N17" s="235"/>
      <c r="O17" s="231"/>
      <c r="P17" s="351"/>
      <c r="Q17" s="215"/>
      <c r="R17" s="240"/>
    </row>
    <row r="18" spans="1:18" s="223" customFormat="1" ht="13.8" x14ac:dyDescent="0.25">
      <c r="A18" s="241">
        <v>45109</v>
      </c>
      <c r="B18" s="235" t="s">
        <v>456</v>
      </c>
      <c r="C18" s="235" t="s">
        <v>307</v>
      </c>
      <c r="D18" s="223" t="s">
        <v>2</v>
      </c>
      <c r="F18" s="235">
        <v>40000</v>
      </c>
      <c r="G18" s="215">
        <f t="shared" si="0"/>
        <v>23096552</v>
      </c>
      <c r="H18" s="223" t="s">
        <v>47</v>
      </c>
      <c r="I18" s="275" t="s">
        <v>304</v>
      </c>
      <c r="J18" s="223" t="s">
        <v>288</v>
      </c>
      <c r="K18" s="223" t="s">
        <v>199</v>
      </c>
      <c r="L18" s="223" t="s">
        <v>330</v>
      </c>
      <c r="M18" s="223" t="s">
        <v>567</v>
      </c>
      <c r="N18" s="223" t="s">
        <v>343</v>
      </c>
      <c r="O18" s="235"/>
      <c r="P18" s="351"/>
      <c r="Q18" s="215"/>
      <c r="R18" s="240"/>
    </row>
    <row r="19" spans="1:18" s="223" customFormat="1" ht="13.8" x14ac:dyDescent="0.25">
      <c r="A19" s="237">
        <v>45109</v>
      </c>
      <c r="B19" s="235" t="s">
        <v>503</v>
      </c>
      <c r="C19" s="235" t="s">
        <v>461</v>
      </c>
      <c r="D19" s="223" t="s">
        <v>154</v>
      </c>
      <c r="E19" s="235"/>
      <c r="F19" s="247">
        <v>7280</v>
      </c>
      <c r="G19" s="215">
        <f t="shared" si="0"/>
        <v>23089272</v>
      </c>
      <c r="H19" s="235" t="s">
        <v>301</v>
      </c>
      <c r="I19" s="275" t="s">
        <v>304</v>
      </c>
      <c r="J19" s="223" t="s">
        <v>288</v>
      </c>
      <c r="K19" s="223" t="s">
        <v>198</v>
      </c>
      <c r="L19" s="223" t="s">
        <v>330</v>
      </c>
      <c r="N19" s="235"/>
      <c r="O19" s="235"/>
      <c r="P19" s="351"/>
      <c r="Q19" s="215"/>
      <c r="R19" s="240"/>
    </row>
    <row r="20" spans="1:18" s="223" customFormat="1" ht="13.8" x14ac:dyDescent="0.25">
      <c r="A20" s="246">
        <v>45109</v>
      </c>
      <c r="B20" s="235" t="s">
        <v>524</v>
      </c>
      <c r="C20" s="235" t="s">
        <v>307</v>
      </c>
      <c r="D20" s="223" t="s">
        <v>155</v>
      </c>
      <c r="E20" s="235"/>
      <c r="F20" s="235">
        <v>40000</v>
      </c>
      <c r="G20" s="215">
        <f t="shared" si="0"/>
        <v>23049272</v>
      </c>
      <c r="H20" s="235" t="s">
        <v>31</v>
      </c>
      <c r="I20" s="275" t="s">
        <v>304</v>
      </c>
      <c r="J20" s="223" t="s">
        <v>288</v>
      </c>
      <c r="K20" s="223" t="s">
        <v>199</v>
      </c>
      <c r="L20" s="223" t="s">
        <v>330</v>
      </c>
      <c r="M20" s="223" t="s">
        <v>568</v>
      </c>
      <c r="N20" s="223" t="s">
        <v>343</v>
      </c>
      <c r="O20" s="235"/>
      <c r="P20" s="351"/>
      <c r="Q20" s="215"/>
      <c r="R20" s="240"/>
    </row>
    <row r="21" spans="1:18" s="223" customFormat="1" ht="13.8" x14ac:dyDescent="0.25">
      <c r="A21" s="237">
        <v>45110</v>
      </c>
      <c r="B21" s="235" t="s">
        <v>358</v>
      </c>
      <c r="C21" s="235" t="s">
        <v>171</v>
      </c>
      <c r="D21" s="223" t="s">
        <v>2</v>
      </c>
      <c r="F21" s="275">
        <f>32000+21000</f>
        <v>53000</v>
      </c>
      <c r="G21" s="215">
        <f t="shared" si="0"/>
        <v>22996272</v>
      </c>
      <c r="H21" s="235" t="s">
        <v>25</v>
      </c>
      <c r="I21" s="275" t="s">
        <v>304</v>
      </c>
      <c r="J21" s="235" t="s">
        <v>102</v>
      </c>
      <c r="K21" s="235" t="s">
        <v>199</v>
      </c>
      <c r="L21" s="235" t="s">
        <v>330</v>
      </c>
      <c r="M21" s="223" t="s">
        <v>569</v>
      </c>
      <c r="N21" s="235" t="s">
        <v>341</v>
      </c>
      <c r="P21" s="351"/>
      <c r="Q21" s="215"/>
      <c r="R21" s="240"/>
    </row>
    <row r="22" spans="1:18" s="223" customFormat="1" ht="13.8" x14ac:dyDescent="0.25">
      <c r="A22" s="241">
        <v>45110</v>
      </c>
      <c r="B22" s="242" t="s">
        <v>359</v>
      </c>
      <c r="C22" s="235" t="s">
        <v>171</v>
      </c>
      <c r="D22" s="223" t="s">
        <v>154</v>
      </c>
      <c r="F22" s="274">
        <v>37000</v>
      </c>
      <c r="G22" s="215">
        <f t="shared" si="0"/>
        <v>22959272</v>
      </c>
      <c r="H22" s="223" t="s">
        <v>25</v>
      </c>
      <c r="I22" s="275" t="s">
        <v>304</v>
      </c>
      <c r="J22" s="235" t="s">
        <v>102</v>
      </c>
      <c r="K22" s="235" t="s">
        <v>199</v>
      </c>
      <c r="L22" s="235" t="s">
        <v>330</v>
      </c>
      <c r="M22" s="223" t="s">
        <v>570</v>
      </c>
      <c r="N22" s="235" t="s">
        <v>341</v>
      </c>
      <c r="P22" s="351"/>
      <c r="Q22" s="215"/>
      <c r="R22" s="240"/>
    </row>
    <row r="23" spans="1:18" s="223" customFormat="1" ht="13.8" x14ac:dyDescent="0.25">
      <c r="A23" s="234">
        <v>45110</v>
      </c>
      <c r="B23" s="223" t="s">
        <v>360</v>
      </c>
      <c r="C23" s="223" t="s">
        <v>171</v>
      </c>
      <c r="D23" s="223" t="s">
        <v>154</v>
      </c>
      <c r="F23" s="274">
        <v>21000</v>
      </c>
      <c r="G23" s="215">
        <f t="shared" si="0"/>
        <v>22938272</v>
      </c>
      <c r="H23" s="215" t="s">
        <v>25</v>
      </c>
      <c r="I23" s="275" t="s">
        <v>304</v>
      </c>
      <c r="J23" s="235" t="s">
        <v>288</v>
      </c>
      <c r="K23" s="235" t="s">
        <v>198</v>
      </c>
      <c r="L23" s="235" t="s">
        <v>330</v>
      </c>
      <c r="P23" s="351"/>
      <c r="Q23" s="215"/>
      <c r="R23" s="240"/>
    </row>
    <row r="24" spans="1:18" s="223" customFormat="1" ht="13.8" x14ac:dyDescent="0.25">
      <c r="A24" s="234">
        <v>45110</v>
      </c>
      <c r="B24" s="242" t="s">
        <v>361</v>
      </c>
      <c r="C24" s="223" t="s">
        <v>171</v>
      </c>
      <c r="D24" s="223" t="s">
        <v>4</v>
      </c>
      <c r="F24" s="275">
        <v>52000</v>
      </c>
      <c r="G24" s="215">
        <f t="shared" si="0"/>
        <v>22886272</v>
      </c>
      <c r="H24" s="223" t="s">
        <v>25</v>
      </c>
      <c r="I24" s="275" t="s">
        <v>304</v>
      </c>
      <c r="J24" s="235" t="s">
        <v>102</v>
      </c>
      <c r="K24" s="235" t="s">
        <v>199</v>
      </c>
      <c r="L24" s="235" t="s">
        <v>330</v>
      </c>
      <c r="M24" s="223" t="s">
        <v>571</v>
      </c>
      <c r="N24" s="235" t="s">
        <v>341</v>
      </c>
      <c r="P24" s="351"/>
      <c r="Q24" s="215"/>
      <c r="R24" s="240"/>
    </row>
    <row r="25" spans="1:18" s="223" customFormat="1" ht="13.8" x14ac:dyDescent="0.25">
      <c r="A25" s="241">
        <v>45110</v>
      </c>
      <c r="B25" s="242" t="s">
        <v>362</v>
      </c>
      <c r="C25" s="235" t="s">
        <v>171</v>
      </c>
      <c r="D25" s="223" t="s">
        <v>155</v>
      </c>
      <c r="F25" s="274">
        <v>10000</v>
      </c>
      <c r="G25" s="215">
        <f t="shared" si="0"/>
        <v>22876272</v>
      </c>
      <c r="H25" s="244" t="s">
        <v>25</v>
      </c>
      <c r="I25" s="275" t="s">
        <v>304</v>
      </c>
      <c r="J25" s="235" t="s">
        <v>102</v>
      </c>
      <c r="K25" s="235" t="s">
        <v>199</v>
      </c>
      <c r="L25" s="235" t="s">
        <v>330</v>
      </c>
      <c r="M25" s="223" t="s">
        <v>572</v>
      </c>
      <c r="N25" s="235" t="s">
        <v>341</v>
      </c>
      <c r="P25" s="351"/>
      <c r="Q25" s="215"/>
      <c r="R25" s="240"/>
    </row>
    <row r="26" spans="1:18" s="223" customFormat="1" ht="13.8" x14ac:dyDescent="0.25">
      <c r="A26" s="237">
        <v>45110</v>
      </c>
      <c r="B26" s="275" t="s">
        <v>363</v>
      </c>
      <c r="C26" s="235" t="s">
        <v>171</v>
      </c>
      <c r="D26" s="223" t="s">
        <v>2</v>
      </c>
      <c r="F26" s="223">
        <v>10000</v>
      </c>
      <c r="G26" s="215">
        <f t="shared" si="0"/>
        <v>22866272</v>
      </c>
      <c r="H26" s="223" t="s">
        <v>25</v>
      </c>
      <c r="I26" s="275" t="s">
        <v>304</v>
      </c>
      <c r="J26" s="235" t="s">
        <v>102</v>
      </c>
      <c r="K26" s="235" t="s">
        <v>199</v>
      </c>
      <c r="L26" s="235" t="s">
        <v>330</v>
      </c>
      <c r="M26" s="223" t="s">
        <v>573</v>
      </c>
      <c r="N26" s="235" t="s">
        <v>341</v>
      </c>
      <c r="P26" s="352"/>
      <c r="Q26" s="240"/>
      <c r="R26" s="240"/>
    </row>
    <row r="27" spans="1:18" s="223" customFormat="1" ht="13.8" x14ac:dyDescent="0.25">
      <c r="A27" s="234">
        <v>45110</v>
      </c>
      <c r="B27" s="274" t="s">
        <v>364</v>
      </c>
      <c r="C27" s="235" t="s">
        <v>171</v>
      </c>
      <c r="D27" s="223" t="s">
        <v>154</v>
      </c>
      <c r="F27" s="247">
        <v>5000</v>
      </c>
      <c r="G27" s="215">
        <f t="shared" si="0"/>
        <v>22861272</v>
      </c>
      <c r="H27" s="223" t="s">
        <v>25</v>
      </c>
      <c r="I27" s="275" t="s">
        <v>304</v>
      </c>
      <c r="J27" s="235" t="s">
        <v>102</v>
      </c>
      <c r="K27" s="235" t="s">
        <v>199</v>
      </c>
      <c r="L27" s="235" t="s">
        <v>330</v>
      </c>
      <c r="M27" s="223" t="s">
        <v>574</v>
      </c>
      <c r="N27" s="235" t="s">
        <v>341</v>
      </c>
      <c r="P27" s="351"/>
      <c r="Q27" s="215"/>
      <c r="R27" s="240"/>
    </row>
    <row r="28" spans="1:18" s="223" customFormat="1" ht="13.8" x14ac:dyDescent="0.25">
      <c r="A28" s="234">
        <v>45110</v>
      </c>
      <c r="B28" s="235" t="s">
        <v>365</v>
      </c>
      <c r="C28" s="235" t="s">
        <v>171</v>
      </c>
      <c r="D28" s="223" t="s">
        <v>4</v>
      </c>
      <c r="E28" s="235"/>
      <c r="F28" s="235">
        <v>16000</v>
      </c>
      <c r="G28" s="215">
        <f t="shared" si="0"/>
        <v>22845272</v>
      </c>
      <c r="H28" s="235" t="s">
        <v>25</v>
      </c>
      <c r="I28" s="275" t="s">
        <v>304</v>
      </c>
      <c r="J28" s="235" t="s">
        <v>102</v>
      </c>
      <c r="K28" s="235" t="s">
        <v>199</v>
      </c>
      <c r="L28" s="235" t="s">
        <v>330</v>
      </c>
      <c r="M28" s="223" t="s">
        <v>575</v>
      </c>
      <c r="N28" s="235" t="s">
        <v>341</v>
      </c>
      <c r="O28" s="235"/>
      <c r="P28" s="351"/>
      <c r="Q28" s="215"/>
      <c r="R28" s="240"/>
    </row>
    <row r="29" spans="1:18" s="223" customFormat="1" ht="13.8" x14ac:dyDescent="0.25">
      <c r="A29" s="234">
        <v>45110</v>
      </c>
      <c r="B29" s="223" t="s">
        <v>366</v>
      </c>
      <c r="C29" s="235" t="s">
        <v>171</v>
      </c>
      <c r="D29" s="223" t="s">
        <v>155</v>
      </c>
      <c r="F29" s="223">
        <v>11000</v>
      </c>
      <c r="G29" s="215">
        <f t="shared" si="0"/>
        <v>22834272</v>
      </c>
      <c r="H29" s="240" t="s">
        <v>25</v>
      </c>
      <c r="I29" s="275" t="s">
        <v>304</v>
      </c>
      <c r="J29" s="235" t="s">
        <v>102</v>
      </c>
      <c r="K29" s="235" t="s">
        <v>199</v>
      </c>
      <c r="L29" s="235" t="s">
        <v>330</v>
      </c>
      <c r="M29" s="223" t="s">
        <v>576</v>
      </c>
      <c r="N29" s="235" t="s">
        <v>341</v>
      </c>
      <c r="P29" s="351"/>
      <c r="Q29" s="215"/>
      <c r="R29" s="240"/>
    </row>
    <row r="30" spans="1:18" s="223" customFormat="1" ht="13.8" x14ac:dyDescent="0.25">
      <c r="A30" s="234">
        <v>45110</v>
      </c>
      <c r="B30" s="223" t="s">
        <v>367</v>
      </c>
      <c r="C30" s="235" t="s">
        <v>230</v>
      </c>
      <c r="D30" s="223" t="s">
        <v>155</v>
      </c>
      <c r="E30" s="215"/>
      <c r="F30" s="223">
        <v>150000</v>
      </c>
      <c r="G30" s="215">
        <f t="shared" si="0"/>
        <v>22684272</v>
      </c>
      <c r="H30" s="157" t="s">
        <v>25</v>
      </c>
      <c r="I30" s="235" t="s">
        <v>368</v>
      </c>
      <c r="J30" s="223" t="s">
        <v>288</v>
      </c>
      <c r="K30" s="235" t="s">
        <v>198</v>
      </c>
      <c r="L30" s="235" t="s">
        <v>330</v>
      </c>
      <c r="M30" s="238"/>
      <c r="N30" s="235"/>
      <c r="P30" s="351"/>
      <c r="Q30" s="215"/>
      <c r="R30" s="240"/>
    </row>
    <row r="31" spans="1:18" s="223" customFormat="1" ht="13.8" x14ac:dyDescent="0.25">
      <c r="A31" s="234">
        <v>45110</v>
      </c>
      <c r="B31" s="275" t="s">
        <v>369</v>
      </c>
      <c r="C31" s="223" t="s">
        <v>3</v>
      </c>
      <c r="D31" s="223" t="s">
        <v>300</v>
      </c>
      <c r="F31" s="223">
        <v>4000</v>
      </c>
      <c r="G31" s="215">
        <f t="shared" si="0"/>
        <v>22680272</v>
      </c>
      <c r="H31" s="223" t="s">
        <v>25</v>
      </c>
      <c r="I31" s="275" t="s">
        <v>304</v>
      </c>
      <c r="J31" s="223" t="s">
        <v>288</v>
      </c>
      <c r="K31" s="223" t="s">
        <v>198</v>
      </c>
      <c r="L31" s="223" t="s">
        <v>330</v>
      </c>
      <c r="M31" s="238"/>
      <c r="N31" s="235"/>
      <c r="P31" s="351"/>
      <c r="Q31" s="215"/>
      <c r="R31" s="240"/>
    </row>
    <row r="32" spans="1:18" s="223" customFormat="1" ht="13.8" x14ac:dyDescent="0.25">
      <c r="A32" s="396">
        <v>45110</v>
      </c>
      <c r="B32" s="314" t="s">
        <v>370</v>
      </c>
      <c r="C32" s="314" t="s">
        <v>75</v>
      </c>
      <c r="D32" s="315"/>
      <c r="E32" s="314">
        <v>160000</v>
      </c>
      <c r="F32" s="314"/>
      <c r="G32" s="316">
        <f t="shared" si="0"/>
        <v>22840272</v>
      </c>
      <c r="H32" s="314" t="s">
        <v>25</v>
      </c>
      <c r="I32" s="337"/>
      <c r="J32" s="314"/>
      <c r="K32" s="314"/>
      <c r="L32" s="314"/>
      <c r="M32" s="315"/>
      <c r="N32" s="314"/>
      <c r="O32" s="314"/>
      <c r="P32" s="239"/>
      <c r="Q32" s="215"/>
      <c r="R32" s="240"/>
    </row>
    <row r="33" spans="1:18" s="223" customFormat="1" ht="13.8" x14ac:dyDescent="0.25">
      <c r="A33" s="340">
        <v>45110</v>
      </c>
      <c r="B33" s="362" t="s">
        <v>322</v>
      </c>
      <c r="C33" s="313" t="s">
        <v>75</v>
      </c>
      <c r="D33" s="341"/>
      <c r="E33" s="311"/>
      <c r="F33" s="311">
        <v>160000</v>
      </c>
      <c r="G33" s="311">
        <f t="shared" si="0"/>
        <v>22680272</v>
      </c>
      <c r="H33" s="310" t="s">
        <v>93</v>
      </c>
      <c r="I33" s="363"/>
      <c r="J33" s="313"/>
      <c r="K33" s="310"/>
      <c r="L33" s="310"/>
      <c r="M33" s="343"/>
      <c r="N33" s="310"/>
      <c r="O33" s="310"/>
      <c r="P33" s="239"/>
      <c r="Q33" s="215"/>
      <c r="R33" s="240"/>
    </row>
    <row r="34" spans="1:18" s="223" customFormat="1" ht="13.8" x14ac:dyDescent="0.25">
      <c r="A34" s="234">
        <v>45110</v>
      </c>
      <c r="B34" s="300" t="s">
        <v>504</v>
      </c>
      <c r="C34" s="235" t="s">
        <v>239</v>
      </c>
      <c r="D34" s="223" t="s">
        <v>154</v>
      </c>
      <c r="E34" s="302"/>
      <c r="F34" s="302">
        <v>2400</v>
      </c>
      <c r="G34" s="215">
        <f t="shared" si="0"/>
        <v>22677872</v>
      </c>
      <c r="H34" s="300" t="s">
        <v>301</v>
      </c>
      <c r="I34" s="275" t="s">
        <v>304</v>
      </c>
      <c r="J34" s="223" t="s">
        <v>288</v>
      </c>
      <c r="K34" s="240" t="s">
        <v>198</v>
      </c>
      <c r="L34" s="223" t="s">
        <v>330</v>
      </c>
      <c r="M34" s="300"/>
      <c r="N34" s="300"/>
      <c r="O34" s="190"/>
      <c r="P34" s="351"/>
      <c r="Q34" s="240"/>
      <c r="R34" s="240"/>
    </row>
    <row r="35" spans="1:18" s="223" customFormat="1" ht="13.8" x14ac:dyDescent="0.25">
      <c r="A35" s="396">
        <v>45111</v>
      </c>
      <c r="B35" s="315" t="s">
        <v>301</v>
      </c>
      <c r="C35" s="314" t="s">
        <v>75</v>
      </c>
      <c r="D35" s="315"/>
      <c r="E35" s="316"/>
      <c r="F35" s="316">
        <v>68000</v>
      </c>
      <c r="G35" s="316">
        <f t="shared" si="0"/>
        <v>22609872</v>
      </c>
      <c r="H35" s="315" t="s">
        <v>25</v>
      </c>
      <c r="I35" s="337"/>
      <c r="J35" s="314"/>
      <c r="K35" s="346"/>
      <c r="L35" s="346"/>
      <c r="M35" s="315"/>
      <c r="N35" s="314"/>
      <c r="O35" s="315"/>
      <c r="P35" s="239"/>
      <c r="Q35" s="240"/>
      <c r="R35" s="240"/>
    </row>
    <row r="36" spans="1:18" s="223" customFormat="1" ht="13.8" x14ac:dyDescent="0.25">
      <c r="A36" s="241">
        <v>45111</v>
      </c>
      <c r="B36" s="242" t="s">
        <v>29</v>
      </c>
      <c r="C36" s="235" t="s">
        <v>75</v>
      </c>
      <c r="D36" s="235"/>
      <c r="F36" s="274">
        <v>100000</v>
      </c>
      <c r="G36" s="215">
        <f t="shared" si="0"/>
        <v>22509872</v>
      </c>
      <c r="H36" s="244" t="s">
        <v>25</v>
      </c>
      <c r="I36" s="275"/>
      <c r="K36" s="240"/>
      <c r="M36" s="238"/>
      <c r="P36" s="239"/>
      <c r="Q36" s="240"/>
      <c r="R36" s="240"/>
    </row>
    <row r="37" spans="1:18" s="223" customFormat="1" ht="13.8" x14ac:dyDescent="0.25">
      <c r="A37" s="241">
        <v>45111</v>
      </c>
      <c r="B37" s="242" t="s">
        <v>269</v>
      </c>
      <c r="C37" s="235" t="s">
        <v>75</v>
      </c>
      <c r="D37" s="230"/>
      <c r="F37" s="274">
        <v>100000</v>
      </c>
      <c r="G37" s="215">
        <f t="shared" si="0"/>
        <v>22409872</v>
      </c>
      <c r="H37" s="244" t="s">
        <v>25</v>
      </c>
      <c r="I37" s="275"/>
      <c r="K37" s="240"/>
      <c r="M37" s="238"/>
      <c r="P37" s="239"/>
      <c r="Q37" s="240"/>
      <c r="R37" s="240"/>
    </row>
    <row r="38" spans="1:18" s="223" customFormat="1" ht="13.8" x14ac:dyDescent="0.25">
      <c r="A38" s="234">
        <v>45111</v>
      </c>
      <c r="B38" s="235" t="s">
        <v>270</v>
      </c>
      <c r="C38" s="235" t="s">
        <v>75</v>
      </c>
      <c r="E38" s="235"/>
      <c r="F38" s="244">
        <v>100000</v>
      </c>
      <c r="G38" s="215">
        <f t="shared" si="0"/>
        <v>22309872</v>
      </c>
      <c r="H38" s="235" t="s">
        <v>25</v>
      </c>
      <c r="I38" s="275"/>
      <c r="M38" s="238"/>
      <c r="N38" s="235"/>
      <c r="O38" s="235"/>
      <c r="P38" s="239"/>
      <c r="Q38" s="240"/>
      <c r="R38" s="240"/>
    </row>
    <row r="39" spans="1:18" s="223" customFormat="1" ht="13.8" x14ac:dyDescent="0.25">
      <c r="A39" s="340">
        <v>45111</v>
      </c>
      <c r="B39" s="363" t="s">
        <v>47</v>
      </c>
      <c r="C39" s="313" t="s">
        <v>75</v>
      </c>
      <c r="D39" s="341"/>
      <c r="E39" s="310"/>
      <c r="F39" s="310">
        <v>94000</v>
      </c>
      <c r="G39" s="311">
        <f t="shared" si="0"/>
        <v>22215872</v>
      </c>
      <c r="H39" s="310" t="s">
        <v>25</v>
      </c>
      <c r="I39" s="363"/>
      <c r="J39" s="310"/>
      <c r="K39" s="310"/>
      <c r="L39" s="313"/>
      <c r="M39" s="343"/>
      <c r="N39" s="313"/>
      <c r="O39" s="310"/>
      <c r="P39" s="239"/>
      <c r="Q39" s="240"/>
      <c r="R39" s="240"/>
    </row>
    <row r="40" spans="1:18" s="223" customFormat="1" ht="13.8" x14ac:dyDescent="0.25">
      <c r="A40" s="237">
        <v>45111</v>
      </c>
      <c r="B40" s="223" t="s">
        <v>371</v>
      </c>
      <c r="C40" s="235" t="s">
        <v>213</v>
      </c>
      <c r="D40" s="223" t="s">
        <v>300</v>
      </c>
      <c r="F40" s="279">
        <v>3660</v>
      </c>
      <c r="G40" s="215">
        <f t="shared" si="0"/>
        <v>22212212</v>
      </c>
      <c r="H40" s="223" t="s">
        <v>25</v>
      </c>
      <c r="I40" s="275" t="s">
        <v>304</v>
      </c>
      <c r="J40" s="235" t="s">
        <v>102</v>
      </c>
      <c r="K40" s="223" t="s">
        <v>199</v>
      </c>
      <c r="L40" s="223" t="s">
        <v>330</v>
      </c>
      <c r="M40" s="223" t="s">
        <v>577</v>
      </c>
      <c r="N40" s="223" t="s">
        <v>331</v>
      </c>
      <c r="P40" s="351"/>
      <c r="Q40" s="240"/>
      <c r="R40" s="240"/>
    </row>
    <row r="41" spans="1:18" s="223" customFormat="1" ht="13.8" x14ac:dyDescent="0.25">
      <c r="A41" s="237">
        <v>45111</v>
      </c>
      <c r="B41" s="223" t="s">
        <v>435</v>
      </c>
      <c r="C41" s="223" t="s">
        <v>170</v>
      </c>
      <c r="D41" s="223" t="s">
        <v>154</v>
      </c>
      <c r="F41" s="223">
        <v>222625</v>
      </c>
      <c r="G41" s="215">
        <f t="shared" si="0"/>
        <v>21989587</v>
      </c>
      <c r="H41" s="300" t="s">
        <v>148</v>
      </c>
      <c r="I41" s="347">
        <v>3667361</v>
      </c>
      <c r="J41" s="223" t="s">
        <v>102</v>
      </c>
      <c r="K41" s="223" t="s">
        <v>199</v>
      </c>
      <c r="L41" s="223" t="s">
        <v>330</v>
      </c>
      <c r="M41" s="223" t="s">
        <v>578</v>
      </c>
      <c r="N41" s="235" t="s">
        <v>337</v>
      </c>
      <c r="P41" s="351"/>
      <c r="Q41" s="240"/>
      <c r="R41" s="240"/>
    </row>
    <row r="42" spans="1:18" s="223" customFormat="1" ht="13.8" x14ac:dyDescent="0.25">
      <c r="A42" s="237">
        <v>45111</v>
      </c>
      <c r="B42" s="223" t="s">
        <v>436</v>
      </c>
      <c r="C42" s="223" t="s">
        <v>170</v>
      </c>
      <c r="D42" s="223" t="s">
        <v>154</v>
      </c>
      <c r="F42" s="223">
        <v>129942</v>
      </c>
      <c r="G42" s="215">
        <f t="shared" si="0"/>
        <v>21859645</v>
      </c>
      <c r="H42" s="300" t="s">
        <v>148</v>
      </c>
      <c r="I42" s="221">
        <v>3667361</v>
      </c>
      <c r="J42" s="223" t="s">
        <v>102</v>
      </c>
      <c r="K42" s="223" t="s">
        <v>199</v>
      </c>
      <c r="L42" s="223" t="s">
        <v>330</v>
      </c>
      <c r="M42" s="223" t="s">
        <v>579</v>
      </c>
      <c r="N42" s="235" t="s">
        <v>337</v>
      </c>
      <c r="O42" s="235"/>
      <c r="P42" s="351"/>
      <c r="Q42" s="240"/>
      <c r="R42" s="240"/>
    </row>
    <row r="43" spans="1:18" s="223" customFormat="1" ht="13.8" x14ac:dyDescent="0.25">
      <c r="A43" s="237">
        <v>45111</v>
      </c>
      <c r="B43" s="274" t="s">
        <v>437</v>
      </c>
      <c r="C43" s="223" t="s">
        <v>170</v>
      </c>
      <c r="D43" s="223" t="s">
        <v>154</v>
      </c>
      <c r="E43" s="235"/>
      <c r="F43" s="223">
        <v>103493</v>
      </c>
      <c r="G43" s="215">
        <f t="shared" si="0"/>
        <v>21756152</v>
      </c>
      <c r="H43" s="300" t="s">
        <v>148</v>
      </c>
      <c r="I43" s="221">
        <v>3667361</v>
      </c>
      <c r="J43" s="223" t="s">
        <v>102</v>
      </c>
      <c r="K43" s="223" t="s">
        <v>199</v>
      </c>
      <c r="L43" s="223" t="s">
        <v>330</v>
      </c>
      <c r="M43" s="223" t="s">
        <v>580</v>
      </c>
      <c r="N43" s="235" t="s">
        <v>337</v>
      </c>
      <c r="O43" s="235"/>
      <c r="P43" s="351"/>
      <c r="Q43" s="240"/>
      <c r="R43" s="240"/>
    </row>
    <row r="44" spans="1:18" s="223" customFormat="1" ht="13.8" x14ac:dyDescent="0.25">
      <c r="A44" s="234">
        <v>45111</v>
      </c>
      <c r="B44" s="223" t="s">
        <v>438</v>
      </c>
      <c r="C44" s="223" t="s">
        <v>170</v>
      </c>
      <c r="D44" s="223" t="s">
        <v>2</v>
      </c>
      <c r="E44" s="215"/>
      <c r="F44" s="223">
        <v>215485</v>
      </c>
      <c r="G44" s="215">
        <f t="shared" si="0"/>
        <v>21540667</v>
      </c>
      <c r="H44" s="300" t="s">
        <v>148</v>
      </c>
      <c r="I44" s="221">
        <v>3667361</v>
      </c>
      <c r="J44" s="223" t="s">
        <v>102</v>
      </c>
      <c r="K44" s="223" t="s">
        <v>199</v>
      </c>
      <c r="L44" s="223" t="s">
        <v>330</v>
      </c>
      <c r="M44" s="223" t="s">
        <v>581</v>
      </c>
      <c r="N44" s="235" t="s">
        <v>339</v>
      </c>
      <c r="P44" s="352"/>
      <c r="Q44" s="240"/>
      <c r="R44" s="240"/>
    </row>
    <row r="45" spans="1:18" s="223" customFormat="1" ht="13.8" x14ac:dyDescent="0.25">
      <c r="A45" s="237">
        <v>45111</v>
      </c>
      <c r="B45" s="235" t="s">
        <v>439</v>
      </c>
      <c r="C45" s="223" t="s">
        <v>170</v>
      </c>
      <c r="D45" s="223" t="s">
        <v>300</v>
      </c>
      <c r="E45" s="252"/>
      <c r="F45" s="223">
        <v>177548</v>
      </c>
      <c r="G45" s="215">
        <f t="shared" si="0"/>
        <v>21363119</v>
      </c>
      <c r="H45" s="300" t="s">
        <v>148</v>
      </c>
      <c r="I45" s="347">
        <v>3667361</v>
      </c>
      <c r="J45" s="223" t="s">
        <v>102</v>
      </c>
      <c r="K45" s="223" t="s">
        <v>199</v>
      </c>
      <c r="L45" s="223" t="s">
        <v>330</v>
      </c>
      <c r="M45" s="223" t="s">
        <v>582</v>
      </c>
      <c r="N45" s="235" t="s">
        <v>339</v>
      </c>
      <c r="P45" s="351"/>
      <c r="Q45" s="240"/>
      <c r="R45" s="240"/>
    </row>
    <row r="46" spans="1:18" s="223" customFormat="1" ht="13.8" x14ac:dyDescent="0.25">
      <c r="A46" s="234">
        <v>45111</v>
      </c>
      <c r="B46" s="274" t="s">
        <v>440</v>
      </c>
      <c r="C46" s="223" t="s">
        <v>170</v>
      </c>
      <c r="D46" s="223" t="s">
        <v>155</v>
      </c>
      <c r="F46" s="223">
        <v>125633</v>
      </c>
      <c r="G46" s="215">
        <f t="shared" si="0"/>
        <v>21237486</v>
      </c>
      <c r="H46" s="300" t="s">
        <v>148</v>
      </c>
      <c r="I46" s="221">
        <v>3667361</v>
      </c>
      <c r="J46" s="223" t="s">
        <v>102</v>
      </c>
      <c r="K46" s="223" t="s">
        <v>199</v>
      </c>
      <c r="L46" s="223" t="s">
        <v>330</v>
      </c>
      <c r="M46" s="223" t="s">
        <v>583</v>
      </c>
      <c r="N46" s="235" t="s">
        <v>338</v>
      </c>
      <c r="P46" s="351"/>
      <c r="Q46" s="240"/>
      <c r="R46" s="240"/>
    </row>
    <row r="47" spans="1:18" s="223" customFormat="1" ht="13.8" x14ac:dyDescent="0.25">
      <c r="A47" s="344">
        <v>45111</v>
      </c>
      <c r="B47" s="315" t="s">
        <v>311</v>
      </c>
      <c r="C47" s="314" t="s">
        <v>75</v>
      </c>
      <c r="D47" s="314"/>
      <c r="E47" s="397">
        <v>94000</v>
      </c>
      <c r="F47" s="337"/>
      <c r="G47" s="316">
        <f t="shared" si="0"/>
        <v>21331486</v>
      </c>
      <c r="H47" s="315" t="s">
        <v>47</v>
      </c>
      <c r="I47" s="337"/>
      <c r="J47" s="315"/>
      <c r="K47" s="398"/>
      <c r="L47" s="315"/>
      <c r="M47" s="315"/>
      <c r="N47" s="314"/>
      <c r="O47" s="315"/>
      <c r="P47" s="239"/>
      <c r="Q47" s="240"/>
      <c r="R47" s="240"/>
    </row>
    <row r="48" spans="1:18" s="223" customFormat="1" ht="13.8" x14ac:dyDescent="0.25">
      <c r="A48" s="237">
        <v>45111</v>
      </c>
      <c r="B48" s="223" t="s">
        <v>308</v>
      </c>
      <c r="C48" s="235" t="s">
        <v>75</v>
      </c>
      <c r="E48" s="223">
        <v>100000</v>
      </c>
      <c r="F48" s="275"/>
      <c r="G48" s="215">
        <f t="shared" si="0"/>
        <v>21431486</v>
      </c>
      <c r="H48" s="223" t="s">
        <v>270</v>
      </c>
      <c r="I48" s="275"/>
      <c r="J48" s="235"/>
      <c r="K48" s="235"/>
      <c r="L48" s="235"/>
      <c r="N48" s="235"/>
      <c r="O48" s="231"/>
      <c r="P48" s="239"/>
      <c r="Q48" s="240"/>
      <c r="R48" s="240"/>
    </row>
    <row r="49" spans="1:18" s="223" customFormat="1" ht="13.8" x14ac:dyDescent="0.25">
      <c r="A49" s="364">
        <v>45111</v>
      </c>
      <c r="B49" s="313" t="s">
        <v>488</v>
      </c>
      <c r="C49" s="313" t="s">
        <v>75</v>
      </c>
      <c r="D49" s="310"/>
      <c r="E49" s="313">
        <v>100000</v>
      </c>
      <c r="F49" s="363"/>
      <c r="G49" s="311">
        <f t="shared" si="0"/>
        <v>21531486</v>
      </c>
      <c r="H49" s="313" t="s">
        <v>269</v>
      </c>
      <c r="I49" s="363"/>
      <c r="J49" s="313"/>
      <c r="K49" s="313"/>
      <c r="L49" s="313"/>
      <c r="M49" s="310"/>
      <c r="N49" s="313"/>
      <c r="O49" s="313"/>
      <c r="P49" s="245"/>
      <c r="Q49" s="240"/>
      <c r="R49" s="240"/>
    </row>
    <row r="50" spans="1:18" s="223" customFormat="1" ht="13.8" x14ac:dyDescent="0.25">
      <c r="A50" s="234">
        <v>45111</v>
      </c>
      <c r="B50" s="235" t="s">
        <v>489</v>
      </c>
      <c r="C50" s="235" t="s">
        <v>34</v>
      </c>
      <c r="D50" s="223" t="s">
        <v>4</v>
      </c>
      <c r="E50" s="235"/>
      <c r="F50" s="275">
        <v>10000</v>
      </c>
      <c r="G50" s="215">
        <f t="shared" si="0"/>
        <v>21521486</v>
      </c>
      <c r="H50" s="235" t="s">
        <v>269</v>
      </c>
      <c r="I50" s="275" t="s">
        <v>304</v>
      </c>
      <c r="J50" s="223" t="s">
        <v>288</v>
      </c>
      <c r="K50" s="235" t="s">
        <v>199</v>
      </c>
      <c r="L50" s="235" t="s">
        <v>330</v>
      </c>
      <c r="M50" s="223" t="s">
        <v>584</v>
      </c>
      <c r="N50" s="235" t="s">
        <v>342</v>
      </c>
      <c r="O50" s="235"/>
      <c r="P50" s="351"/>
      <c r="Q50" s="240"/>
      <c r="R50" s="240"/>
    </row>
    <row r="51" spans="1:18" s="223" customFormat="1" ht="13.8" x14ac:dyDescent="0.25">
      <c r="A51" s="234">
        <v>45111</v>
      </c>
      <c r="B51" s="242" t="s">
        <v>505</v>
      </c>
      <c r="C51" s="235" t="s">
        <v>307</v>
      </c>
      <c r="D51" s="223" t="s">
        <v>154</v>
      </c>
      <c r="F51" s="215">
        <v>80000</v>
      </c>
      <c r="G51" s="215">
        <f t="shared" si="0"/>
        <v>21441486</v>
      </c>
      <c r="H51" s="244" t="s">
        <v>301</v>
      </c>
      <c r="I51" s="275" t="s">
        <v>304</v>
      </c>
      <c r="J51" s="223" t="s">
        <v>288</v>
      </c>
      <c r="K51" s="223" t="s">
        <v>199</v>
      </c>
      <c r="L51" s="223" t="s">
        <v>330</v>
      </c>
      <c r="M51" s="223" t="s">
        <v>585</v>
      </c>
      <c r="N51" s="223" t="s">
        <v>343</v>
      </c>
      <c r="P51" s="351"/>
      <c r="Q51" s="240"/>
      <c r="R51" s="240"/>
    </row>
    <row r="52" spans="1:18" s="223" customFormat="1" ht="13.8" x14ac:dyDescent="0.25">
      <c r="A52" s="399">
        <v>45111</v>
      </c>
      <c r="B52" s="400" t="s">
        <v>310</v>
      </c>
      <c r="C52" s="314" t="s">
        <v>75</v>
      </c>
      <c r="D52" s="315"/>
      <c r="E52" s="401">
        <v>68000</v>
      </c>
      <c r="F52" s="402"/>
      <c r="G52" s="316">
        <f t="shared" si="0"/>
        <v>21509486</v>
      </c>
      <c r="H52" s="315" t="s">
        <v>301</v>
      </c>
      <c r="I52" s="314"/>
      <c r="J52" s="315"/>
      <c r="K52" s="315"/>
      <c r="L52" s="315"/>
      <c r="M52" s="403"/>
      <c r="N52" s="314"/>
      <c r="O52" s="315"/>
      <c r="P52" s="245"/>
      <c r="Q52" s="240"/>
      <c r="R52" s="240"/>
    </row>
    <row r="53" spans="1:18" s="223" customFormat="1" ht="13.8" x14ac:dyDescent="0.25">
      <c r="A53" s="340">
        <v>45111</v>
      </c>
      <c r="B53" s="365" t="s">
        <v>325</v>
      </c>
      <c r="C53" s="313" t="s">
        <v>75</v>
      </c>
      <c r="D53" s="310"/>
      <c r="E53" s="366">
        <v>100000</v>
      </c>
      <c r="F53" s="366"/>
      <c r="G53" s="311">
        <f t="shared" si="0"/>
        <v>21609486</v>
      </c>
      <c r="H53" s="365" t="s">
        <v>29</v>
      </c>
      <c r="I53" s="363"/>
      <c r="J53" s="365"/>
      <c r="K53" s="365"/>
      <c r="L53" s="365"/>
      <c r="M53" s="365"/>
      <c r="N53" s="365"/>
      <c r="O53" s="359"/>
      <c r="P53" s="248"/>
      <c r="Q53" s="240"/>
      <c r="R53" s="240"/>
    </row>
    <row r="54" spans="1:18" s="223" customFormat="1" ht="13.8" x14ac:dyDescent="0.25">
      <c r="A54" s="234">
        <v>45111</v>
      </c>
      <c r="B54" s="300" t="s">
        <v>545</v>
      </c>
      <c r="C54" s="300" t="s">
        <v>34</v>
      </c>
      <c r="D54" s="223" t="s">
        <v>4</v>
      </c>
      <c r="E54" s="302"/>
      <c r="F54" s="302">
        <v>15000</v>
      </c>
      <c r="G54" s="215">
        <f t="shared" si="0"/>
        <v>21594486</v>
      </c>
      <c r="H54" s="300" t="s">
        <v>29</v>
      </c>
      <c r="I54" s="275" t="s">
        <v>304</v>
      </c>
      <c r="J54" s="223" t="s">
        <v>288</v>
      </c>
      <c r="K54" s="235" t="s">
        <v>199</v>
      </c>
      <c r="L54" s="235" t="s">
        <v>330</v>
      </c>
      <c r="M54" s="223" t="s">
        <v>586</v>
      </c>
      <c r="N54" s="235" t="s">
        <v>342</v>
      </c>
      <c r="O54" s="190"/>
      <c r="P54" s="351"/>
      <c r="Q54" s="240"/>
      <c r="R54" s="240"/>
    </row>
    <row r="55" spans="1:18" s="223" customFormat="1" ht="13.8" x14ac:dyDescent="0.25">
      <c r="A55" s="396">
        <v>45112</v>
      </c>
      <c r="B55" s="314" t="s">
        <v>372</v>
      </c>
      <c r="C55" s="314" t="s">
        <v>75</v>
      </c>
      <c r="D55" s="315"/>
      <c r="E55" s="315">
        <v>2000000</v>
      </c>
      <c r="F55" s="315"/>
      <c r="G55" s="316">
        <f t="shared" si="0"/>
        <v>23594486</v>
      </c>
      <c r="H55" s="398" t="s">
        <v>25</v>
      </c>
      <c r="I55" s="337"/>
      <c r="J55" s="315"/>
      <c r="K55" s="315"/>
      <c r="L55" s="315"/>
      <c r="M55" s="315"/>
      <c r="N55" s="315"/>
      <c r="O55" s="315"/>
      <c r="P55" s="239"/>
      <c r="Q55" s="240"/>
      <c r="R55" s="240"/>
    </row>
    <row r="56" spans="1:18" s="223" customFormat="1" ht="13.8" x14ac:dyDescent="0.25">
      <c r="A56" s="364">
        <v>45112</v>
      </c>
      <c r="B56" s="310" t="s">
        <v>302</v>
      </c>
      <c r="C56" s="313" t="s">
        <v>75</v>
      </c>
      <c r="D56" s="310"/>
      <c r="E56" s="311"/>
      <c r="F56" s="311">
        <v>88000</v>
      </c>
      <c r="G56" s="311">
        <f t="shared" si="0"/>
        <v>23506486</v>
      </c>
      <c r="H56" s="310" t="s">
        <v>25</v>
      </c>
      <c r="I56" s="363"/>
      <c r="J56" s="310"/>
      <c r="K56" s="310"/>
      <c r="L56" s="310"/>
      <c r="M56" s="310"/>
      <c r="N56" s="310"/>
      <c r="O56" s="310"/>
      <c r="P56" s="239"/>
      <c r="Q56" s="240"/>
      <c r="R56" s="240"/>
    </row>
    <row r="57" spans="1:18" s="223" customFormat="1" ht="14.4" customHeight="1" x14ac:dyDescent="0.25">
      <c r="A57" s="246">
        <v>45112</v>
      </c>
      <c r="B57" s="275" t="s">
        <v>373</v>
      </c>
      <c r="C57" s="235" t="s">
        <v>230</v>
      </c>
      <c r="D57" s="223" t="s">
        <v>2</v>
      </c>
      <c r="F57" s="223">
        <v>50000</v>
      </c>
      <c r="G57" s="215">
        <f t="shared" si="0"/>
        <v>23456486</v>
      </c>
      <c r="H57" s="223" t="s">
        <v>25</v>
      </c>
      <c r="I57" s="235" t="s">
        <v>368</v>
      </c>
      <c r="J57" s="223" t="s">
        <v>288</v>
      </c>
      <c r="K57" s="235" t="s">
        <v>198</v>
      </c>
      <c r="L57" s="235" t="s">
        <v>330</v>
      </c>
      <c r="N57" s="235"/>
      <c r="P57" s="351"/>
      <c r="Q57" s="240"/>
      <c r="R57" s="240"/>
    </row>
    <row r="58" spans="1:18" s="223" customFormat="1" ht="13.8" x14ac:dyDescent="0.25">
      <c r="A58" s="246">
        <v>45112</v>
      </c>
      <c r="B58" s="235" t="s">
        <v>374</v>
      </c>
      <c r="C58" s="235" t="s">
        <v>230</v>
      </c>
      <c r="D58" s="223" t="s">
        <v>300</v>
      </c>
      <c r="F58" s="275">
        <v>20000</v>
      </c>
      <c r="G58" s="215">
        <f t="shared" si="0"/>
        <v>23436486</v>
      </c>
      <c r="H58" s="223" t="s">
        <v>25</v>
      </c>
      <c r="I58" s="235" t="s">
        <v>368</v>
      </c>
      <c r="J58" s="223" t="s">
        <v>288</v>
      </c>
      <c r="K58" s="235" t="s">
        <v>198</v>
      </c>
      <c r="L58" s="235" t="s">
        <v>330</v>
      </c>
      <c r="N58" s="235"/>
      <c r="P58" s="352"/>
      <c r="Q58" s="240"/>
      <c r="R58" s="240"/>
    </row>
    <row r="59" spans="1:18" s="223" customFormat="1" ht="14.4" customHeight="1" x14ac:dyDescent="0.25">
      <c r="A59" s="234">
        <v>45112</v>
      </c>
      <c r="B59" s="223" t="s">
        <v>375</v>
      </c>
      <c r="C59" s="235" t="s">
        <v>230</v>
      </c>
      <c r="D59" s="223" t="s">
        <v>155</v>
      </c>
      <c r="F59" s="223">
        <v>20000</v>
      </c>
      <c r="G59" s="215">
        <f t="shared" si="0"/>
        <v>23416486</v>
      </c>
      <c r="H59" s="223" t="s">
        <v>25</v>
      </c>
      <c r="I59" s="235" t="s">
        <v>368</v>
      </c>
      <c r="J59" s="223" t="s">
        <v>288</v>
      </c>
      <c r="K59" s="235" t="s">
        <v>198</v>
      </c>
      <c r="L59" s="235" t="s">
        <v>330</v>
      </c>
      <c r="N59" s="235"/>
      <c r="P59" s="351"/>
      <c r="Q59" s="240"/>
      <c r="R59" s="240"/>
    </row>
    <row r="60" spans="1:18" s="223" customFormat="1" ht="14.4" customHeight="1" x14ac:dyDescent="0.25">
      <c r="A60" s="234">
        <v>45112</v>
      </c>
      <c r="B60" s="242" t="s">
        <v>376</v>
      </c>
      <c r="C60" s="235" t="s">
        <v>230</v>
      </c>
      <c r="D60" s="223" t="s">
        <v>154</v>
      </c>
      <c r="F60" s="215">
        <v>20000</v>
      </c>
      <c r="G60" s="215">
        <f t="shared" si="0"/>
        <v>23396486</v>
      </c>
      <c r="H60" s="244" t="s">
        <v>25</v>
      </c>
      <c r="I60" s="235" t="s">
        <v>368</v>
      </c>
      <c r="J60" s="223" t="s">
        <v>288</v>
      </c>
      <c r="K60" s="235" t="s">
        <v>198</v>
      </c>
      <c r="L60" s="235" t="s">
        <v>330</v>
      </c>
      <c r="N60" s="235"/>
      <c r="P60" s="351"/>
      <c r="Q60" s="240"/>
      <c r="R60" s="240"/>
    </row>
    <row r="61" spans="1:18" s="223" customFormat="1" ht="15" customHeight="1" x14ac:dyDescent="0.25">
      <c r="A61" s="234">
        <v>45112</v>
      </c>
      <c r="B61" s="223" t="s">
        <v>377</v>
      </c>
      <c r="C61" s="235" t="s">
        <v>230</v>
      </c>
      <c r="D61" s="223" t="s">
        <v>306</v>
      </c>
      <c r="E61" s="215"/>
      <c r="F61" s="215">
        <v>30000</v>
      </c>
      <c r="G61" s="215">
        <f t="shared" si="0"/>
        <v>23366486</v>
      </c>
      <c r="H61" s="240" t="s">
        <v>25</v>
      </c>
      <c r="I61" s="235" t="s">
        <v>368</v>
      </c>
      <c r="J61" s="223" t="s">
        <v>288</v>
      </c>
      <c r="K61" s="235" t="s">
        <v>198</v>
      </c>
      <c r="L61" s="235" t="s">
        <v>330</v>
      </c>
      <c r="N61" s="235"/>
      <c r="P61" s="351"/>
      <c r="Q61" s="240"/>
      <c r="R61" s="240"/>
    </row>
    <row r="62" spans="1:18" s="223" customFormat="1" ht="14.4" customHeight="1" x14ac:dyDescent="0.25">
      <c r="A62" s="234">
        <v>45112</v>
      </c>
      <c r="B62" s="235" t="s">
        <v>378</v>
      </c>
      <c r="C62" s="235" t="s">
        <v>230</v>
      </c>
      <c r="D62" s="223" t="s">
        <v>306</v>
      </c>
      <c r="F62" s="223">
        <v>25000</v>
      </c>
      <c r="G62" s="215">
        <f t="shared" si="0"/>
        <v>23341486</v>
      </c>
      <c r="H62" s="240" t="s">
        <v>25</v>
      </c>
      <c r="I62" s="235" t="s">
        <v>368</v>
      </c>
      <c r="J62" s="223" t="s">
        <v>288</v>
      </c>
      <c r="K62" s="235" t="s">
        <v>198</v>
      </c>
      <c r="L62" s="235" t="s">
        <v>330</v>
      </c>
      <c r="N62" s="235"/>
      <c r="O62" s="231"/>
      <c r="P62" s="351"/>
      <c r="Q62" s="240"/>
      <c r="R62" s="240"/>
    </row>
    <row r="63" spans="1:18" s="223" customFormat="1" ht="14.4" customHeight="1" x14ac:dyDescent="0.25">
      <c r="A63" s="241">
        <v>45112</v>
      </c>
      <c r="B63" s="242" t="s">
        <v>379</v>
      </c>
      <c r="C63" s="235" t="s">
        <v>230</v>
      </c>
      <c r="D63" s="223" t="s">
        <v>306</v>
      </c>
      <c r="F63" s="274">
        <v>25000</v>
      </c>
      <c r="G63" s="215">
        <f t="shared" si="0"/>
        <v>23316486</v>
      </c>
      <c r="H63" s="244" t="s">
        <v>25</v>
      </c>
      <c r="I63" s="235" t="s">
        <v>368</v>
      </c>
      <c r="J63" s="223" t="s">
        <v>288</v>
      </c>
      <c r="K63" s="235" t="s">
        <v>198</v>
      </c>
      <c r="L63" s="235" t="s">
        <v>330</v>
      </c>
      <c r="N63" s="235"/>
      <c r="P63" s="351"/>
      <c r="Q63" s="240"/>
      <c r="R63" s="240"/>
    </row>
    <row r="64" spans="1:18" s="223" customFormat="1" ht="14.25" customHeight="1" x14ac:dyDescent="0.25">
      <c r="A64" s="404">
        <v>45112</v>
      </c>
      <c r="B64" s="405" t="s">
        <v>380</v>
      </c>
      <c r="C64" s="314" t="s">
        <v>75</v>
      </c>
      <c r="D64" s="400"/>
      <c r="E64" s="315">
        <v>90000</v>
      </c>
      <c r="F64" s="406"/>
      <c r="G64" s="316">
        <f t="shared" si="0"/>
        <v>23406486</v>
      </c>
      <c r="H64" s="407" t="s">
        <v>25</v>
      </c>
      <c r="I64" s="337"/>
      <c r="J64" s="315"/>
      <c r="K64" s="398"/>
      <c r="L64" s="315"/>
      <c r="M64" s="403"/>
      <c r="N64" s="315"/>
      <c r="O64" s="315"/>
      <c r="P64" s="239"/>
      <c r="Q64" s="240"/>
      <c r="R64" s="240"/>
    </row>
    <row r="65" spans="1:18" s="223" customFormat="1" ht="14.4" customHeight="1" x14ac:dyDescent="0.25">
      <c r="A65" s="367">
        <v>45112</v>
      </c>
      <c r="B65" s="362" t="s">
        <v>301</v>
      </c>
      <c r="C65" s="313" t="s">
        <v>75</v>
      </c>
      <c r="D65" s="341"/>
      <c r="E65" s="310"/>
      <c r="F65" s="368">
        <v>48500</v>
      </c>
      <c r="G65" s="311">
        <f t="shared" si="0"/>
        <v>23357986</v>
      </c>
      <c r="H65" s="369" t="s">
        <v>25</v>
      </c>
      <c r="I65" s="363"/>
      <c r="J65" s="310"/>
      <c r="K65" s="370"/>
      <c r="L65" s="310"/>
      <c r="M65" s="343"/>
      <c r="N65" s="310"/>
      <c r="O65" s="310"/>
      <c r="P65" s="239"/>
      <c r="Q65" s="215"/>
      <c r="R65" s="240"/>
    </row>
    <row r="66" spans="1:18" s="223" customFormat="1" ht="14.4" customHeight="1" x14ac:dyDescent="0.25">
      <c r="A66" s="241">
        <v>45112</v>
      </c>
      <c r="B66" s="242" t="s">
        <v>371</v>
      </c>
      <c r="C66" s="235" t="s">
        <v>213</v>
      </c>
      <c r="D66" s="223" t="s">
        <v>300</v>
      </c>
      <c r="F66" s="274">
        <v>1455</v>
      </c>
      <c r="G66" s="215">
        <f t="shared" si="0"/>
        <v>23356531</v>
      </c>
      <c r="H66" s="244" t="s">
        <v>25</v>
      </c>
      <c r="I66" s="275" t="s">
        <v>304</v>
      </c>
      <c r="J66" s="235" t="s">
        <v>102</v>
      </c>
      <c r="K66" s="223" t="s">
        <v>199</v>
      </c>
      <c r="L66" s="223" t="s">
        <v>330</v>
      </c>
      <c r="M66" s="223" t="s">
        <v>587</v>
      </c>
      <c r="N66" s="223" t="s">
        <v>331</v>
      </c>
      <c r="P66" s="351"/>
      <c r="Q66" s="215"/>
      <c r="R66" s="240"/>
    </row>
    <row r="67" spans="1:18" s="223" customFormat="1" ht="14.4" customHeight="1" x14ac:dyDescent="0.25">
      <c r="A67" s="241">
        <v>45112</v>
      </c>
      <c r="B67" s="242" t="s">
        <v>381</v>
      </c>
      <c r="C67" s="235" t="s">
        <v>174</v>
      </c>
      <c r="D67" s="223" t="s">
        <v>300</v>
      </c>
      <c r="F67" s="274">
        <v>68733</v>
      </c>
      <c r="G67" s="215">
        <f t="shared" si="0"/>
        <v>23287798</v>
      </c>
      <c r="H67" s="244" t="s">
        <v>25</v>
      </c>
      <c r="I67" s="275" t="s">
        <v>304</v>
      </c>
      <c r="J67" s="223" t="s">
        <v>102</v>
      </c>
      <c r="K67" s="240" t="s">
        <v>199</v>
      </c>
      <c r="L67" s="223" t="s">
        <v>330</v>
      </c>
      <c r="M67" s="223" t="s">
        <v>588</v>
      </c>
      <c r="N67" s="223" t="s">
        <v>340</v>
      </c>
      <c r="P67" s="351"/>
      <c r="Q67" s="240"/>
      <c r="R67" s="240"/>
    </row>
    <row r="68" spans="1:18" s="223" customFormat="1" ht="14.4" customHeight="1" x14ac:dyDescent="0.25">
      <c r="A68" s="241">
        <v>45112</v>
      </c>
      <c r="B68" s="242" t="s">
        <v>382</v>
      </c>
      <c r="C68" s="235" t="s">
        <v>174</v>
      </c>
      <c r="D68" s="223" t="s">
        <v>300</v>
      </c>
      <c r="F68" s="274">
        <f>82772-68733</f>
        <v>14039</v>
      </c>
      <c r="G68" s="215">
        <f t="shared" si="0"/>
        <v>23273759</v>
      </c>
      <c r="H68" s="244" t="s">
        <v>25</v>
      </c>
      <c r="I68" s="275" t="s">
        <v>304</v>
      </c>
      <c r="J68" s="223" t="s">
        <v>288</v>
      </c>
      <c r="K68" s="240" t="s">
        <v>198</v>
      </c>
      <c r="L68" s="223" t="s">
        <v>330</v>
      </c>
      <c r="M68" s="238"/>
      <c r="P68" s="351"/>
      <c r="Q68" s="240"/>
      <c r="R68" s="240"/>
    </row>
    <row r="69" spans="1:18" s="223" customFormat="1" ht="14.4" customHeight="1" x14ac:dyDescent="0.25">
      <c r="A69" s="408">
        <v>45112</v>
      </c>
      <c r="B69" s="385" t="s">
        <v>441</v>
      </c>
      <c r="C69" s="389" t="s">
        <v>75</v>
      </c>
      <c r="D69" s="389"/>
      <c r="E69" s="389"/>
      <c r="F69" s="385">
        <v>2000000</v>
      </c>
      <c r="G69" s="387">
        <f t="shared" si="0"/>
        <v>21273759</v>
      </c>
      <c r="H69" s="390" t="s">
        <v>148</v>
      </c>
      <c r="I69" s="392">
        <v>3667360</v>
      </c>
      <c r="J69" s="385"/>
      <c r="K69" s="385"/>
      <c r="L69" s="385"/>
      <c r="M69" s="385"/>
      <c r="N69" s="389"/>
      <c r="O69" s="389"/>
      <c r="P69" s="239"/>
      <c r="Q69" s="240"/>
      <c r="R69" s="240"/>
    </row>
    <row r="70" spans="1:18" s="223" customFormat="1" ht="14.4" customHeight="1" x14ac:dyDescent="0.25">
      <c r="A70" s="237">
        <v>45112</v>
      </c>
      <c r="B70" s="223" t="s">
        <v>442</v>
      </c>
      <c r="C70" s="223" t="s">
        <v>430</v>
      </c>
      <c r="D70" s="223" t="s">
        <v>300</v>
      </c>
      <c r="F70" s="223">
        <f>17766+17348</f>
        <v>35114</v>
      </c>
      <c r="G70" s="215">
        <f t="shared" si="0"/>
        <v>21238645</v>
      </c>
      <c r="H70" s="300" t="s">
        <v>148</v>
      </c>
      <c r="I70" s="221" t="s">
        <v>305</v>
      </c>
      <c r="J70" s="223" t="s">
        <v>102</v>
      </c>
      <c r="K70" s="223" t="s">
        <v>199</v>
      </c>
      <c r="L70" s="223" t="s">
        <v>330</v>
      </c>
      <c r="M70" s="223" t="s">
        <v>589</v>
      </c>
      <c r="N70" s="235" t="s">
        <v>331</v>
      </c>
      <c r="O70" s="235"/>
      <c r="P70" s="351"/>
    </row>
    <row r="71" spans="1:18" s="223" customFormat="1" ht="14.4" customHeight="1" x14ac:dyDescent="0.25">
      <c r="A71" s="237">
        <v>45112</v>
      </c>
      <c r="B71" s="235" t="s">
        <v>457</v>
      </c>
      <c r="C71" s="235" t="s">
        <v>307</v>
      </c>
      <c r="D71" s="223" t="s">
        <v>2</v>
      </c>
      <c r="E71" s="235"/>
      <c r="F71" s="275">
        <v>30000</v>
      </c>
      <c r="G71" s="215">
        <f t="shared" si="0"/>
        <v>21208645</v>
      </c>
      <c r="H71" s="235" t="s">
        <v>47</v>
      </c>
      <c r="I71" s="235" t="s">
        <v>368</v>
      </c>
      <c r="J71" s="223" t="s">
        <v>288</v>
      </c>
      <c r="K71" s="223" t="s">
        <v>199</v>
      </c>
      <c r="L71" s="223" t="s">
        <v>330</v>
      </c>
      <c r="M71" s="223" t="s">
        <v>590</v>
      </c>
      <c r="N71" s="223" t="s">
        <v>343</v>
      </c>
      <c r="O71" s="235"/>
      <c r="P71" s="351"/>
    </row>
    <row r="72" spans="1:18" s="223" customFormat="1" ht="14.4" customHeight="1" x14ac:dyDescent="0.25">
      <c r="A72" s="237">
        <v>45112</v>
      </c>
      <c r="B72" s="223" t="s">
        <v>458</v>
      </c>
      <c r="C72" s="235" t="s">
        <v>34</v>
      </c>
      <c r="D72" s="223" t="s">
        <v>2</v>
      </c>
      <c r="E72" s="215"/>
      <c r="F72" s="274">
        <v>7000</v>
      </c>
      <c r="G72" s="215">
        <f t="shared" si="0"/>
        <v>21201645</v>
      </c>
      <c r="H72" s="223" t="s">
        <v>47</v>
      </c>
      <c r="I72" s="275" t="s">
        <v>304</v>
      </c>
      <c r="J72" s="223" t="s">
        <v>102</v>
      </c>
      <c r="K72" s="235" t="s">
        <v>199</v>
      </c>
      <c r="L72" s="235" t="s">
        <v>330</v>
      </c>
      <c r="M72" s="223" t="s">
        <v>591</v>
      </c>
      <c r="N72" s="235" t="s">
        <v>342</v>
      </c>
      <c r="P72" s="351"/>
    </row>
    <row r="73" spans="1:18" s="223" customFormat="1" ht="14.4" customHeight="1" x14ac:dyDescent="0.25">
      <c r="A73" s="234">
        <v>45112</v>
      </c>
      <c r="B73" s="223" t="s">
        <v>466</v>
      </c>
      <c r="C73" s="223" t="s">
        <v>34</v>
      </c>
      <c r="D73" s="223" t="s">
        <v>4</v>
      </c>
      <c r="F73" s="279">
        <v>5000</v>
      </c>
      <c r="G73" s="215">
        <f t="shared" si="0"/>
        <v>21196645</v>
      </c>
      <c r="H73" s="223" t="s">
        <v>270</v>
      </c>
      <c r="I73" s="275" t="s">
        <v>304</v>
      </c>
      <c r="J73" s="223" t="s">
        <v>288</v>
      </c>
      <c r="K73" s="235" t="s">
        <v>199</v>
      </c>
      <c r="L73" s="235" t="s">
        <v>330</v>
      </c>
      <c r="M73" s="223" t="s">
        <v>592</v>
      </c>
      <c r="N73" s="235" t="s">
        <v>342</v>
      </c>
      <c r="P73" s="351"/>
    </row>
    <row r="74" spans="1:18" s="223" customFormat="1" ht="14.4" customHeight="1" x14ac:dyDescent="0.25">
      <c r="A74" s="234">
        <v>45112</v>
      </c>
      <c r="B74" s="223" t="s">
        <v>562</v>
      </c>
      <c r="C74" s="235" t="s">
        <v>319</v>
      </c>
      <c r="D74" s="223" t="s">
        <v>4</v>
      </c>
      <c r="E74" s="215"/>
      <c r="F74" s="274">
        <v>70000</v>
      </c>
      <c r="G74" s="215">
        <f t="shared" si="0"/>
        <v>21126645</v>
      </c>
      <c r="H74" s="223" t="s">
        <v>270</v>
      </c>
      <c r="I74" s="235" t="s">
        <v>368</v>
      </c>
      <c r="J74" s="223" t="s">
        <v>288</v>
      </c>
      <c r="K74" s="223" t="s">
        <v>199</v>
      </c>
      <c r="L74" s="223" t="s">
        <v>330</v>
      </c>
      <c r="M74" s="223" t="s">
        <v>593</v>
      </c>
      <c r="N74" s="223" t="s">
        <v>343</v>
      </c>
      <c r="P74" s="351"/>
    </row>
    <row r="75" spans="1:18" s="223" customFormat="1" ht="13.8" x14ac:dyDescent="0.25">
      <c r="A75" s="237">
        <v>45112</v>
      </c>
      <c r="B75" s="223" t="s">
        <v>490</v>
      </c>
      <c r="C75" s="235" t="s">
        <v>319</v>
      </c>
      <c r="D75" s="223" t="s">
        <v>4</v>
      </c>
      <c r="F75" s="275">
        <v>70000</v>
      </c>
      <c r="G75" s="215">
        <f t="shared" si="0"/>
        <v>21056645</v>
      </c>
      <c r="H75" s="235" t="s">
        <v>269</v>
      </c>
      <c r="I75" s="235" t="s">
        <v>368</v>
      </c>
      <c r="J75" s="223" t="s">
        <v>288</v>
      </c>
      <c r="K75" s="223" t="s">
        <v>199</v>
      </c>
      <c r="L75" s="223" t="s">
        <v>330</v>
      </c>
      <c r="M75" s="223" t="s">
        <v>594</v>
      </c>
      <c r="N75" s="223" t="s">
        <v>343</v>
      </c>
      <c r="P75" s="351"/>
    </row>
    <row r="76" spans="1:18" s="223" customFormat="1" ht="13.8" x14ac:dyDescent="0.25">
      <c r="A76" s="234">
        <v>45112</v>
      </c>
      <c r="B76" s="300" t="s">
        <v>506</v>
      </c>
      <c r="C76" s="235" t="s">
        <v>239</v>
      </c>
      <c r="D76" s="223" t="s">
        <v>154</v>
      </c>
      <c r="E76" s="302"/>
      <c r="F76" s="302">
        <v>48500</v>
      </c>
      <c r="G76" s="215">
        <f t="shared" si="0"/>
        <v>21008145</v>
      </c>
      <c r="H76" s="300" t="s">
        <v>301</v>
      </c>
      <c r="I76" s="275" t="s">
        <v>304</v>
      </c>
      <c r="J76" s="223" t="s">
        <v>288</v>
      </c>
      <c r="K76" s="240" t="s">
        <v>198</v>
      </c>
      <c r="L76" s="223" t="s">
        <v>330</v>
      </c>
      <c r="M76" s="300"/>
      <c r="N76" s="300"/>
      <c r="O76" s="190"/>
      <c r="P76" s="351"/>
    </row>
    <row r="77" spans="1:18" s="223" customFormat="1" ht="13.8" x14ac:dyDescent="0.25">
      <c r="A77" s="396">
        <v>45112</v>
      </c>
      <c r="B77" s="346" t="s">
        <v>310</v>
      </c>
      <c r="C77" s="314" t="s">
        <v>75</v>
      </c>
      <c r="D77" s="315"/>
      <c r="E77" s="409">
        <v>48500</v>
      </c>
      <c r="F77" s="409"/>
      <c r="G77" s="316">
        <f t="shared" si="0"/>
        <v>21056645</v>
      </c>
      <c r="H77" s="346" t="s">
        <v>301</v>
      </c>
      <c r="I77" s="337"/>
      <c r="J77" s="346"/>
      <c r="K77" s="346"/>
      <c r="L77" s="346"/>
      <c r="M77" s="346"/>
      <c r="N77" s="346"/>
      <c r="O77" s="410"/>
      <c r="P77" s="239"/>
    </row>
    <row r="78" spans="1:18" s="223" customFormat="1" ht="14.4" customHeight="1" x14ac:dyDescent="0.25">
      <c r="A78" s="234">
        <v>45112</v>
      </c>
      <c r="B78" s="235" t="s">
        <v>529</v>
      </c>
      <c r="C78" s="235" t="s">
        <v>75</v>
      </c>
      <c r="E78" s="235"/>
      <c r="F78" s="235">
        <v>90000</v>
      </c>
      <c r="G78" s="215">
        <f t="shared" ref="G78:G141" si="1">+G77+E78-F78</f>
        <v>20966645</v>
      </c>
      <c r="H78" s="235" t="s">
        <v>143</v>
      </c>
      <c r="I78" s="275"/>
      <c r="J78" s="300"/>
      <c r="K78" s="300"/>
      <c r="L78" s="300"/>
      <c r="N78" s="235"/>
      <c r="O78" s="235"/>
      <c r="P78" s="239"/>
    </row>
    <row r="79" spans="1:18" s="223" customFormat="1" ht="13.8" x14ac:dyDescent="0.25">
      <c r="A79" s="340">
        <v>45112</v>
      </c>
      <c r="B79" s="310" t="s">
        <v>327</v>
      </c>
      <c r="C79" s="313" t="s">
        <v>75</v>
      </c>
      <c r="D79" s="310"/>
      <c r="E79" s="310">
        <v>88000</v>
      </c>
      <c r="F79" s="310"/>
      <c r="G79" s="311">
        <f t="shared" si="1"/>
        <v>21054645</v>
      </c>
      <c r="H79" s="370" t="s">
        <v>302</v>
      </c>
      <c r="I79" s="363"/>
      <c r="J79" s="313"/>
      <c r="K79" s="313"/>
      <c r="L79" s="313"/>
      <c r="M79" s="343"/>
      <c r="N79" s="313"/>
      <c r="O79" s="310"/>
      <c r="P79" s="239"/>
    </row>
    <row r="80" spans="1:18" s="223" customFormat="1" ht="13.8" x14ac:dyDescent="0.25">
      <c r="A80" s="234">
        <v>45112</v>
      </c>
      <c r="B80" s="223" t="s">
        <v>546</v>
      </c>
      <c r="C80" s="235" t="s">
        <v>307</v>
      </c>
      <c r="D80" s="223" t="s">
        <v>4</v>
      </c>
      <c r="F80" s="277">
        <v>70000</v>
      </c>
      <c r="G80" s="215">
        <f t="shared" si="1"/>
        <v>20984645</v>
      </c>
      <c r="H80" s="223" t="s">
        <v>29</v>
      </c>
      <c r="I80" s="235" t="s">
        <v>368</v>
      </c>
      <c r="J80" s="223" t="s">
        <v>288</v>
      </c>
      <c r="K80" s="223" t="s">
        <v>199</v>
      </c>
      <c r="L80" s="223" t="s">
        <v>330</v>
      </c>
      <c r="M80" s="223" t="s">
        <v>595</v>
      </c>
      <c r="N80" s="223" t="s">
        <v>343</v>
      </c>
      <c r="P80" s="351"/>
    </row>
    <row r="81" spans="1:18" s="223" customFormat="1" ht="13.8" x14ac:dyDescent="0.25">
      <c r="A81" s="408">
        <v>45113</v>
      </c>
      <c r="B81" s="388" t="s">
        <v>301</v>
      </c>
      <c r="C81" s="389" t="s">
        <v>75</v>
      </c>
      <c r="D81" s="389"/>
      <c r="E81" s="385"/>
      <c r="F81" s="385">
        <v>29000</v>
      </c>
      <c r="G81" s="387">
        <f t="shared" si="1"/>
        <v>20955645</v>
      </c>
      <c r="H81" s="385" t="s">
        <v>25</v>
      </c>
      <c r="I81" s="389"/>
      <c r="J81" s="385"/>
      <c r="K81" s="385"/>
      <c r="L81" s="389"/>
      <c r="M81" s="411"/>
      <c r="N81" s="389"/>
      <c r="O81" s="389"/>
      <c r="P81" s="239"/>
    </row>
    <row r="82" spans="1:18" s="223" customFormat="1" ht="13.8" x14ac:dyDescent="0.25">
      <c r="A82" s="237">
        <v>45113</v>
      </c>
      <c r="B82" s="223" t="s">
        <v>371</v>
      </c>
      <c r="C82" s="235" t="s">
        <v>213</v>
      </c>
      <c r="D82" s="223" t="s">
        <v>300</v>
      </c>
      <c r="E82" s="215"/>
      <c r="F82" s="215">
        <v>1680</v>
      </c>
      <c r="G82" s="215">
        <f t="shared" si="1"/>
        <v>20953965</v>
      </c>
      <c r="H82" s="223" t="s">
        <v>25</v>
      </c>
      <c r="I82" s="275" t="s">
        <v>304</v>
      </c>
      <c r="J82" s="235" t="s">
        <v>102</v>
      </c>
      <c r="K82" s="223" t="s">
        <v>199</v>
      </c>
      <c r="L82" s="223" t="s">
        <v>330</v>
      </c>
      <c r="M82" s="223" t="s">
        <v>596</v>
      </c>
      <c r="N82" s="223" t="s">
        <v>331</v>
      </c>
      <c r="P82" s="351"/>
    </row>
    <row r="83" spans="1:18" s="223" customFormat="1" ht="13.8" x14ac:dyDescent="0.25">
      <c r="A83" s="234">
        <v>45113</v>
      </c>
      <c r="B83" s="223" t="s">
        <v>429</v>
      </c>
      <c r="C83" s="193" t="s">
        <v>430</v>
      </c>
      <c r="D83" s="223" t="s">
        <v>300</v>
      </c>
      <c r="F83" s="223">
        <f>14701+8644</f>
        <v>23345</v>
      </c>
      <c r="G83" s="215">
        <f t="shared" si="1"/>
        <v>20930620</v>
      </c>
      <c r="H83" s="235" t="s">
        <v>24</v>
      </c>
      <c r="I83" s="235" t="s">
        <v>305</v>
      </c>
      <c r="J83" s="223" t="s">
        <v>288</v>
      </c>
      <c r="K83" s="223" t="s">
        <v>198</v>
      </c>
      <c r="L83" s="223" t="s">
        <v>330</v>
      </c>
      <c r="N83" s="235"/>
      <c r="P83" s="351"/>
    </row>
    <row r="84" spans="1:18" s="223" customFormat="1" ht="13.8" x14ac:dyDescent="0.25">
      <c r="A84" s="412">
        <v>45113</v>
      </c>
      <c r="B84" s="413" t="s">
        <v>310</v>
      </c>
      <c r="C84" s="389" t="s">
        <v>75</v>
      </c>
      <c r="D84" s="414"/>
      <c r="E84" s="385">
        <v>29000</v>
      </c>
      <c r="F84" s="388"/>
      <c r="G84" s="387">
        <f t="shared" si="1"/>
        <v>20959620</v>
      </c>
      <c r="H84" s="385" t="s">
        <v>301</v>
      </c>
      <c r="I84" s="388"/>
      <c r="J84" s="389"/>
      <c r="K84" s="389"/>
      <c r="L84" s="389"/>
      <c r="M84" s="385"/>
      <c r="N84" s="389"/>
      <c r="O84" s="385"/>
      <c r="P84" s="239"/>
    </row>
    <row r="85" spans="1:18" s="223" customFormat="1" ht="13.8" x14ac:dyDescent="0.25">
      <c r="A85" s="234">
        <v>45113</v>
      </c>
      <c r="B85" s="223" t="s">
        <v>328</v>
      </c>
      <c r="C85" s="223" t="s">
        <v>34</v>
      </c>
      <c r="D85" s="223" t="s">
        <v>154</v>
      </c>
      <c r="E85" s="215"/>
      <c r="F85" s="215">
        <v>9000</v>
      </c>
      <c r="G85" s="215">
        <f t="shared" si="1"/>
        <v>20950620</v>
      </c>
      <c r="H85" s="223" t="s">
        <v>302</v>
      </c>
      <c r="I85" s="275" t="s">
        <v>304</v>
      </c>
      <c r="J85" s="223" t="s">
        <v>288</v>
      </c>
      <c r="K85" s="223" t="s">
        <v>198</v>
      </c>
      <c r="L85" s="223" t="s">
        <v>330</v>
      </c>
      <c r="M85" s="238"/>
      <c r="N85" s="235"/>
      <c r="P85" s="351"/>
    </row>
    <row r="86" spans="1:18" s="223" customFormat="1" ht="13.8" x14ac:dyDescent="0.25">
      <c r="A86" s="237">
        <v>45113</v>
      </c>
      <c r="B86" s="235" t="s">
        <v>531</v>
      </c>
      <c r="C86" s="230" t="s">
        <v>34</v>
      </c>
      <c r="D86" s="223" t="s">
        <v>154</v>
      </c>
      <c r="E86" s="235"/>
      <c r="F86" s="235">
        <v>3500</v>
      </c>
      <c r="G86" s="215">
        <f t="shared" si="1"/>
        <v>20947120</v>
      </c>
      <c r="H86" s="235" t="s">
        <v>302</v>
      </c>
      <c r="I86" s="275" t="s">
        <v>304</v>
      </c>
      <c r="J86" s="223" t="s">
        <v>288</v>
      </c>
      <c r="K86" s="223" t="s">
        <v>198</v>
      </c>
      <c r="L86" s="223" t="s">
        <v>330</v>
      </c>
      <c r="N86" s="235"/>
      <c r="O86" s="235"/>
      <c r="P86" s="351"/>
      <c r="Q86" s="240"/>
      <c r="R86" s="240"/>
    </row>
    <row r="87" spans="1:18" s="223" customFormat="1" ht="16.5" customHeight="1" x14ac:dyDescent="0.25">
      <c r="A87" s="237">
        <v>45113</v>
      </c>
      <c r="B87" s="235" t="s">
        <v>680</v>
      </c>
      <c r="C87" s="235" t="s">
        <v>307</v>
      </c>
      <c r="D87" s="223" t="s">
        <v>154</v>
      </c>
      <c r="E87" s="235"/>
      <c r="F87" s="235">
        <v>20000</v>
      </c>
      <c r="G87" s="215">
        <f t="shared" si="1"/>
        <v>20927120</v>
      </c>
      <c r="H87" s="235" t="s">
        <v>302</v>
      </c>
      <c r="I87" s="235" t="s">
        <v>368</v>
      </c>
      <c r="J87" s="223" t="s">
        <v>288</v>
      </c>
      <c r="K87" s="223" t="s">
        <v>198</v>
      </c>
      <c r="L87" s="223" t="s">
        <v>330</v>
      </c>
      <c r="M87" s="235"/>
      <c r="N87" s="235"/>
      <c r="O87" s="235"/>
      <c r="P87" s="351"/>
    </row>
    <row r="88" spans="1:18" s="223" customFormat="1" ht="13.8" x14ac:dyDescent="0.25">
      <c r="A88" s="234">
        <v>45113</v>
      </c>
      <c r="B88" s="223" t="s">
        <v>678</v>
      </c>
      <c r="C88" s="235" t="s">
        <v>174</v>
      </c>
      <c r="D88" s="223" t="s">
        <v>300</v>
      </c>
      <c r="F88" s="223">
        <v>25000</v>
      </c>
      <c r="G88" s="215">
        <f t="shared" si="1"/>
        <v>20902120</v>
      </c>
      <c r="H88" s="157" t="s">
        <v>25</v>
      </c>
      <c r="I88" s="275" t="s">
        <v>304</v>
      </c>
      <c r="J88" s="223" t="s">
        <v>102</v>
      </c>
      <c r="K88" s="223" t="s">
        <v>199</v>
      </c>
      <c r="L88" s="223" t="s">
        <v>330</v>
      </c>
      <c r="M88" s="223" t="s">
        <v>597</v>
      </c>
      <c r="N88" s="223" t="s">
        <v>340</v>
      </c>
      <c r="P88" s="351"/>
      <c r="Q88" s="240"/>
      <c r="R88" s="240"/>
    </row>
    <row r="89" spans="1:18" s="223" customFormat="1" ht="13.8" x14ac:dyDescent="0.25">
      <c r="A89" s="399">
        <v>45114</v>
      </c>
      <c r="B89" s="400" t="s">
        <v>269</v>
      </c>
      <c r="C89" s="314" t="s">
        <v>75</v>
      </c>
      <c r="D89" s="315"/>
      <c r="E89" s="315"/>
      <c r="F89" s="315">
        <v>149000</v>
      </c>
      <c r="G89" s="316">
        <f t="shared" si="1"/>
        <v>20753120</v>
      </c>
      <c r="H89" s="415" t="s">
        <v>25</v>
      </c>
      <c r="I89" s="314"/>
      <c r="J89" s="314"/>
      <c r="K89" s="315"/>
      <c r="L89" s="315"/>
      <c r="M89" s="403"/>
      <c r="N89" s="315"/>
      <c r="O89" s="315"/>
      <c r="P89" s="249"/>
      <c r="Q89" s="240"/>
      <c r="R89" s="240"/>
    </row>
    <row r="90" spans="1:18" s="223" customFormat="1" ht="13.8" x14ac:dyDescent="0.25">
      <c r="A90" s="234">
        <v>45114</v>
      </c>
      <c r="B90" s="223" t="s">
        <v>29</v>
      </c>
      <c r="C90" s="235" t="s">
        <v>75</v>
      </c>
      <c r="D90" s="230"/>
      <c r="F90" s="244">
        <v>148000</v>
      </c>
      <c r="G90" s="215">
        <f t="shared" si="1"/>
        <v>20605120</v>
      </c>
      <c r="H90" s="244" t="s">
        <v>25</v>
      </c>
      <c r="I90" s="275"/>
      <c r="J90" s="235"/>
      <c r="M90" s="238"/>
      <c r="P90" s="249"/>
      <c r="Q90" s="240"/>
      <c r="R90" s="240"/>
    </row>
    <row r="91" spans="1:18" s="223" customFormat="1" ht="13.8" x14ac:dyDescent="0.25">
      <c r="A91" s="246">
        <v>45114</v>
      </c>
      <c r="B91" s="223" t="s">
        <v>270</v>
      </c>
      <c r="C91" s="235" t="s">
        <v>75</v>
      </c>
      <c r="D91" s="230"/>
      <c r="E91" s="215"/>
      <c r="F91" s="215">
        <v>141000</v>
      </c>
      <c r="G91" s="215">
        <f t="shared" si="1"/>
        <v>20464120</v>
      </c>
      <c r="H91" s="223" t="s">
        <v>25</v>
      </c>
      <c r="I91" s="275"/>
      <c r="M91" s="238"/>
      <c r="N91" s="235"/>
      <c r="P91" s="249"/>
      <c r="Q91" s="240"/>
      <c r="R91" s="240"/>
    </row>
    <row r="92" spans="1:18" s="223" customFormat="1" ht="13.8" x14ac:dyDescent="0.25">
      <c r="A92" s="340">
        <v>45114</v>
      </c>
      <c r="B92" s="313" t="s">
        <v>47</v>
      </c>
      <c r="C92" s="313" t="s">
        <v>75</v>
      </c>
      <c r="D92" s="310"/>
      <c r="E92" s="313"/>
      <c r="F92" s="313">
        <v>33000</v>
      </c>
      <c r="G92" s="311">
        <f t="shared" si="1"/>
        <v>20431120</v>
      </c>
      <c r="H92" s="313" t="s">
        <v>25</v>
      </c>
      <c r="I92" s="363"/>
      <c r="J92" s="313"/>
      <c r="K92" s="310"/>
      <c r="L92" s="310"/>
      <c r="M92" s="310"/>
      <c r="N92" s="313"/>
      <c r="O92" s="313"/>
      <c r="P92" s="249"/>
      <c r="Q92" s="240"/>
      <c r="R92" s="240"/>
    </row>
    <row r="93" spans="1:18" s="223" customFormat="1" ht="13.8" x14ac:dyDescent="0.25">
      <c r="A93" s="234">
        <v>45114</v>
      </c>
      <c r="B93" s="223" t="s">
        <v>383</v>
      </c>
      <c r="C93" s="235" t="s">
        <v>213</v>
      </c>
      <c r="D93" s="223" t="s">
        <v>300</v>
      </c>
      <c r="E93" s="215"/>
      <c r="F93" s="215">
        <f>471000*3%</f>
        <v>14130</v>
      </c>
      <c r="G93" s="215">
        <f t="shared" si="1"/>
        <v>20416990</v>
      </c>
      <c r="H93" s="223" t="s">
        <v>25</v>
      </c>
      <c r="I93" s="275" t="s">
        <v>304</v>
      </c>
      <c r="J93" s="235" t="s">
        <v>102</v>
      </c>
      <c r="K93" s="223" t="s">
        <v>199</v>
      </c>
      <c r="L93" s="223" t="s">
        <v>330</v>
      </c>
      <c r="M93" s="223" t="s">
        <v>598</v>
      </c>
      <c r="N93" s="223" t="s">
        <v>331</v>
      </c>
      <c r="P93" s="353"/>
      <c r="Q93" s="240"/>
      <c r="R93" s="240"/>
    </row>
    <row r="94" spans="1:18" s="223" customFormat="1" ht="13.8" x14ac:dyDescent="0.25">
      <c r="A94" s="234">
        <v>45114</v>
      </c>
      <c r="B94" s="242" t="s">
        <v>560</v>
      </c>
      <c r="C94" s="223" t="s">
        <v>170</v>
      </c>
      <c r="D94" s="223" t="s">
        <v>384</v>
      </c>
      <c r="F94" s="244">
        <v>14550</v>
      </c>
      <c r="G94" s="215">
        <f t="shared" si="1"/>
        <v>20402440</v>
      </c>
      <c r="H94" s="244" t="s">
        <v>25</v>
      </c>
      <c r="I94" s="275" t="s">
        <v>304</v>
      </c>
      <c r="J94" s="235" t="s">
        <v>288</v>
      </c>
      <c r="K94" s="300" t="s">
        <v>198</v>
      </c>
      <c r="L94" s="300" t="s">
        <v>330</v>
      </c>
      <c r="N94" s="235"/>
      <c r="P94" s="352"/>
      <c r="Q94" s="240"/>
      <c r="R94" s="240"/>
    </row>
    <row r="95" spans="1:18" s="223" customFormat="1" ht="13.8" x14ac:dyDescent="0.25">
      <c r="A95" s="237">
        <v>45114</v>
      </c>
      <c r="B95" s="223" t="s">
        <v>385</v>
      </c>
      <c r="C95" s="235" t="s">
        <v>230</v>
      </c>
      <c r="D95" s="223" t="s">
        <v>155</v>
      </c>
      <c r="F95" s="215">
        <v>91000</v>
      </c>
      <c r="G95" s="215">
        <f t="shared" si="1"/>
        <v>20311440</v>
      </c>
      <c r="H95" s="223" t="s">
        <v>25</v>
      </c>
      <c r="I95" s="235" t="s">
        <v>368</v>
      </c>
      <c r="J95" s="223" t="s">
        <v>288</v>
      </c>
      <c r="K95" s="235" t="s">
        <v>198</v>
      </c>
      <c r="L95" s="235" t="s">
        <v>330</v>
      </c>
      <c r="N95" s="235"/>
      <c r="P95" s="352"/>
      <c r="Q95" s="240"/>
      <c r="R95" s="240"/>
    </row>
    <row r="96" spans="1:18" s="223" customFormat="1" ht="13.8" x14ac:dyDescent="0.25">
      <c r="A96" s="408">
        <v>45114</v>
      </c>
      <c r="B96" s="385" t="s">
        <v>311</v>
      </c>
      <c r="C96" s="389" t="s">
        <v>75</v>
      </c>
      <c r="D96" s="385"/>
      <c r="E96" s="387">
        <v>33000</v>
      </c>
      <c r="F96" s="414"/>
      <c r="G96" s="387">
        <f t="shared" si="1"/>
        <v>20344440</v>
      </c>
      <c r="H96" s="385" t="s">
        <v>47</v>
      </c>
      <c r="I96" s="388"/>
      <c r="J96" s="385"/>
      <c r="K96" s="416"/>
      <c r="L96" s="385"/>
      <c r="M96" s="411"/>
      <c r="N96" s="385"/>
      <c r="O96" s="385"/>
      <c r="P96" s="239"/>
    </row>
    <row r="97" spans="1:18" s="349" customFormat="1" ht="13.8" x14ac:dyDescent="0.25">
      <c r="A97" s="237">
        <v>45114</v>
      </c>
      <c r="B97" s="242" t="s">
        <v>460</v>
      </c>
      <c r="C97" s="235" t="s">
        <v>461</v>
      </c>
      <c r="D97" s="223" t="s">
        <v>154</v>
      </c>
      <c r="E97" s="193"/>
      <c r="F97" s="274">
        <v>25000</v>
      </c>
      <c r="G97" s="215">
        <f t="shared" si="1"/>
        <v>20319440</v>
      </c>
      <c r="H97" s="223" t="s">
        <v>47</v>
      </c>
      <c r="I97" s="235" t="s">
        <v>368</v>
      </c>
      <c r="J97" s="223" t="s">
        <v>288</v>
      </c>
      <c r="K97" s="223" t="s">
        <v>198</v>
      </c>
      <c r="L97" s="223" t="s">
        <v>330</v>
      </c>
      <c r="M97" s="238"/>
      <c r="N97" s="223"/>
      <c r="O97" s="223"/>
      <c r="P97" s="354"/>
    </row>
    <row r="98" spans="1:18" s="223" customFormat="1" ht="13.8" x14ac:dyDescent="0.25">
      <c r="A98" s="234">
        <v>45114</v>
      </c>
      <c r="B98" s="223" t="s">
        <v>507</v>
      </c>
      <c r="C98" s="235" t="s">
        <v>307</v>
      </c>
      <c r="D98" s="223" t="s">
        <v>154</v>
      </c>
      <c r="F98" s="251">
        <v>45000</v>
      </c>
      <c r="G98" s="215">
        <f t="shared" si="1"/>
        <v>20274440</v>
      </c>
      <c r="H98" s="252" t="s">
        <v>301</v>
      </c>
      <c r="I98" s="275" t="s">
        <v>304</v>
      </c>
      <c r="J98" s="223" t="s">
        <v>288</v>
      </c>
      <c r="K98" s="223" t="s">
        <v>199</v>
      </c>
      <c r="L98" s="223" t="s">
        <v>330</v>
      </c>
      <c r="M98" s="223" t="s">
        <v>599</v>
      </c>
      <c r="N98" s="223" t="s">
        <v>343</v>
      </c>
      <c r="P98" s="351"/>
    </row>
    <row r="99" spans="1:18" s="223" customFormat="1" ht="13.8" x14ac:dyDescent="0.25">
      <c r="A99" s="404">
        <v>45114</v>
      </c>
      <c r="B99" s="405" t="s">
        <v>308</v>
      </c>
      <c r="C99" s="314" t="s">
        <v>75</v>
      </c>
      <c r="D99" s="315"/>
      <c r="E99" s="315">
        <v>141000</v>
      </c>
      <c r="F99" s="417"/>
      <c r="G99" s="316">
        <f t="shared" si="1"/>
        <v>20415440</v>
      </c>
      <c r="H99" s="315" t="s">
        <v>270</v>
      </c>
      <c r="I99" s="337"/>
      <c r="J99" s="315"/>
      <c r="K99" s="315"/>
      <c r="L99" s="315"/>
      <c r="M99" s="315"/>
      <c r="N99" s="315"/>
      <c r="O99" s="315"/>
      <c r="P99" s="239"/>
    </row>
    <row r="100" spans="1:18" s="223" customFormat="1" ht="13.8" x14ac:dyDescent="0.25">
      <c r="A100" s="371">
        <v>45114</v>
      </c>
      <c r="B100" s="310" t="s">
        <v>488</v>
      </c>
      <c r="C100" s="313" t="s">
        <v>75</v>
      </c>
      <c r="D100" s="310"/>
      <c r="E100" s="310">
        <v>149000</v>
      </c>
      <c r="F100" s="310"/>
      <c r="G100" s="311">
        <f t="shared" si="1"/>
        <v>20564440</v>
      </c>
      <c r="H100" s="313" t="s">
        <v>269</v>
      </c>
      <c r="I100" s="363"/>
      <c r="J100" s="313"/>
      <c r="K100" s="365"/>
      <c r="L100" s="365"/>
      <c r="M100" s="310"/>
      <c r="N100" s="313"/>
      <c r="O100" s="310"/>
      <c r="P100" s="239"/>
    </row>
    <row r="101" spans="1:18" s="223" customFormat="1" ht="13.8" x14ac:dyDescent="0.25">
      <c r="A101" s="234">
        <v>45114</v>
      </c>
      <c r="B101" s="223" t="s">
        <v>508</v>
      </c>
      <c r="C101" s="235" t="s">
        <v>34</v>
      </c>
      <c r="D101" s="223" t="s">
        <v>154</v>
      </c>
      <c r="E101" s="215"/>
      <c r="F101" s="215">
        <v>15000</v>
      </c>
      <c r="G101" s="215">
        <f t="shared" si="1"/>
        <v>20549440</v>
      </c>
      <c r="H101" s="223" t="s">
        <v>301</v>
      </c>
      <c r="I101" s="275" t="s">
        <v>304</v>
      </c>
      <c r="J101" s="223" t="s">
        <v>288</v>
      </c>
      <c r="K101" s="235" t="s">
        <v>199</v>
      </c>
      <c r="L101" s="235" t="s">
        <v>330</v>
      </c>
      <c r="M101" s="223" t="s">
        <v>600</v>
      </c>
      <c r="N101" s="235" t="s">
        <v>342</v>
      </c>
      <c r="P101" s="352"/>
      <c r="Q101" s="240"/>
      <c r="R101" s="240"/>
    </row>
    <row r="102" spans="1:18" s="223" customFormat="1" ht="13.8" x14ac:dyDescent="0.25">
      <c r="A102" s="234">
        <v>45115</v>
      </c>
      <c r="B102" s="223" t="s">
        <v>459</v>
      </c>
      <c r="C102" s="235" t="s">
        <v>34</v>
      </c>
      <c r="D102" s="223" t="s">
        <v>2</v>
      </c>
      <c r="F102" s="275">
        <v>10000</v>
      </c>
      <c r="G102" s="215">
        <f t="shared" si="1"/>
        <v>20539440</v>
      </c>
      <c r="H102" s="235" t="s">
        <v>47</v>
      </c>
      <c r="I102" s="275" t="s">
        <v>304</v>
      </c>
      <c r="J102" s="223" t="s">
        <v>102</v>
      </c>
      <c r="K102" s="235" t="s">
        <v>199</v>
      </c>
      <c r="L102" s="235" t="s">
        <v>330</v>
      </c>
      <c r="M102" s="223" t="s">
        <v>601</v>
      </c>
      <c r="N102" s="235" t="s">
        <v>342</v>
      </c>
      <c r="P102" s="352"/>
      <c r="Q102" s="240"/>
      <c r="R102" s="240"/>
    </row>
    <row r="103" spans="1:18" s="223" customFormat="1" ht="13.8" x14ac:dyDescent="0.25">
      <c r="A103" s="408">
        <v>45114</v>
      </c>
      <c r="B103" s="385" t="s">
        <v>325</v>
      </c>
      <c r="C103" s="389" t="s">
        <v>75</v>
      </c>
      <c r="D103" s="385"/>
      <c r="E103" s="385">
        <v>148000</v>
      </c>
      <c r="F103" s="418"/>
      <c r="G103" s="387">
        <f t="shared" si="1"/>
        <v>20687440</v>
      </c>
      <c r="H103" s="385" t="s">
        <v>29</v>
      </c>
      <c r="I103" s="388"/>
      <c r="J103" s="385"/>
      <c r="K103" s="385"/>
      <c r="L103" s="385"/>
      <c r="M103" s="385"/>
      <c r="N103" s="385"/>
      <c r="O103" s="385"/>
      <c r="P103" s="239"/>
      <c r="Q103" s="240"/>
      <c r="R103" s="240"/>
    </row>
    <row r="104" spans="1:18" s="223" customFormat="1" ht="13.8" x14ac:dyDescent="0.25">
      <c r="A104" s="237">
        <v>45115</v>
      </c>
      <c r="B104" s="235" t="s">
        <v>462</v>
      </c>
      <c r="C104" s="235" t="s">
        <v>307</v>
      </c>
      <c r="D104" s="223" t="s">
        <v>2</v>
      </c>
      <c r="F104" s="275">
        <v>45000</v>
      </c>
      <c r="G104" s="215">
        <f t="shared" si="1"/>
        <v>20642440</v>
      </c>
      <c r="H104" s="223" t="s">
        <v>47</v>
      </c>
      <c r="I104" s="275" t="s">
        <v>304</v>
      </c>
      <c r="J104" s="223" t="s">
        <v>288</v>
      </c>
      <c r="K104" s="223" t="s">
        <v>199</v>
      </c>
      <c r="L104" s="223" t="s">
        <v>330</v>
      </c>
      <c r="M104" s="223" t="s">
        <v>602</v>
      </c>
      <c r="N104" s="223" t="s">
        <v>343</v>
      </c>
      <c r="P104" s="352"/>
      <c r="Q104" s="240"/>
      <c r="R104" s="240"/>
    </row>
    <row r="105" spans="1:18" s="223" customFormat="1" ht="13.8" x14ac:dyDescent="0.25">
      <c r="A105" s="234">
        <v>45115</v>
      </c>
      <c r="B105" s="235" t="s">
        <v>491</v>
      </c>
      <c r="C105" s="235" t="s">
        <v>319</v>
      </c>
      <c r="D105" s="223" t="s">
        <v>4</v>
      </c>
      <c r="E105" s="235"/>
      <c r="F105" s="276">
        <v>45000</v>
      </c>
      <c r="G105" s="215">
        <f t="shared" si="1"/>
        <v>20597440</v>
      </c>
      <c r="H105" s="235" t="s">
        <v>269</v>
      </c>
      <c r="I105" s="275" t="s">
        <v>304</v>
      </c>
      <c r="J105" s="223" t="s">
        <v>288</v>
      </c>
      <c r="K105" s="223" t="s">
        <v>199</v>
      </c>
      <c r="L105" s="223" t="s">
        <v>330</v>
      </c>
      <c r="M105" s="223" t="s">
        <v>603</v>
      </c>
      <c r="N105" s="223" t="s">
        <v>343</v>
      </c>
      <c r="O105" s="235"/>
      <c r="P105" s="351"/>
    </row>
    <row r="106" spans="1:18" s="223" customFormat="1" ht="13.8" x14ac:dyDescent="0.25">
      <c r="A106" s="234">
        <v>45115</v>
      </c>
      <c r="B106" s="223" t="s">
        <v>492</v>
      </c>
      <c r="C106" s="235" t="s">
        <v>34</v>
      </c>
      <c r="D106" s="223" t="s">
        <v>4</v>
      </c>
      <c r="E106" s="215"/>
      <c r="F106" s="274">
        <v>6000</v>
      </c>
      <c r="G106" s="215">
        <f t="shared" si="1"/>
        <v>20591440</v>
      </c>
      <c r="H106" s="223" t="s">
        <v>269</v>
      </c>
      <c r="I106" s="275" t="s">
        <v>304</v>
      </c>
      <c r="J106" s="223" t="s">
        <v>288</v>
      </c>
      <c r="K106" s="235" t="s">
        <v>199</v>
      </c>
      <c r="L106" s="235" t="s">
        <v>330</v>
      </c>
      <c r="M106" s="223" t="s">
        <v>604</v>
      </c>
      <c r="N106" s="235" t="s">
        <v>342</v>
      </c>
      <c r="P106" s="351"/>
    </row>
    <row r="107" spans="1:18" s="223" customFormat="1" ht="13.8" x14ac:dyDescent="0.25">
      <c r="A107" s="234">
        <v>45115</v>
      </c>
      <c r="B107" s="223" t="s">
        <v>679</v>
      </c>
      <c r="C107" s="235" t="s">
        <v>307</v>
      </c>
      <c r="D107" s="223" t="s">
        <v>154</v>
      </c>
      <c r="E107" s="215"/>
      <c r="F107" s="215">
        <v>30000</v>
      </c>
      <c r="G107" s="215">
        <f t="shared" si="1"/>
        <v>20561440</v>
      </c>
      <c r="H107" s="235" t="s">
        <v>302</v>
      </c>
      <c r="I107" s="275" t="s">
        <v>304</v>
      </c>
      <c r="J107" s="223" t="s">
        <v>288</v>
      </c>
      <c r="K107" s="223" t="s">
        <v>198</v>
      </c>
      <c r="L107" s="223" t="s">
        <v>330</v>
      </c>
      <c r="N107" s="235"/>
      <c r="P107" s="351"/>
    </row>
    <row r="108" spans="1:18" s="223" customFormat="1" ht="13.8" x14ac:dyDescent="0.25">
      <c r="A108" s="234">
        <v>45115</v>
      </c>
      <c r="B108" s="223" t="s">
        <v>532</v>
      </c>
      <c r="C108" s="235" t="s">
        <v>34</v>
      </c>
      <c r="D108" s="223" t="s">
        <v>154</v>
      </c>
      <c r="E108" s="215"/>
      <c r="F108" s="215">
        <v>3500</v>
      </c>
      <c r="G108" s="215">
        <f t="shared" si="1"/>
        <v>20557940</v>
      </c>
      <c r="H108" s="223" t="s">
        <v>302</v>
      </c>
      <c r="I108" s="275" t="s">
        <v>304</v>
      </c>
      <c r="J108" s="223" t="s">
        <v>288</v>
      </c>
      <c r="K108" s="223" t="s">
        <v>198</v>
      </c>
      <c r="L108" s="223" t="s">
        <v>330</v>
      </c>
      <c r="M108" s="238"/>
      <c r="N108" s="235"/>
      <c r="P108" s="351"/>
    </row>
    <row r="109" spans="1:18" s="223" customFormat="1" ht="13.8" x14ac:dyDescent="0.25">
      <c r="A109" s="234">
        <v>45115</v>
      </c>
      <c r="B109" s="223" t="s">
        <v>329</v>
      </c>
      <c r="C109" s="235" t="s">
        <v>34</v>
      </c>
      <c r="D109" s="223" t="s">
        <v>154</v>
      </c>
      <c r="E109" s="215"/>
      <c r="F109" s="215">
        <v>9000</v>
      </c>
      <c r="G109" s="215">
        <f t="shared" si="1"/>
        <v>20548940</v>
      </c>
      <c r="H109" s="223" t="s">
        <v>302</v>
      </c>
      <c r="I109" s="275" t="s">
        <v>304</v>
      </c>
      <c r="J109" s="223" t="s">
        <v>288</v>
      </c>
      <c r="K109" s="223" t="s">
        <v>198</v>
      </c>
      <c r="L109" s="223" t="s">
        <v>330</v>
      </c>
      <c r="O109" s="215"/>
      <c r="P109" s="351"/>
    </row>
    <row r="110" spans="1:18" s="223" customFormat="1" ht="13.8" x14ac:dyDescent="0.25">
      <c r="A110" s="234">
        <v>45115</v>
      </c>
      <c r="B110" s="235" t="s">
        <v>547</v>
      </c>
      <c r="C110" s="230" t="s">
        <v>34</v>
      </c>
      <c r="D110" s="223" t="s">
        <v>4</v>
      </c>
      <c r="F110" s="275">
        <v>8000</v>
      </c>
      <c r="G110" s="215">
        <f t="shared" si="1"/>
        <v>20540940</v>
      </c>
      <c r="H110" s="223" t="s">
        <v>29</v>
      </c>
      <c r="I110" s="275" t="s">
        <v>304</v>
      </c>
      <c r="J110" s="223" t="s">
        <v>288</v>
      </c>
      <c r="K110" s="235" t="s">
        <v>199</v>
      </c>
      <c r="L110" s="235" t="s">
        <v>330</v>
      </c>
      <c r="M110" s="223" t="s">
        <v>605</v>
      </c>
      <c r="N110" s="235" t="s">
        <v>342</v>
      </c>
      <c r="P110" s="351"/>
    </row>
    <row r="111" spans="1:18" s="223" customFormat="1" ht="13.8" x14ac:dyDescent="0.25">
      <c r="A111" s="234">
        <v>45115</v>
      </c>
      <c r="B111" s="242" t="s">
        <v>548</v>
      </c>
      <c r="C111" s="235" t="s">
        <v>307</v>
      </c>
      <c r="D111" s="223" t="s">
        <v>4</v>
      </c>
      <c r="E111" s="193"/>
      <c r="F111" s="274">
        <v>45000</v>
      </c>
      <c r="G111" s="215">
        <f t="shared" si="1"/>
        <v>20495940</v>
      </c>
      <c r="H111" s="215" t="s">
        <v>29</v>
      </c>
      <c r="I111" s="275" t="s">
        <v>304</v>
      </c>
      <c r="J111" s="223" t="s">
        <v>288</v>
      </c>
      <c r="K111" s="223" t="s">
        <v>199</v>
      </c>
      <c r="L111" s="223" t="s">
        <v>330</v>
      </c>
      <c r="M111" s="223" t="s">
        <v>606</v>
      </c>
      <c r="N111" s="223" t="s">
        <v>343</v>
      </c>
      <c r="P111" s="351"/>
    </row>
    <row r="112" spans="1:18" s="223" customFormat="1" ht="13.8" x14ac:dyDescent="0.25">
      <c r="A112" s="234">
        <v>45116</v>
      </c>
      <c r="B112" s="223" t="s">
        <v>493</v>
      </c>
      <c r="C112" s="235" t="s">
        <v>319</v>
      </c>
      <c r="D112" s="223" t="s">
        <v>4</v>
      </c>
      <c r="E112" s="215"/>
      <c r="F112" s="243">
        <v>15000</v>
      </c>
      <c r="G112" s="215">
        <f t="shared" si="1"/>
        <v>20480940</v>
      </c>
      <c r="H112" s="223" t="s">
        <v>269</v>
      </c>
      <c r="I112" s="275" t="s">
        <v>304</v>
      </c>
      <c r="J112" s="223" t="s">
        <v>288</v>
      </c>
      <c r="K112" s="223" t="s">
        <v>199</v>
      </c>
      <c r="L112" s="223" t="s">
        <v>330</v>
      </c>
      <c r="M112" s="223" t="s">
        <v>607</v>
      </c>
      <c r="N112" s="223" t="s">
        <v>343</v>
      </c>
      <c r="P112" s="351"/>
    </row>
    <row r="113" spans="1:16" s="223" customFormat="1" ht="13.8" x14ac:dyDescent="0.25">
      <c r="A113" s="234">
        <v>45116</v>
      </c>
      <c r="B113" s="223" t="s">
        <v>494</v>
      </c>
      <c r="C113" s="235" t="s">
        <v>34</v>
      </c>
      <c r="D113" s="223" t="s">
        <v>4</v>
      </c>
      <c r="E113" s="215"/>
      <c r="F113" s="215">
        <v>5000</v>
      </c>
      <c r="G113" s="215">
        <f t="shared" si="1"/>
        <v>20475940</v>
      </c>
      <c r="H113" s="223" t="s">
        <v>269</v>
      </c>
      <c r="I113" s="275" t="s">
        <v>304</v>
      </c>
      <c r="J113" s="223" t="s">
        <v>288</v>
      </c>
      <c r="K113" s="235" t="s">
        <v>199</v>
      </c>
      <c r="L113" s="235" t="s">
        <v>330</v>
      </c>
      <c r="M113" s="223" t="s">
        <v>608</v>
      </c>
      <c r="N113" s="235" t="s">
        <v>342</v>
      </c>
      <c r="P113" s="351"/>
    </row>
    <row r="114" spans="1:16" s="223" customFormat="1" ht="13.8" x14ac:dyDescent="0.25">
      <c r="A114" s="234">
        <v>45117</v>
      </c>
      <c r="B114" s="223" t="s">
        <v>386</v>
      </c>
      <c r="C114" s="235" t="s">
        <v>230</v>
      </c>
      <c r="D114" s="223" t="s">
        <v>154</v>
      </c>
      <c r="F114" s="278">
        <v>50000</v>
      </c>
      <c r="G114" s="215">
        <f t="shared" si="1"/>
        <v>20425940</v>
      </c>
      <c r="H114" s="223" t="s">
        <v>25</v>
      </c>
      <c r="I114" s="235" t="s">
        <v>368</v>
      </c>
      <c r="J114" s="223" t="s">
        <v>288</v>
      </c>
      <c r="K114" s="235" t="s">
        <v>198</v>
      </c>
      <c r="L114" s="235" t="s">
        <v>330</v>
      </c>
      <c r="N114" s="235"/>
      <c r="P114" s="351"/>
    </row>
    <row r="115" spans="1:16" s="223" customFormat="1" ht="13.8" x14ac:dyDescent="0.25">
      <c r="A115" s="234">
        <v>45117</v>
      </c>
      <c r="B115" s="300" t="s">
        <v>387</v>
      </c>
      <c r="C115" s="235" t="s">
        <v>230</v>
      </c>
      <c r="D115" s="223" t="s">
        <v>306</v>
      </c>
      <c r="E115" s="302"/>
      <c r="F115" s="302">
        <v>50000</v>
      </c>
      <c r="G115" s="215">
        <f t="shared" si="1"/>
        <v>20375940</v>
      </c>
      <c r="H115" s="300" t="s">
        <v>25</v>
      </c>
      <c r="I115" s="235" t="s">
        <v>368</v>
      </c>
      <c r="J115" s="223" t="s">
        <v>288</v>
      </c>
      <c r="K115" s="235" t="s">
        <v>198</v>
      </c>
      <c r="L115" s="235" t="s">
        <v>330</v>
      </c>
      <c r="M115" s="300"/>
      <c r="N115" s="300"/>
      <c r="O115" s="190"/>
      <c r="P115" s="351"/>
    </row>
    <row r="116" spans="1:16" s="223" customFormat="1" ht="13.8" x14ac:dyDescent="0.25">
      <c r="A116" s="234">
        <v>45117</v>
      </c>
      <c r="B116" s="235" t="s">
        <v>467</v>
      </c>
      <c r="C116" s="235" t="s">
        <v>319</v>
      </c>
      <c r="D116" s="223" t="s">
        <v>4</v>
      </c>
      <c r="F116" s="275">
        <v>75000</v>
      </c>
      <c r="G116" s="215">
        <f t="shared" si="1"/>
        <v>20300940</v>
      </c>
      <c r="H116" s="223" t="s">
        <v>270</v>
      </c>
      <c r="I116" s="275" t="s">
        <v>304</v>
      </c>
      <c r="J116" s="223" t="s">
        <v>288</v>
      </c>
      <c r="K116" s="223" t="s">
        <v>199</v>
      </c>
      <c r="L116" s="223" t="s">
        <v>330</v>
      </c>
      <c r="M116" s="223" t="s">
        <v>609</v>
      </c>
      <c r="N116" s="223" t="s">
        <v>343</v>
      </c>
      <c r="O116" s="231"/>
      <c r="P116" s="351"/>
    </row>
    <row r="117" spans="1:16" s="223" customFormat="1" ht="13.8" x14ac:dyDescent="0.25">
      <c r="A117" s="246">
        <v>45117</v>
      </c>
      <c r="B117" s="215" t="s">
        <v>468</v>
      </c>
      <c r="C117" s="235" t="s">
        <v>34</v>
      </c>
      <c r="D117" s="223" t="s">
        <v>4</v>
      </c>
      <c r="E117" s="279"/>
      <c r="F117" s="275">
        <v>3000</v>
      </c>
      <c r="G117" s="215">
        <f t="shared" si="1"/>
        <v>20297940</v>
      </c>
      <c r="H117" s="223" t="s">
        <v>270</v>
      </c>
      <c r="I117" s="275" t="s">
        <v>304</v>
      </c>
      <c r="J117" s="223" t="s">
        <v>288</v>
      </c>
      <c r="K117" s="235" t="s">
        <v>199</v>
      </c>
      <c r="L117" s="235" t="s">
        <v>330</v>
      </c>
      <c r="M117" s="223" t="s">
        <v>610</v>
      </c>
      <c r="N117" s="235" t="s">
        <v>342</v>
      </c>
      <c r="P117" s="351"/>
    </row>
    <row r="118" spans="1:16" s="223" customFormat="1" ht="13.8" x14ac:dyDescent="0.25">
      <c r="A118" s="408">
        <v>45117</v>
      </c>
      <c r="B118" s="419" t="s">
        <v>509</v>
      </c>
      <c r="C118" s="389" t="s">
        <v>75</v>
      </c>
      <c r="D118" s="385"/>
      <c r="E118" s="420"/>
      <c r="F118" s="421">
        <v>65000</v>
      </c>
      <c r="G118" s="387">
        <f t="shared" si="1"/>
        <v>20232940</v>
      </c>
      <c r="H118" s="422" t="s">
        <v>301</v>
      </c>
      <c r="I118" s="388"/>
      <c r="J118" s="389"/>
      <c r="K118" s="390"/>
      <c r="L118" s="390"/>
      <c r="M118" s="385"/>
      <c r="N118" s="389"/>
      <c r="O118" s="385"/>
      <c r="P118" s="239"/>
    </row>
    <row r="119" spans="1:16" s="223" customFormat="1" ht="13.8" x14ac:dyDescent="0.25">
      <c r="A119" s="234">
        <v>45117</v>
      </c>
      <c r="B119" s="235" t="s">
        <v>549</v>
      </c>
      <c r="C119" s="235" t="s">
        <v>34</v>
      </c>
      <c r="D119" s="223" t="s">
        <v>4</v>
      </c>
      <c r="E119" s="235"/>
      <c r="F119" s="276">
        <v>3000</v>
      </c>
      <c r="G119" s="215">
        <f t="shared" si="1"/>
        <v>20229940</v>
      </c>
      <c r="H119" s="235" t="s">
        <v>29</v>
      </c>
      <c r="I119" s="275" t="s">
        <v>304</v>
      </c>
      <c r="J119" s="223" t="s">
        <v>288</v>
      </c>
      <c r="K119" s="235" t="s">
        <v>199</v>
      </c>
      <c r="L119" s="235" t="s">
        <v>330</v>
      </c>
      <c r="M119" s="223" t="s">
        <v>611</v>
      </c>
      <c r="N119" s="235" t="s">
        <v>342</v>
      </c>
      <c r="O119" s="235"/>
      <c r="P119" s="351"/>
    </row>
    <row r="120" spans="1:16" s="223" customFormat="1" ht="13.8" x14ac:dyDescent="0.25">
      <c r="A120" s="237">
        <v>45117</v>
      </c>
      <c r="B120" s="235" t="s">
        <v>550</v>
      </c>
      <c r="C120" s="235" t="s">
        <v>307</v>
      </c>
      <c r="D120" s="223" t="s">
        <v>4</v>
      </c>
      <c r="F120" s="223">
        <v>30000</v>
      </c>
      <c r="G120" s="215">
        <f t="shared" si="1"/>
        <v>20199940</v>
      </c>
      <c r="H120" s="223" t="s">
        <v>29</v>
      </c>
      <c r="I120" s="275" t="s">
        <v>304</v>
      </c>
      <c r="J120" s="223" t="s">
        <v>288</v>
      </c>
      <c r="K120" s="223" t="s">
        <v>199</v>
      </c>
      <c r="L120" s="223" t="s">
        <v>330</v>
      </c>
      <c r="M120" s="223" t="s">
        <v>612</v>
      </c>
      <c r="N120" s="223" t="s">
        <v>343</v>
      </c>
      <c r="P120" s="351"/>
    </row>
    <row r="121" spans="1:16" s="223" customFormat="1" ht="13.8" x14ac:dyDescent="0.25">
      <c r="A121" s="234">
        <v>45118</v>
      </c>
      <c r="B121" s="300" t="s">
        <v>388</v>
      </c>
      <c r="C121" s="235" t="s">
        <v>230</v>
      </c>
      <c r="D121" s="223" t="s">
        <v>154</v>
      </c>
      <c r="E121" s="302"/>
      <c r="F121" s="302">
        <v>20000</v>
      </c>
      <c r="G121" s="215">
        <f t="shared" si="1"/>
        <v>20179940</v>
      </c>
      <c r="H121" s="300" t="s">
        <v>25</v>
      </c>
      <c r="I121" s="235" t="s">
        <v>368</v>
      </c>
      <c r="J121" s="223" t="s">
        <v>288</v>
      </c>
      <c r="K121" s="235" t="s">
        <v>198</v>
      </c>
      <c r="L121" s="235" t="s">
        <v>330</v>
      </c>
      <c r="M121" s="300"/>
      <c r="N121" s="300"/>
      <c r="O121" s="190"/>
      <c r="P121" s="351"/>
    </row>
    <row r="122" spans="1:16" s="223" customFormat="1" ht="13.8" x14ac:dyDescent="0.25">
      <c r="A122" s="241">
        <v>45118</v>
      </c>
      <c r="B122" s="223" t="s">
        <v>389</v>
      </c>
      <c r="C122" s="235" t="s">
        <v>230</v>
      </c>
      <c r="D122" s="223" t="s">
        <v>306</v>
      </c>
      <c r="E122" s="215"/>
      <c r="F122" s="274">
        <v>30000</v>
      </c>
      <c r="G122" s="215">
        <f t="shared" si="1"/>
        <v>20149940</v>
      </c>
      <c r="H122" s="223" t="s">
        <v>25</v>
      </c>
      <c r="I122" s="235" t="s">
        <v>368</v>
      </c>
      <c r="J122" s="223" t="s">
        <v>288</v>
      </c>
      <c r="K122" s="235" t="s">
        <v>198</v>
      </c>
      <c r="L122" s="235" t="s">
        <v>330</v>
      </c>
      <c r="N122" s="235"/>
      <c r="P122" s="351"/>
    </row>
    <row r="123" spans="1:16" s="223" customFormat="1" ht="13.8" x14ac:dyDescent="0.25">
      <c r="A123" s="344">
        <v>45118</v>
      </c>
      <c r="B123" s="315" t="s">
        <v>301</v>
      </c>
      <c r="C123" s="314" t="s">
        <v>75</v>
      </c>
      <c r="D123" s="315"/>
      <c r="E123" s="316"/>
      <c r="F123" s="423">
        <v>104000</v>
      </c>
      <c r="G123" s="316">
        <f t="shared" si="1"/>
        <v>20045940</v>
      </c>
      <c r="H123" s="315" t="s">
        <v>25</v>
      </c>
      <c r="I123" s="337"/>
      <c r="J123" s="315"/>
      <c r="K123" s="314"/>
      <c r="L123" s="314"/>
      <c r="M123" s="315"/>
      <c r="N123" s="314"/>
      <c r="O123" s="315"/>
      <c r="P123" s="239"/>
    </row>
    <row r="124" spans="1:16" s="223" customFormat="1" ht="13.8" x14ac:dyDescent="0.25">
      <c r="A124" s="367">
        <v>45118</v>
      </c>
      <c r="B124" s="313" t="s">
        <v>390</v>
      </c>
      <c r="C124" s="313" t="s">
        <v>75</v>
      </c>
      <c r="D124" s="310"/>
      <c r="E124" s="310">
        <v>65000</v>
      </c>
      <c r="F124" s="374"/>
      <c r="G124" s="311">
        <f t="shared" si="1"/>
        <v>20110940</v>
      </c>
      <c r="H124" s="310" t="s">
        <v>25</v>
      </c>
      <c r="I124" s="363"/>
      <c r="J124" s="310"/>
      <c r="K124" s="370"/>
      <c r="L124" s="310"/>
      <c r="M124" s="310"/>
      <c r="N124" s="313"/>
      <c r="O124" s="313"/>
      <c r="P124" s="239"/>
    </row>
    <row r="125" spans="1:16" s="223" customFormat="1" ht="17.25" customHeight="1" x14ac:dyDescent="0.25">
      <c r="A125" s="237">
        <v>45118</v>
      </c>
      <c r="B125" s="223" t="s">
        <v>391</v>
      </c>
      <c r="C125" s="223" t="s">
        <v>432</v>
      </c>
      <c r="D125" s="223" t="s">
        <v>154</v>
      </c>
      <c r="E125" s="215"/>
      <c r="F125" s="215">
        <f>27000+111000</f>
        <v>138000</v>
      </c>
      <c r="G125" s="215">
        <f t="shared" si="1"/>
        <v>19972940</v>
      </c>
      <c r="H125" s="223" t="s">
        <v>25</v>
      </c>
      <c r="I125" s="275" t="s">
        <v>304</v>
      </c>
      <c r="J125" s="223" t="s">
        <v>288</v>
      </c>
      <c r="K125" s="223" t="s">
        <v>198</v>
      </c>
      <c r="L125" s="223" t="s">
        <v>330</v>
      </c>
      <c r="N125" s="235"/>
      <c r="O125" s="215"/>
      <c r="P125" s="351"/>
    </row>
    <row r="126" spans="1:16" s="223" customFormat="1" ht="17.25" customHeight="1" x14ac:dyDescent="0.25">
      <c r="A126" s="234">
        <v>45118</v>
      </c>
      <c r="B126" s="223" t="s">
        <v>431</v>
      </c>
      <c r="C126" s="223" t="s">
        <v>432</v>
      </c>
      <c r="D126" s="223" t="s">
        <v>154</v>
      </c>
      <c r="F126" s="223">
        <v>150000</v>
      </c>
      <c r="G126" s="215">
        <f t="shared" si="1"/>
        <v>19822940</v>
      </c>
      <c r="H126" s="235" t="s">
        <v>24</v>
      </c>
      <c r="I126" s="221">
        <v>3654556</v>
      </c>
      <c r="J126" s="223" t="s">
        <v>288</v>
      </c>
      <c r="K126" s="223" t="s">
        <v>198</v>
      </c>
      <c r="L126" s="223" t="s">
        <v>330</v>
      </c>
      <c r="N126" s="235"/>
      <c r="P126" s="351"/>
    </row>
    <row r="127" spans="1:16" s="223" customFormat="1" ht="17.25" customHeight="1" x14ac:dyDescent="0.25">
      <c r="A127" s="234">
        <v>45118</v>
      </c>
      <c r="B127" s="223" t="s">
        <v>443</v>
      </c>
      <c r="C127" s="334" t="s">
        <v>174</v>
      </c>
      <c r="D127" s="223" t="s">
        <v>300</v>
      </c>
      <c r="F127" s="223">
        <v>500000</v>
      </c>
      <c r="G127" s="215">
        <f t="shared" si="1"/>
        <v>19322940</v>
      </c>
      <c r="H127" s="300" t="s">
        <v>148</v>
      </c>
      <c r="I127" s="221">
        <v>3667362</v>
      </c>
      <c r="J127" s="223" t="s">
        <v>102</v>
      </c>
      <c r="K127" s="223" t="s">
        <v>199</v>
      </c>
      <c r="L127" s="223" t="s">
        <v>330</v>
      </c>
      <c r="M127" s="223" t="s">
        <v>613</v>
      </c>
      <c r="N127" s="235" t="s">
        <v>561</v>
      </c>
      <c r="P127" s="351"/>
    </row>
    <row r="128" spans="1:16" s="223" customFormat="1" ht="17.25" customHeight="1" x14ac:dyDescent="0.25">
      <c r="A128" s="408">
        <v>45118</v>
      </c>
      <c r="B128" s="385" t="s">
        <v>310</v>
      </c>
      <c r="C128" s="389" t="s">
        <v>75</v>
      </c>
      <c r="D128" s="414"/>
      <c r="E128" s="385">
        <v>104000</v>
      </c>
      <c r="F128" s="420"/>
      <c r="G128" s="387">
        <f t="shared" si="1"/>
        <v>19426940</v>
      </c>
      <c r="H128" s="385" t="s">
        <v>301</v>
      </c>
      <c r="I128" s="388"/>
      <c r="J128" s="389"/>
      <c r="K128" s="389"/>
      <c r="L128" s="389"/>
      <c r="M128" s="385"/>
      <c r="N128" s="389"/>
      <c r="O128" s="385"/>
      <c r="P128" s="239"/>
    </row>
    <row r="129" spans="1:16" s="223" customFormat="1" ht="17.25" customHeight="1" x14ac:dyDescent="0.25">
      <c r="A129" s="234">
        <v>45118</v>
      </c>
      <c r="B129" s="223" t="s">
        <v>510</v>
      </c>
      <c r="C129" s="235" t="s">
        <v>34</v>
      </c>
      <c r="D129" s="223" t="s">
        <v>154</v>
      </c>
      <c r="E129" s="215"/>
      <c r="F129" s="215">
        <v>15000</v>
      </c>
      <c r="G129" s="215">
        <f t="shared" si="1"/>
        <v>19411940</v>
      </c>
      <c r="H129" s="223" t="s">
        <v>301</v>
      </c>
      <c r="I129" s="275" t="s">
        <v>304</v>
      </c>
      <c r="J129" s="223" t="s">
        <v>288</v>
      </c>
      <c r="K129" s="235" t="s">
        <v>199</v>
      </c>
      <c r="L129" s="235" t="s">
        <v>330</v>
      </c>
      <c r="M129" s="223" t="s">
        <v>614</v>
      </c>
      <c r="N129" s="235" t="s">
        <v>342</v>
      </c>
      <c r="P129" s="351"/>
    </row>
    <row r="130" spans="1:16" s="223" customFormat="1" ht="17.25" customHeight="1" x14ac:dyDescent="0.25">
      <c r="A130" s="234">
        <v>45118</v>
      </c>
      <c r="B130" s="223" t="s">
        <v>551</v>
      </c>
      <c r="C130" s="235" t="s">
        <v>34</v>
      </c>
      <c r="D130" s="223" t="s">
        <v>4</v>
      </c>
      <c r="F130" s="223">
        <v>5000</v>
      </c>
      <c r="G130" s="215">
        <f t="shared" si="1"/>
        <v>19406940</v>
      </c>
      <c r="H130" s="223" t="s">
        <v>29</v>
      </c>
      <c r="I130" s="275" t="s">
        <v>304</v>
      </c>
      <c r="J130" s="223" t="s">
        <v>288</v>
      </c>
      <c r="K130" s="235" t="s">
        <v>199</v>
      </c>
      <c r="L130" s="235" t="s">
        <v>330</v>
      </c>
      <c r="M130" s="223" t="s">
        <v>615</v>
      </c>
      <c r="N130" s="235" t="s">
        <v>342</v>
      </c>
      <c r="P130" s="351"/>
    </row>
    <row r="131" spans="1:16" s="223" customFormat="1" ht="17.25" customHeight="1" x14ac:dyDescent="0.25">
      <c r="A131" s="234">
        <v>45119</v>
      </c>
      <c r="B131" s="223" t="s">
        <v>392</v>
      </c>
      <c r="C131" s="235" t="s">
        <v>239</v>
      </c>
      <c r="D131" s="223" t="s">
        <v>300</v>
      </c>
      <c r="F131" s="275">
        <v>25000</v>
      </c>
      <c r="G131" s="215">
        <f t="shared" si="1"/>
        <v>19381940</v>
      </c>
      <c r="H131" s="235" t="s">
        <v>25</v>
      </c>
      <c r="I131" s="275" t="s">
        <v>304</v>
      </c>
      <c r="J131" s="223" t="s">
        <v>288</v>
      </c>
      <c r="K131" s="240" t="s">
        <v>198</v>
      </c>
      <c r="L131" s="223" t="s">
        <v>330</v>
      </c>
      <c r="N131" s="235"/>
      <c r="O131" s="235"/>
      <c r="P131" s="351"/>
    </row>
    <row r="132" spans="1:16" s="223" customFormat="1" ht="17.25" customHeight="1" x14ac:dyDescent="0.25">
      <c r="A132" s="246">
        <v>45119</v>
      </c>
      <c r="B132" s="223" t="s">
        <v>559</v>
      </c>
      <c r="C132" s="235" t="s">
        <v>239</v>
      </c>
      <c r="D132" s="223" t="s">
        <v>300</v>
      </c>
      <c r="F132" s="275">
        <v>18000</v>
      </c>
      <c r="G132" s="215">
        <f t="shared" si="1"/>
        <v>19363940</v>
      </c>
      <c r="H132" s="240" t="s">
        <v>25</v>
      </c>
      <c r="I132" s="275" t="s">
        <v>304</v>
      </c>
      <c r="J132" s="223" t="s">
        <v>102</v>
      </c>
      <c r="K132" s="235" t="s">
        <v>199</v>
      </c>
      <c r="L132" s="235" t="s">
        <v>330</v>
      </c>
      <c r="M132" s="223" t="s">
        <v>616</v>
      </c>
      <c r="N132" s="235" t="s">
        <v>334</v>
      </c>
      <c r="O132" s="235"/>
      <c r="P132" s="351"/>
    </row>
    <row r="133" spans="1:16" s="223" customFormat="1" ht="17.25" customHeight="1" x14ac:dyDescent="0.25">
      <c r="A133" s="234">
        <v>45119</v>
      </c>
      <c r="B133" s="223" t="s">
        <v>385</v>
      </c>
      <c r="C133" s="235" t="s">
        <v>230</v>
      </c>
      <c r="D133" s="223" t="s">
        <v>155</v>
      </c>
      <c r="E133" s="215"/>
      <c r="F133" s="243">
        <v>48000</v>
      </c>
      <c r="G133" s="215">
        <f t="shared" si="1"/>
        <v>19315940</v>
      </c>
      <c r="H133" s="223" t="s">
        <v>25</v>
      </c>
      <c r="I133" s="235" t="s">
        <v>368</v>
      </c>
      <c r="J133" s="223" t="s">
        <v>288</v>
      </c>
      <c r="K133" s="235" t="s">
        <v>198</v>
      </c>
      <c r="L133" s="235" t="s">
        <v>330</v>
      </c>
      <c r="N133" s="235"/>
      <c r="P133" s="351"/>
    </row>
    <row r="134" spans="1:16" s="223" customFormat="1" ht="17.25" customHeight="1" x14ac:dyDescent="0.25">
      <c r="A134" s="234">
        <v>45119</v>
      </c>
      <c r="B134" s="235" t="s">
        <v>469</v>
      </c>
      <c r="C134" s="235" t="s">
        <v>34</v>
      </c>
      <c r="D134" s="223" t="s">
        <v>4</v>
      </c>
      <c r="E134" s="235"/>
      <c r="F134" s="235">
        <v>8000</v>
      </c>
      <c r="G134" s="215">
        <f t="shared" si="1"/>
        <v>19307940</v>
      </c>
      <c r="H134" s="235" t="s">
        <v>270</v>
      </c>
      <c r="I134" s="275" t="s">
        <v>304</v>
      </c>
      <c r="J134" s="223" t="s">
        <v>288</v>
      </c>
      <c r="K134" s="235" t="s">
        <v>199</v>
      </c>
      <c r="L134" s="235" t="s">
        <v>330</v>
      </c>
      <c r="M134" s="223" t="s">
        <v>617</v>
      </c>
      <c r="N134" s="235" t="s">
        <v>342</v>
      </c>
      <c r="O134" s="235"/>
      <c r="P134" s="351"/>
    </row>
    <row r="135" spans="1:16" s="223" customFormat="1" ht="17.25" customHeight="1" x14ac:dyDescent="0.25">
      <c r="A135" s="246">
        <v>45119</v>
      </c>
      <c r="B135" s="223" t="s">
        <v>470</v>
      </c>
      <c r="C135" s="235" t="s">
        <v>319</v>
      </c>
      <c r="D135" s="223" t="s">
        <v>4</v>
      </c>
      <c r="F135" s="235">
        <v>30000</v>
      </c>
      <c r="G135" s="215">
        <f t="shared" si="1"/>
        <v>19277940</v>
      </c>
      <c r="H135" s="223" t="s">
        <v>270</v>
      </c>
      <c r="I135" s="275" t="s">
        <v>304</v>
      </c>
      <c r="J135" s="223" t="s">
        <v>288</v>
      </c>
      <c r="K135" s="223" t="s">
        <v>199</v>
      </c>
      <c r="L135" s="223" t="s">
        <v>330</v>
      </c>
      <c r="M135" s="223" t="s">
        <v>618</v>
      </c>
      <c r="N135" s="223" t="s">
        <v>343</v>
      </c>
      <c r="P135" s="351"/>
    </row>
    <row r="136" spans="1:16" s="223" customFormat="1" ht="17.25" customHeight="1" x14ac:dyDescent="0.25">
      <c r="A136" s="246">
        <v>45119</v>
      </c>
      <c r="B136" s="230" t="s">
        <v>495</v>
      </c>
      <c r="C136" s="235" t="s">
        <v>319</v>
      </c>
      <c r="D136" s="223" t="s">
        <v>4</v>
      </c>
      <c r="E136" s="280"/>
      <c r="F136" s="247">
        <v>45000</v>
      </c>
      <c r="G136" s="215">
        <f t="shared" si="1"/>
        <v>19232940</v>
      </c>
      <c r="H136" s="223" t="s">
        <v>269</v>
      </c>
      <c r="I136" s="275" t="s">
        <v>304</v>
      </c>
      <c r="J136" s="223" t="s">
        <v>288</v>
      </c>
      <c r="K136" s="223" t="s">
        <v>198</v>
      </c>
      <c r="L136" s="223" t="s">
        <v>330</v>
      </c>
      <c r="P136" s="351"/>
    </row>
    <row r="137" spans="1:16" s="223" customFormat="1" ht="17.25" customHeight="1" x14ac:dyDescent="0.25">
      <c r="A137" s="234">
        <v>45119</v>
      </c>
      <c r="B137" s="230" t="s">
        <v>681</v>
      </c>
      <c r="C137" s="235" t="s">
        <v>34</v>
      </c>
      <c r="D137" s="223" t="s">
        <v>4</v>
      </c>
      <c r="E137" s="244"/>
      <c r="F137" s="223">
        <v>15000</v>
      </c>
      <c r="G137" s="215">
        <f t="shared" si="1"/>
        <v>19217940</v>
      </c>
      <c r="H137" s="157" t="s">
        <v>269</v>
      </c>
      <c r="I137" s="275" t="s">
        <v>304</v>
      </c>
      <c r="J137" s="223" t="s">
        <v>288</v>
      </c>
      <c r="K137" s="235" t="s">
        <v>199</v>
      </c>
      <c r="L137" s="235" t="s">
        <v>330</v>
      </c>
      <c r="M137" s="223" t="s">
        <v>619</v>
      </c>
      <c r="N137" s="235" t="s">
        <v>342</v>
      </c>
      <c r="P137" s="351"/>
    </row>
    <row r="138" spans="1:16" s="223" customFormat="1" ht="17.25" customHeight="1" x14ac:dyDescent="0.25">
      <c r="A138" s="234">
        <v>45119</v>
      </c>
      <c r="B138" s="223" t="s">
        <v>511</v>
      </c>
      <c r="C138" s="235" t="s">
        <v>307</v>
      </c>
      <c r="D138" s="223" t="s">
        <v>154</v>
      </c>
      <c r="E138" s="215"/>
      <c r="F138" s="215">
        <v>30000</v>
      </c>
      <c r="G138" s="215">
        <f t="shared" si="1"/>
        <v>19187940</v>
      </c>
      <c r="H138" s="240" t="s">
        <v>301</v>
      </c>
      <c r="I138" s="275" t="s">
        <v>304</v>
      </c>
      <c r="J138" s="223" t="s">
        <v>288</v>
      </c>
      <c r="K138" s="223" t="s">
        <v>199</v>
      </c>
      <c r="L138" s="223" t="s">
        <v>330</v>
      </c>
      <c r="M138" s="223" t="s">
        <v>620</v>
      </c>
      <c r="N138" s="223" t="s">
        <v>343</v>
      </c>
      <c r="P138" s="351"/>
    </row>
    <row r="139" spans="1:16" s="223" customFormat="1" ht="13.8" x14ac:dyDescent="0.25">
      <c r="A139" s="237">
        <v>45119</v>
      </c>
      <c r="B139" s="276" t="s">
        <v>552</v>
      </c>
      <c r="C139" s="235" t="s">
        <v>307</v>
      </c>
      <c r="D139" s="223" t="s">
        <v>4</v>
      </c>
      <c r="F139" s="235">
        <v>30000</v>
      </c>
      <c r="G139" s="215">
        <f t="shared" si="1"/>
        <v>19157940</v>
      </c>
      <c r="H139" s="157" t="s">
        <v>29</v>
      </c>
      <c r="I139" s="275" t="s">
        <v>304</v>
      </c>
      <c r="J139" s="223" t="s">
        <v>288</v>
      </c>
      <c r="K139" s="223" t="s">
        <v>199</v>
      </c>
      <c r="L139" s="223" t="s">
        <v>330</v>
      </c>
      <c r="M139" s="223" t="s">
        <v>621</v>
      </c>
      <c r="N139" s="223" t="s">
        <v>343</v>
      </c>
      <c r="O139" s="235"/>
      <c r="P139" s="351"/>
    </row>
    <row r="140" spans="1:16" s="223" customFormat="1" ht="13.8" x14ac:dyDescent="0.25">
      <c r="A140" s="408">
        <v>45120</v>
      </c>
      <c r="B140" s="385" t="s">
        <v>302</v>
      </c>
      <c r="C140" s="389" t="s">
        <v>75</v>
      </c>
      <c r="D140" s="385"/>
      <c r="E140" s="385"/>
      <c r="F140" s="424">
        <v>15000</v>
      </c>
      <c r="G140" s="387">
        <f t="shared" si="1"/>
        <v>19142940</v>
      </c>
      <c r="H140" s="385" t="s">
        <v>25</v>
      </c>
      <c r="I140" s="388"/>
      <c r="J140" s="385"/>
      <c r="K140" s="389"/>
      <c r="L140" s="389"/>
      <c r="M140" s="385"/>
      <c r="N140" s="389"/>
      <c r="O140" s="385"/>
      <c r="P140" s="239"/>
    </row>
    <row r="141" spans="1:16" s="223" customFormat="1" ht="13.8" x14ac:dyDescent="0.25">
      <c r="A141" s="237">
        <v>45120</v>
      </c>
      <c r="B141" s="235" t="s">
        <v>393</v>
      </c>
      <c r="C141" s="235" t="s">
        <v>394</v>
      </c>
      <c r="D141" s="223" t="s">
        <v>300</v>
      </c>
      <c r="E141" s="235"/>
      <c r="F141" s="275">
        <v>22000</v>
      </c>
      <c r="G141" s="215">
        <f t="shared" si="1"/>
        <v>19120940</v>
      </c>
      <c r="H141" s="235" t="s">
        <v>25</v>
      </c>
      <c r="I141" s="275" t="s">
        <v>304</v>
      </c>
      <c r="J141" s="223" t="s">
        <v>288</v>
      </c>
      <c r="K141" s="235" t="s">
        <v>198</v>
      </c>
      <c r="L141" s="235" t="s">
        <v>330</v>
      </c>
      <c r="N141" s="235"/>
      <c r="O141" s="235"/>
      <c r="P141" s="351"/>
    </row>
    <row r="142" spans="1:16" s="223" customFormat="1" ht="13.8" x14ac:dyDescent="0.25">
      <c r="A142" s="399">
        <v>45120</v>
      </c>
      <c r="B142" s="315" t="s">
        <v>327</v>
      </c>
      <c r="C142" s="314" t="s">
        <v>75</v>
      </c>
      <c r="D142" s="315"/>
      <c r="E142" s="315">
        <v>15000</v>
      </c>
      <c r="F142" s="314"/>
      <c r="G142" s="316">
        <f t="shared" ref="G142:G207" si="2">+G141+E142-F142</f>
        <v>19135940</v>
      </c>
      <c r="H142" s="315" t="s">
        <v>302</v>
      </c>
      <c r="I142" s="337"/>
      <c r="J142" s="314"/>
      <c r="K142" s="314"/>
      <c r="L142" s="314"/>
      <c r="M142" s="315"/>
      <c r="N142" s="314"/>
      <c r="O142" s="315"/>
      <c r="P142" s="239"/>
    </row>
    <row r="143" spans="1:16" s="223" customFormat="1" ht="13.8" x14ac:dyDescent="0.25">
      <c r="A143" s="340">
        <v>45121</v>
      </c>
      <c r="B143" s="362" t="s">
        <v>301</v>
      </c>
      <c r="C143" s="313" t="s">
        <v>75</v>
      </c>
      <c r="D143" s="310"/>
      <c r="E143" s="369"/>
      <c r="F143" s="368">
        <v>29000</v>
      </c>
      <c r="G143" s="311">
        <f t="shared" si="2"/>
        <v>19106940</v>
      </c>
      <c r="H143" s="370" t="s">
        <v>25</v>
      </c>
      <c r="I143" s="363"/>
      <c r="J143" s="310"/>
      <c r="K143" s="370"/>
      <c r="L143" s="310"/>
      <c r="M143" s="343"/>
      <c r="N143" s="310"/>
      <c r="O143" s="310"/>
      <c r="P143" s="239"/>
    </row>
    <row r="144" spans="1:16" s="223" customFormat="1" ht="13.8" x14ac:dyDescent="0.25">
      <c r="A144" s="234">
        <v>45121</v>
      </c>
      <c r="B144" s="242" t="s">
        <v>371</v>
      </c>
      <c r="C144" s="235" t="s">
        <v>213</v>
      </c>
      <c r="D144" s="223" t="s">
        <v>300</v>
      </c>
      <c r="F144" s="215">
        <v>1680</v>
      </c>
      <c r="G144" s="215">
        <f t="shared" si="2"/>
        <v>19105260</v>
      </c>
      <c r="H144" s="244" t="s">
        <v>25</v>
      </c>
      <c r="I144" s="275" t="s">
        <v>304</v>
      </c>
      <c r="J144" s="235" t="s">
        <v>102</v>
      </c>
      <c r="K144" s="223" t="s">
        <v>199</v>
      </c>
      <c r="L144" s="223" t="s">
        <v>330</v>
      </c>
      <c r="M144" s="223" t="s">
        <v>622</v>
      </c>
      <c r="N144" s="223" t="s">
        <v>331</v>
      </c>
      <c r="P144" s="351"/>
    </row>
    <row r="145" spans="1:18" s="223" customFormat="1" ht="13.8" x14ac:dyDescent="0.25">
      <c r="A145" s="234">
        <v>45121</v>
      </c>
      <c r="B145" s="223" t="s">
        <v>395</v>
      </c>
      <c r="C145" s="235" t="s">
        <v>239</v>
      </c>
      <c r="D145" s="223" t="s">
        <v>300</v>
      </c>
      <c r="F145" s="278">
        <v>125000</v>
      </c>
      <c r="G145" s="215">
        <f t="shared" si="2"/>
        <v>18980260</v>
      </c>
      <c r="H145" s="223" t="s">
        <v>25</v>
      </c>
      <c r="I145" s="275" t="s">
        <v>304</v>
      </c>
      <c r="J145" s="223" t="s">
        <v>102</v>
      </c>
      <c r="K145" s="235" t="s">
        <v>199</v>
      </c>
      <c r="L145" s="235" t="s">
        <v>330</v>
      </c>
      <c r="M145" s="223" t="s">
        <v>623</v>
      </c>
      <c r="N145" s="235" t="s">
        <v>334</v>
      </c>
      <c r="P145" s="351"/>
    </row>
    <row r="146" spans="1:18" s="223" customFormat="1" ht="13.8" x14ac:dyDescent="0.25">
      <c r="A146" s="384">
        <v>45121</v>
      </c>
      <c r="B146" s="385" t="s">
        <v>310</v>
      </c>
      <c r="C146" s="389" t="s">
        <v>75</v>
      </c>
      <c r="D146" s="389"/>
      <c r="E146" s="387">
        <v>29000</v>
      </c>
      <c r="F146" s="387"/>
      <c r="G146" s="387">
        <f t="shared" si="2"/>
        <v>19009260</v>
      </c>
      <c r="H146" s="385" t="s">
        <v>301</v>
      </c>
      <c r="I146" s="388"/>
      <c r="J146" s="389"/>
      <c r="K146" s="389"/>
      <c r="L146" s="389"/>
      <c r="M146" s="385"/>
      <c r="N146" s="389"/>
      <c r="O146" s="385"/>
      <c r="P146" s="253"/>
      <c r="Q146" s="235"/>
      <c r="R146" s="235"/>
    </row>
    <row r="147" spans="1:18" s="223" customFormat="1" ht="13.8" x14ac:dyDescent="0.25">
      <c r="A147" s="234">
        <v>45121</v>
      </c>
      <c r="B147" s="223" t="s">
        <v>508</v>
      </c>
      <c r="C147" s="215" t="s">
        <v>34</v>
      </c>
      <c r="D147" s="223" t="s">
        <v>154</v>
      </c>
      <c r="E147" s="215"/>
      <c r="F147" s="215">
        <v>15000</v>
      </c>
      <c r="G147" s="215">
        <f t="shared" si="2"/>
        <v>18994260</v>
      </c>
      <c r="H147" s="235" t="s">
        <v>301</v>
      </c>
      <c r="I147" s="275" t="s">
        <v>304</v>
      </c>
      <c r="J147" s="223" t="s">
        <v>288</v>
      </c>
      <c r="K147" s="235" t="s">
        <v>199</v>
      </c>
      <c r="L147" s="235" t="s">
        <v>330</v>
      </c>
      <c r="M147" s="223" t="s">
        <v>624</v>
      </c>
      <c r="N147" s="235" t="s">
        <v>342</v>
      </c>
      <c r="P147" s="355"/>
      <c r="Q147" s="235"/>
      <c r="R147" s="235"/>
    </row>
    <row r="148" spans="1:18" s="223" customFormat="1" ht="13.8" x14ac:dyDescent="0.25">
      <c r="A148" s="234">
        <v>45122</v>
      </c>
      <c r="B148" s="300" t="s">
        <v>512</v>
      </c>
      <c r="C148" s="301" t="s">
        <v>307</v>
      </c>
      <c r="D148" s="223" t="s">
        <v>154</v>
      </c>
      <c r="E148" s="302"/>
      <c r="F148" s="302">
        <v>45000</v>
      </c>
      <c r="G148" s="215">
        <f t="shared" si="2"/>
        <v>18949260</v>
      </c>
      <c r="H148" s="300" t="s">
        <v>301</v>
      </c>
      <c r="I148" s="275" t="s">
        <v>304</v>
      </c>
      <c r="J148" s="223" t="s">
        <v>288</v>
      </c>
      <c r="K148" s="223" t="s">
        <v>199</v>
      </c>
      <c r="L148" s="223" t="s">
        <v>330</v>
      </c>
      <c r="M148" s="223" t="s">
        <v>625</v>
      </c>
      <c r="N148" s="223" t="s">
        <v>343</v>
      </c>
      <c r="O148" s="190"/>
      <c r="P148" s="355"/>
      <c r="Q148" s="235"/>
      <c r="R148" s="235"/>
    </row>
    <row r="149" spans="1:18" s="223" customFormat="1" ht="13.8" x14ac:dyDescent="0.25">
      <c r="A149" s="396">
        <v>45124</v>
      </c>
      <c r="B149" s="315" t="s">
        <v>396</v>
      </c>
      <c r="C149" s="314" t="s">
        <v>75</v>
      </c>
      <c r="D149" s="315"/>
      <c r="E149" s="316">
        <v>2000000</v>
      </c>
      <c r="F149" s="316"/>
      <c r="G149" s="316">
        <f t="shared" si="2"/>
        <v>20949260</v>
      </c>
      <c r="H149" s="315" t="s">
        <v>25</v>
      </c>
      <c r="I149" s="337"/>
      <c r="J149" s="314"/>
      <c r="K149" s="314"/>
      <c r="L149" s="314"/>
      <c r="M149" s="315"/>
      <c r="N149" s="314"/>
      <c r="O149" s="315"/>
      <c r="P149" s="253"/>
      <c r="Q149" s="235"/>
      <c r="R149" s="235"/>
    </row>
    <row r="150" spans="1:18" s="305" customFormat="1" ht="17.25" customHeight="1" x14ac:dyDescent="0.25">
      <c r="A150" s="237">
        <v>45124</v>
      </c>
      <c r="B150" s="235" t="s">
        <v>29</v>
      </c>
      <c r="C150" s="235" t="s">
        <v>75</v>
      </c>
      <c r="D150" s="223"/>
      <c r="E150" s="235"/>
      <c r="F150" s="235">
        <v>100000</v>
      </c>
      <c r="G150" s="215">
        <f t="shared" si="2"/>
        <v>20849260</v>
      </c>
      <c r="H150" s="235" t="s">
        <v>25</v>
      </c>
      <c r="I150" s="275"/>
      <c r="J150" s="339"/>
      <c r="K150" s="345"/>
      <c r="L150" s="345"/>
      <c r="M150" s="238"/>
      <c r="N150" s="235"/>
      <c r="O150" s="298"/>
    </row>
    <row r="151" spans="1:18" s="223" customFormat="1" ht="13.8" x14ac:dyDescent="0.25">
      <c r="A151" s="340">
        <v>45124</v>
      </c>
      <c r="B151" s="362" t="s">
        <v>269</v>
      </c>
      <c r="C151" s="313" t="s">
        <v>75</v>
      </c>
      <c r="D151" s="310"/>
      <c r="E151" s="310"/>
      <c r="F151" s="311">
        <v>100000</v>
      </c>
      <c r="G151" s="311">
        <f t="shared" si="2"/>
        <v>20749260</v>
      </c>
      <c r="H151" s="369" t="s">
        <v>25</v>
      </c>
      <c r="I151" s="363"/>
      <c r="J151" s="313"/>
      <c r="K151" s="365"/>
      <c r="L151" s="365"/>
      <c r="M151" s="310"/>
      <c r="N151" s="313"/>
      <c r="O151" s="310"/>
      <c r="P151" s="253"/>
      <c r="Q151" s="235"/>
      <c r="R151" s="235"/>
    </row>
    <row r="152" spans="1:18" s="223" customFormat="1" ht="13.8" x14ac:dyDescent="0.25">
      <c r="A152" s="234">
        <v>45124</v>
      </c>
      <c r="B152" s="223" t="s">
        <v>397</v>
      </c>
      <c r="C152" s="235" t="s">
        <v>558</v>
      </c>
      <c r="D152" s="223" t="s">
        <v>300</v>
      </c>
      <c r="E152" s="215"/>
      <c r="F152" s="215">
        <v>125000</v>
      </c>
      <c r="G152" s="215">
        <f t="shared" si="2"/>
        <v>20624260</v>
      </c>
      <c r="H152" s="223" t="s">
        <v>25</v>
      </c>
      <c r="I152" s="275" t="s">
        <v>304</v>
      </c>
      <c r="J152" s="235" t="s">
        <v>288</v>
      </c>
      <c r="K152" s="235" t="s">
        <v>198</v>
      </c>
      <c r="L152" s="235" t="s">
        <v>330</v>
      </c>
      <c r="N152" s="235"/>
      <c r="P152" s="355"/>
      <c r="Q152" s="235"/>
      <c r="R152" s="235"/>
    </row>
    <row r="153" spans="1:18" s="223" customFormat="1" ht="13.8" x14ac:dyDescent="0.25">
      <c r="A153" s="234">
        <v>45124</v>
      </c>
      <c r="B153" s="300" t="s">
        <v>398</v>
      </c>
      <c r="C153" s="301" t="s">
        <v>3</v>
      </c>
      <c r="D153" s="223" t="s">
        <v>300</v>
      </c>
      <c r="E153" s="302"/>
      <c r="F153" s="302">
        <v>15000</v>
      </c>
      <c r="G153" s="215">
        <f t="shared" si="2"/>
        <v>20609260</v>
      </c>
      <c r="H153" s="300" t="s">
        <v>25</v>
      </c>
      <c r="I153" s="275" t="s">
        <v>304</v>
      </c>
      <c r="J153" s="223" t="s">
        <v>288</v>
      </c>
      <c r="K153" s="223" t="s">
        <v>198</v>
      </c>
      <c r="L153" s="223" t="s">
        <v>330</v>
      </c>
      <c r="M153" s="300"/>
      <c r="N153" s="300"/>
      <c r="O153" s="190"/>
      <c r="P153" s="355"/>
      <c r="Q153" s="235"/>
      <c r="R153" s="235"/>
    </row>
    <row r="154" spans="1:18" s="223" customFormat="1" ht="13.8" x14ac:dyDescent="0.25">
      <c r="A154" s="234">
        <v>45124</v>
      </c>
      <c r="B154" s="349" t="s">
        <v>682</v>
      </c>
      <c r="C154" s="488" t="s">
        <v>685</v>
      </c>
      <c r="D154" s="349" t="s">
        <v>2</v>
      </c>
      <c r="E154" s="489"/>
      <c r="F154" s="490">
        <v>136000</v>
      </c>
      <c r="G154" s="215">
        <f>+G150+E154-F154</f>
        <v>20713260</v>
      </c>
      <c r="H154" s="223" t="s">
        <v>25</v>
      </c>
      <c r="I154" s="275" t="s">
        <v>304</v>
      </c>
      <c r="J154" s="235" t="s">
        <v>288</v>
      </c>
      <c r="K154" s="235" t="s">
        <v>198</v>
      </c>
      <c r="L154" s="235" t="s">
        <v>330</v>
      </c>
      <c r="N154" s="235"/>
      <c r="P154" s="355"/>
      <c r="Q154" s="235"/>
      <c r="R154" s="235"/>
    </row>
    <row r="155" spans="1:18" s="223" customFormat="1" ht="13.8" x14ac:dyDescent="0.25">
      <c r="A155" s="234">
        <v>45124</v>
      </c>
      <c r="B155" s="349" t="s">
        <v>684</v>
      </c>
      <c r="C155" s="488" t="s">
        <v>685</v>
      </c>
      <c r="D155" s="349" t="s">
        <v>4</v>
      </c>
      <c r="E155" s="489"/>
      <c r="F155" s="490">
        <v>272000</v>
      </c>
      <c r="G155" s="215">
        <f>+G151+E155-F155</f>
        <v>20477260</v>
      </c>
      <c r="H155" s="223" t="s">
        <v>25</v>
      </c>
      <c r="I155" s="275" t="s">
        <v>304</v>
      </c>
      <c r="J155" s="235" t="s">
        <v>288</v>
      </c>
      <c r="K155" s="235" t="s">
        <v>198</v>
      </c>
      <c r="L155" s="235" t="s">
        <v>330</v>
      </c>
      <c r="N155" s="235"/>
      <c r="P155" s="355"/>
      <c r="Q155" s="235"/>
      <c r="R155" s="235"/>
    </row>
    <row r="156" spans="1:18" s="223" customFormat="1" ht="13.8" x14ac:dyDescent="0.25">
      <c r="A156" s="234">
        <v>45124</v>
      </c>
      <c r="B156" s="349" t="s">
        <v>683</v>
      </c>
      <c r="C156" s="488" t="s">
        <v>685</v>
      </c>
      <c r="D156" s="349" t="s">
        <v>300</v>
      </c>
      <c r="E156" s="489"/>
      <c r="F156" s="490">
        <v>136000</v>
      </c>
      <c r="G156" s="215">
        <f>+G153+E156-F156</f>
        <v>20473260</v>
      </c>
      <c r="H156" s="223" t="s">
        <v>25</v>
      </c>
      <c r="I156" s="275" t="s">
        <v>304</v>
      </c>
      <c r="J156" s="235" t="s">
        <v>288</v>
      </c>
      <c r="K156" s="235" t="s">
        <v>198</v>
      </c>
      <c r="L156" s="235" t="s">
        <v>330</v>
      </c>
      <c r="N156" s="235"/>
      <c r="P156" s="355"/>
      <c r="Q156" s="235"/>
      <c r="R156" s="235"/>
    </row>
    <row r="157" spans="1:18" s="223" customFormat="1" ht="13.8" x14ac:dyDescent="0.25">
      <c r="A157" s="241">
        <v>45124</v>
      </c>
      <c r="B157" s="223" t="s">
        <v>399</v>
      </c>
      <c r="C157" s="235" t="s">
        <v>171</v>
      </c>
      <c r="D157" s="223" t="s">
        <v>2</v>
      </c>
      <c r="E157" s="215"/>
      <c r="F157" s="274">
        <v>20000</v>
      </c>
      <c r="G157" s="215">
        <f t="shared" si="2"/>
        <v>20453260</v>
      </c>
      <c r="H157" s="223" t="s">
        <v>25</v>
      </c>
      <c r="I157" s="275" t="s">
        <v>304</v>
      </c>
      <c r="J157" s="235" t="s">
        <v>102</v>
      </c>
      <c r="K157" s="235" t="s">
        <v>199</v>
      </c>
      <c r="L157" s="235" t="s">
        <v>330</v>
      </c>
      <c r="M157" s="223" t="s">
        <v>626</v>
      </c>
      <c r="N157" s="235" t="s">
        <v>341</v>
      </c>
      <c r="O157" s="231"/>
      <c r="P157" s="355"/>
      <c r="Q157" s="235"/>
      <c r="R157" s="235"/>
    </row>
    <row r="158" spans="1:18" s="223" customFormat="1" ht="13.8" x14ac:dyDescent="0.25">
      <c r="A158" s="234">
        <v>45124</v>
      </c>
      <c r="B158" s="215" t="s">
        <v>400</v>
      </c>
      <c r="C158" s="235" t="s">
        <v>171</v>
      </c>
      <c r="D158" s="223" t="s">
        <v>154</v>
      </c>
      <c r="E158" s="247"/>
      <c r="F158" s="275">
        <v>15000</v>
      </c>
      <c r="G158" s="215">
        <f t="shared" si="2"/>
        <v>20438260</v>
      </c>
      <c r="H158" s="223" t="s">
        <v>25</v>
      </c>
      <c r="I158" s="275" t="s">
        <v>304</v>
      </c>
      <c r="J158" s="235" t="s">
        <v>102</v>
      </c>
      <c r="K158" s="235" t="s">
        <v>199</v>
      </c>
      <c r="L158" s="235" t="s">
        <v>330</v>
      </c>
      <c r="M158" s="223" t="s">
        <v>627</v>
      </c>
      <c r="N158" s="235" t="s">
        <v>341</v>
      </c>
      <c r="O158" s="235"/>
      <c r="P158" s="355"/>
      <c r="Q158" s="235"/>
      <c r="R158" s="235"/>
    </row>
    <row r="159" spans="1:18" s="223" customFormat="1" ht="13.8" x14ac:dyDescent="0.25">
      <c r="A159" s="234">
        <v>45124</v>
      </c>
      <c r="B159" s="235" t="s">
        <v>401</v>
      </c>
      <c r="C159" s="235" t="s">
        <v>171</v>
      </c>
      <c r="D159" s="223" t="s">
        <v>154</v>
      </c>
      <c r="E159" s="215"/>
      <c r="F159" s="235">
        <v>5000</v>
      </c>
      <c r="G159" s="215">
        <f t="shared" si="2"/>
        <v>20433260</v>
      </c>
      <c r="H159" s="235" t="s">
        <v>25</v>
      </c>
      <c r="I159" s="275" t="s">
        <v>304</v>
      </c>
      <c r="J159" s="235" t="s">
        <v>288</v>
      </c>
      <c r="K159" s="235" t="s">
        <v>198</v>
      </c>
      <c r="L159" s="235" t="s">
        <v>330</v>
      </c>
      <c r="M159" s="238"/>
      <c r="N159" s="235"/>
      <c r="P159" s="355"/>
      <c r="Q159" s="235"/>
      <c r="R159" s="235"/>
    </row>
    <row r="160" spans="1:18" s="223" customFormat="1" ht="13.8" x14ac:dyDescent="0.25">
      <c r="A160" s="234">
        <v>45124</v>
      </c>
      <c r="B160" s="223" t="s">
        <v>402</v>
      </c>
      <c r="C160" s="235" t="s">
        <v>171</v>
      </c>
      <c r="D160" s="223" t="s">
        <v>4</v>
      </c>
      <c r="E160" s="215"/>
      <c r="F160" s="243">
        <v>40000</v>
      </c>
      <c r="G160" s="215">
        <f t="shared" si="2"/>
        <v>20393260</v>
      </c>
      <c r="H160" s="223" t="s">
        <v>25</v>
      </c>
      <c r="I160" s="275" t="s">
        <v>304</v>
      </c>
      <c r="J160" s="235" t="s">
        <v>102</v>
      </c>
      <c r="K160" s="235" t="s">
        <v>199</v>
      </c>
      <c r="L160" s="235" t="s">
        <v>330</v>
      </c>
      <c r="M160" s="223" t="s">
        <v>628</v>
      </c>
      <c r="N160" s="235" t="s">
        <v>341</v>
      </c>
      <c r="P160" s="355"/>
      <c r="Q160" s="235"/>
      <c r="R160" s="235"/>
    </row>
    <row r="161" spans="1:18" s="223" customFormat="1" ht="13.8" x14ac:dyDescent="0.25">
      <c r="A161" s="234">
        <v>45124</v>
      </c>
      <c r="B161" s="223" t="s">
        <v>403</v>
      </c>
      <c r="C161" s="235" t="s">
        <v>171</v>
      </c>
      <c r="D161" s="223" t="s">
        <v>155</v>
      </c>
      <c r="E161" s="215"/>
      <c r="F161" s="215">
        <v>10000</v>
      </c>
      <c r="G161" s="215">
        <f t="shared" si="2"/>
        <v>20383260</v>
      </c>
      <c r="H161" s="223" t="s">
        <v>25</v>
      </c>
      <c r="I161" s="275" t="s">
        <v>304</v>
      </c>
      <c r="J161" s="235" t="s">
        <v>102</v>
      </c>
      <c r="K161" s="235" t="s">
        <v>199</v>
      </c>
      <c r="L161" s="235" t="s">
        <v>330</v>
      </c>
      <c r="M161" s="223" t="s">
        <v>629</v>
      </c>
      <c r="N161" s="235" t="s">
        <v>341</v>
      </c>
      <c r="O161" s="215"/>
      <c r="P161" s="355"/>
      <c r="Q161" s="235"/>
      <c r="R161" s="235"/>
    </row>
    <row r="162" spans="1:18" s="223" customFormat="1" ht="13.8" x14ac:dyDescent="0.25">
      <c r="A162" s="246">
        <v>45124</v>
      </c>
      <c r="B162" s="242" t="s">
        <v>404</v>
      </c>
      <c r="C162" s="235" t="s">
        <v>171</v>
      </c>
      <c r="D162" s="223" t="s">
        <v>2</v>
      </c>
      <c r="E162" s="244"/>
      <c r="F162" s="243">
        <v>10000</v>
      </c>
      <c r="G162" s="215">
        <f t="shared" si="2"/>
        <v>20373260</v>
      </c>
      <c r="H162" s="240" t="s">
        <v>25</v>
      </c>
      <c r="I162" s="275" t="s">
        <v>304</v>
      </c>
      <c r="J162" s="235" t="s">
        <v>102</v>
      </c>
      <c r="K162" s="235" t="s">
        <v>199</v>
      </c>
      <c r="L162" s="235" t="s">
        <v>330</v>
      </c>
      <c r="M162" s="223" t="s">
        <v>630</v>
      </c>
      <c r="N162" s="235" t="s">
        <v>341</v>
      </c>
      <c r="P162" s="355"/>
      <c r="Q162" s="235"/>
      <c r="R162" s="235"/>
    </row>
    <row r="163" spans="1:18" s="223" customFormat="1" ht="13.8" x14ac:dyDescent="0.25">
      <c r="A163" s="234">
        <v>45124</v>
      </c>
      <c r="B163" s="223" t="s">
        <v>405</v>
      </c>
      <c r="C163" s="235" t="s">
        <v>171</v>
      </c>
      <c r="D163" s="223" t="s">
        <v>154</v>
      </c>
      <c r="E163" s="215"/>
      <c r="F163" s="243">
        <v>5000</v>
      </c>
      <c r="G163" s="215">
        <f t="shared" si="2"/>
        <v>20368260</v>
      </c>
      <c r="H163" s="223" t="s">
        <v>25</v>
      </c>
      <c r="I163" s="275" t="s">
        <v>304</v>
      </c>
      <c r="J163" s="235" t="s">
        <v>102</v>
      </c>
      <c r="K163" s="235" t="s">
        <v>199</v>
      </c>
      <c r="L163" s="235" t="s">
        <v>330</v>
      </c>
      <c r="M163" s="223" t="s">
        <v>631</v>
      </c>
      <c r="N163" s="235" t="s">
        <v>341</v>
      </c>
      <c r="P163" s="355"/>
      <c r="Q163" s="235"/>
      <c r="R163" s="235"/>
    </row>
    <row r="164" spans="1:18" s="223" customFormat="1" ht="13.8" x14ac:dyDescent="0.25">
      <c r="A164" s="234">
        <v>45124</v>
      </c>
      <c r="B164" s="223" t="s">
        <v>406</v>
      </c>
      <c r="C164" s="235" t="s">
        <v>171</v>
      </c>
      <c r="D164" s="223" t="s">
        <v>154</v>
      </c>
      <c r="F164" s="215">
        <v>5000</v>
      </c>
      <c r="G164" s="215">
        <f t="shared" si="2"/>
        <v>20363260</v>
      </c>
      <c r="H164" s="215" t="s">
        <v>25</v>
      </c>
      <c r="I164" s="275" t="s">
        <v>304</v>
      </c>
      <c r="J164" s="235" t="s">
        <v>288</v>
      </c>
      <c r="K164" s="235" t="s">
        <v>198</v>
      </c>
      <c r="L164" s="235" t="s">
        <v>330</v>
      </c>
      <c r="N164" s="235"/>
      <c r="P164" s="355"/>
      <c r="Q164" s="235"/>
      <c r="R164" s="235"/>
    </row>
    <row r="165" spans="1:18" s="223" customFormat="1" ht="13.8" x14ac:dyDescent="0.25">
      <c r="A165" s="237">
        <v>45124</v>
      </c>
      <c r="B165" s="223" t="s">
        <v>407</v>
      </c>
      <c r="C165" s="235" t="s">
        <v>171</v>
      </c>
      <c r="D165" s="223" t="s">
        <v>4</v>
      </c>
      <c r="F165" s="235">
        <v>5000</v>
      </c>
      <c r="G165" s="215">
        <f t="shared" si="2"/>
        <v>20358260</v>
      </c>
      <c r="H165" s="240" t="s">
        <v>25</v>
      </c>
      <c r="I165" s="275" t="s">
        <v>304</v>
      </c>
      <c r="J165" s="235" t="s">
        <v>102</v>
      </c>
      <c r="K165" s="235" t="s">
        <v>199</v>
      </c>
      <c r="L165" s="235" t="s">
        <v>330</v>
      </c>
      <c r="M165" s="223" t="s">
        <v>632</v>
      </c>
      <c r="N165" s="235" t="s">
        <v>341</v>
      </c>
      <c r="O165" s="235"/>
      <c r="P165" s="355"/>
      <c r="Q165" s="235"/>
      <c r="R165" s="235"/>
    </row>
    <row r="166" spans="1:18" s="223" customFormat="1" ht="13.8" x14ac:dyDescent="0.25">
      <c r="A166" s="396">
        <v>45124</v>
      </c>
      <c r="B166" s="314" t="s">
        <v>444</v>
      </c>
      <c r="C166" s="314" t="s">
        <v>75</v>
      </c>
      <c r="D166" s="316"/>
      <c r="E166" s="315"/>
      <c r="F166" s="315">
        <v>2000000</v>
      </c>
      <c r="G166" s="316">
        <f t="shared" si="2"/>
        <v>18358260</v>
      </c>
      <c r="H166" s="346" t="s">
        <v>148</v>
      </c>
      <c r="I166" s="425">
        <v>3667364</v>
      </c>
      <c r="J166" s="315"/>
      <c r="K166" s="315"/>
      <c r="L166" s="315"/>
      <c r="M166" s="403"/>
      <c r="N166" s="314"/>
      <c r="O166" s="426"/>
      <c r="P166" s="253"/>
      <c r="Q166" s="235"/>
      <c r="R166" s="235"/>
    </row>
    <row r="167" spans="1:18" s="223" customFormat="1" ht="13.8" x14ac:dyDescent="0.25">
      <c r="A167" s="340">
        <v>45124</v>
      </c>
      <c r="B167" s="310" t="s">
        <v>488</v>
      </c>
      <c r="C167" s="313" t="s">
        <v>75</v>
      </c>
      <c r="D167" s="310"/>
      <c r="E167" s="311">
        <v>100000</v>
      </c>
      <c r="F167" s="368"/>
      <c r="G167" s="311">
        <f t="shared" si="2"/>
        <v>18458260</v>
      </c>
      <c r="H167" s="310" t="s">
        <v>269</v>
      </c>
      <c r="I167" s="363"/>
      <c r="J167" s="310"/>
      <c r="K167" s="310"/>
      <c r="L167" s="310"/>
      <c r="M167" s="310"/>
      <c r="N167" s="310"/>
      <c r="O167" s="310"/>
      <c r="P167" s="253"/>
      <c r="Q167" s="235"/>
      <c r="R167" s="235"/>
    </row>
    <row r="168" spans="1:18" s="223" customFormat="1" ht="17.25" customHeight="1" x14ac:dyDescent="0.25">
      <c r="A168" s="237">
        <v>45124</v>
      </c>
      <c r="B168" s="235" t="s">
        <v>496</v>
      </c>
      <c r="C168" s="235" t="s">
        <v>34</v>
      </c>
      <c r="D168" s="223" t="s">
        <v>4</v>
      </c>
      <c r="E168" s="235"/>
      <c r="F168" s="244">
        <v>15000</v>
      </c>
      <c r="G168" s="215">
        <f t="shared" si="2"/>
        <v>18443260</v>
      </c>
      <c r="H168" s="235" t="s">
        <v>269</v>
      </c>
      <c r="I168" s="275" t="s">
        <v>304</v>
      </c>
      <c r="J168" s="223" t="s">
        <v>288</v>
      </c>
      <c r="K168" s="235" t="s">
        <v>199</v>
      </c>
      <c r="L168" s="235" t="s">
        <v>330</v>
      </c>
      <c r="M168" s="223" t="s">
        <v>633</v>
      </c>
      <c r="N168" s="235" t="s">
        <v>342</v>
      </c>
      <c r="O168" s="235"/>
      <c r="P168" s="355"/>
      <c r="Q168" s="235"/>
      <c r="R168" s="235"/>
    </row>
    <row r="169" spans="1:18" s="223" customFormat="1" ht="17.25" customHeight="1" x14ac:dyDescent="0.25">
      <c r="A169" s="408">
        <v>45124</v>
      </c>
      <c r="B169" s="388" t="s">
        <v>325</v>
      </c>
      <c r="C169" s="389" t="s">
        <v>75</v>
      </c>
      <c r="D169" s="385"/>
      <c r="E169" s="385">
        <v>100000</v>
      </c>
      <c r="F169" s="389"/>
      <c r="G169" s="387">
        <f t="shared" si="2"/>
        <v>18543260</v>
      </c>
      <c r="H169" s="427" t="s">
        <v>29</v>
      </c>
      <c r="I169" s="388"/>
      <c r="J169" s="385"/>
      <c r="K169" s="389"/>
      <c r="L169" s="389"/>
      <c r="M169" s="385"/>
      <c r="N169" s="389"/>
      <c r="O169" s="389"/>
      <c r="P169" s="253"/>
      <c r="Q169" s="235"/>
      <c r="R169" s="235"/>
    </row>
    <row r="170" spans="1:18" s="223" customFormat="1" ht="17.25" customHeight="1" x14ac:dyDescent="0.25">
      <c r="A170" s="237">
        <v>45124</v>
      </c>
      <c r="B170" s="235" t="s">
        <v>326</v>
      </c>
      <c r="C170" s="223" t="s">
        <v>34</v>
      </c>
      <c r="D170" s="223" t="s">
        <v>4</v>
      </c>
      <c r="E170" s="235"/>
      <c r="F170" s="235">
        <v>15000</v>
      </c>
      <c r="G170" s="215">
        <f t="shared" si="2"/>
        <v>18528260</v>
      </c>
      <c r="H170" s="235" t="s">
        <v>29</v>
      </c>
      <c r="I170" s="275" t="s">
        <v>304</v>
      </c>
      <c r="J170" s="223" t="s">
        <v>288</v>
      </c>
      <c r="K170" s="235" t="s">
        <v>199</v>
      </c>
      <c r="L170" s="235" t="s">
        <v>330</v>
      </c>
      <c r="M170" s="223" t="s">
        <v>634</v>
      </c>
      <c r="N170" s="235" t="s">
        <v>342</v>
      </c>
      <c r="O170" s="235"/>
      <c r="P170" s="355"/>
      <c r="Q170" s="235"/>
      <c r="R170" s="235"/>
    </row>
    <row r="171" spans="1:18" s="223" customFormat="1" ht="17.25" customHeight="1" x14ac:dyDescent="0.25">
      <c r="A171" s="234">
        <v>45125</v>
      </c>
      <c r="B171" s="223" t="s">
        <v>408</v>
      </c>
      <c r="C171" s="235" t="s">
        <v>239</v>
      </c>
      <c r="D171" s="223" t="s">
        <v>300</v>
      </c>
      <c r="F171" s="251">
        <v>8000</v>
      </c>
      <c r="G171" s="215">
        <f t="shared" si="2"/>
        <v>18520260</v>
      </c>
      <c r="H171" s="223" t="s">
        <v>25</v>
      </c>
      <c r="I171" s="275" t="s">
        <v>304</v>
      </c>
      <c r="J171" s="223" t="s">
        <v>288</v>
      </c>
      <c r="K171" s="240" t="s">
        <v>198</v>
      </c>
      <c r="L171" s="223" t="s">
        <v>330</v>
      </c>
      <c r="M171" s="238"/>
      <c r="N171" s="235"/>
      <c r="P171" s="355"/>
      <c r="Q171" s="235"/>
      <c r="R171" s="235"/>
    </row>
    <row r="172" spans="1:18" s="223" customFormat="1" ht="17.25" customHeight="1" x14ac:dyDescent="0.25">
      <c r="A172" s="234">
        <v>45125</v>
      </c>
      <c r="B172" s="242" t="s">
        <v>409</v>
      </c>
      <c r="C172" s="223" t="s">
        <v>432</v>
      </c>
      <c r="D172" s="223" t="s">
        <v>154</v>
      </c>
      <c r="F172" s="223">
        <v>86000</v>
      </c>
      <c r="G172" s="215">
        <f t="shared" si="2"/>
        <v>18434260</v>
      </c>
      <c r="H172" s="223" t="s">
        <v>25</v>
      </c>
      <c r="I172" s="275" t="s">
        <v>304</v>
      </c>
      <c r="J172" s="223" t="s">
        <v>288</v>
      </c>
      <c r="K172" s="223" t="s">
        <v>198</v>
      </c>
      <c r="L172" s="223" t="s">
        <v>330</v>
      </c>
      <c r="P172" s="355"/>
      <c r="Q172" s="235"/>
      <c r="R172" s="235"/>
    </row>
    <row r="173" spans="1:18" s="223" customFormat="1" ht="17.25" customHeight="1" x14ac:dyDescent="0.25">
      <c r="A173" s="396">
        <v>45125</v>
      </c>
      <c r="B173" s="315" t="s">
        <v>31</v>
      </c>
      <c r="C173" s="314" t="s">
        <v>75</v>
      </c>
      <c r="D173" s="423"/>
      <c r="E173" s="315"/>
      <c r="F173" s="315">
        <v>20000</v>
      </c>
      <c r="G173" s="316">
        <f t="shared" si="2"/>
        <v>18414260</v>
      </c>
      <c r="H173" s="415" t="s">
        <v>25</v>
      </c>
      <c r="I173" s="337"/>
      <c r="J173" s="314"/>
      <c r="K173" s="314"/>
      <c r="L173" s="314"/>
      <c r="M173" s="315"/>
      <c r="N173" s="315"/>
      <c r="O173" s="315"/>
      <c r="P173" s="239"/>
    </row>
    <row r="174" spans="1:18" s="223" customFormat="1" ht="17.25" customHeight="1" x14ac:dyDescent="0.25">
      <c r="A174" s="246">
        <v>45125</v>
      </c>
      <c r="B174" s="223" t="s">
        <v>302</v>
      </c>
      <c r="C174" s="235" t="s">
        <v>75</v>
      </c>
      <c r="F174" s="247">
        <v>104000</v>
      </c>
      <c r="G174" s="215">
        <f t="shared" si="2"/>
        <v>18310260</v>
      </c>
      <c r="H174" s="223" t="s">
        <v>25</v>
      </c>
      <c r="I174" s="275"/>
      <c r="J174" s="235"/>
      <c r="K174" s="301"/>
      <c r="L174" s="301"/>
      <c r="N174" s="235"/>
      <c r="P174" s="253"/>
      <c r="Q174" s="235"/>
      <c r="R174" s="235"/>
    </row>
    <row r="175" spans="1:18" s="223" customFormat="1" ht="17.25" customHeight="1" x14ac:dyDescent="0.25">
      <c r="A175" s="340">
        <v>45125</v>
      </c>
      <c r="B175" s="313" t="s">
        <v>301</v>
      </c>
      <c r="C175" s="313" t="s">
        <v>75</v>
      </c>
      <c r="D175" s="310"/>
      <c r="E175" s="375"/>
      <c r="F175" s="310">
        <v>94000</v>
      </c>
      <c r="G175" s="311">
        <f t="shared" si="2"/>
        <v>18216260</v>
      </c>
      <c r="H175" s="310" t="s">
        <v>25</v>
      </c>
      <c r="I175" s="363"/>
      <c r="J175" s="313"/>
      <c r="K175" s="376"/>
      <c r="L175" s="376"/>
      <c r="M175" s="310"/>
      <c r="N175" s="313"/>
      <c r="O175" s="313"/>
      <c r="P175" s="239"/>
    </row>
    <row r="176" spans="1:18" s="223" customFormat="1" ht="17.25" customHeight="1" x14ac:dyDescent="0.25">
      <c r="A176" s="241">
        <v>45125</v>
      </c>
      <c r="B176" s="274" t="s">
        <v>433</v>
      </c>
      <c r="C176" s="223" t="s">
        <v>432</v>
      </c>
      <c r="D176" s="223" t="s">
        <v>154</v>
      </c>
      <c r="F176" s="223">
        <v>200000</v>
      </c>
      <c r="G176" s="215">
        <f t="shared" si="2"/>
        <v>18016260</v>
      </c>
      <c r="H176" s="235" t="s">
        <v>24</v>
      </c>
      <c r="I176" s="235">
        <v>3654557</v>
      </c>
      <c r="J176" s="223" t="s">
        <v>288</v>
      </c>
      <c r="K176" s="223" t="s">
        <v>198</v>
      </c>
      <c r="L176" s="223" t="s">
        <v>330</v>
      </c>
      <c r="N176" s="235"/>
      <c r="O176" s="231"/>
      <c r="P176" s="351"/>
    </row>
    <row r="177" spans="1:16" s="223" customFormat="1" ht="15" customHeight="1" x14ac:dyDescent="0.25">
      <c r="A177" s="234">
        <v>45125</v>
      </c>
      <c r="B177" s="223" t="s">
        <v>445</v>
      </c>
      <c r="C177" s="235" t="s">
        <v>174</v>
      </c>
      <c r="D177" s="223" t="s">
        <v>300</v>
      </c>
      <c r="E177" s="240"/>
      <c r="F177" s="223">
        <v>500000</v>
      </c>
      <c r="G177" s="215">
        <f t="shared" si="2"/>
        <v>17516260</v>
      </c>
      <c r="H177" s="300" t="s">
        <v>148</v>
      </c>
      <c r="I177" s="275">
        <v>3667365</v>
      </c>
      <c r="J177" s="190" t="s">
        <v>102</v>
      </c>
      <c r="K177" s="190" t="s">
        <v>199</v>
      </c>
      <c r="L177" s="190" t="s">
        <v>330</v>
      </c>
      <c r="M177" s="223" t="s">
        <v>635</v>
      </c>
      <c r="N177" s="223" t="s">
        <v>561</v>
      </c>
      <c r="O177" s="235"/>
      <c r="P177" s="351"/>
    </row>
    <row r="178" spans="1:16" s="223" customFormat="1" ht="15" customHeight="1" x14ac:dyDescent="0.25">
      <c r="A178" s="246">
        <v>45125</v>
      </c>
      <c r="B178" s="252" t="s">
        <v>497</v>
      </c>
      <c r="C178" s="235" t="s">
        <v>319</v>
      </c>
      <c r="D178" s="223" t="s">
        <v>4</v>
      </c>
      <c r="F178" s="282">
        <v>80000</v>
      </c>
      <c r="G178" s="215">
        <f t="shared" si="2"/>
        <v>17436260</v>
      </c>
      <c r="H178" s="240" t="s">
        <v>269</v>
      </c>
      <c r="I178" s="235" t="s">
        <v>368</v>
      </c>
      <c r="J178" s="223" t="s">
        <v>288</v>
      </c>
      <c r="K178" s="223" t="s">
        <v>199</v>
      </c>
      <c r="L178" s="223" t="s">
        <v>330</v>
      </c>
      <c r="M178" s="223" t="s">
        <v>636</v>
      </c>
      <c r="N178" s="223" t="s">
        <v>343</v>
      </c>
      <c r="P178" s="351"/>
    </row>
    <row r="179" spans="1:16" s="223" customFormat="1" ht="15" customHeight="1" x14ac:dyDescent="0.25">
      <c r="A179" s="408">
        <v>45125</v>
      </c>
      <c r="B179" s="390" t="s">
        <v>310</v>
      </c>
      <c r="C179" s="389" t="s">
        <v>75</v>
      </c>
      <c r="D179" s="385"/>
      <c r="E179" s="428">
        <v>94000</v>
      </c>
      <c r="F179" s="428"/>
      <c r="G179" s="387">
        <f t="shared" si="2"/>
        <v>17530260</v>
      </c>
      <c r="H179" s="390" t="s">
        <v>301</v>
      </c>
      <c r="I179" s="388"/>
      <c r="J179" s="390"/>
      <c r="K179" s="390"/>
      <c r="L179" s="390"/>
      <c r="M179" s="390"/>
      <c r="N179" s="390"/>
      <c r="O179" s="429"/>
      <c r="P179" s="239"/>
    </row>
    <row r="180" spans="1:16" s="223" customFormat="1" ht="13.8" x14ac:dyDescent="0.25">
      <c r="A180" s="234">
        <v>45125</v>
      </c>
      <c r="B180" s="223" t="s">
        <v>513</v>
      </c>
      <c r="C180" s="235" t="s">
        <v>34</v>
      </c>
      <c r="D180" s="223" t="s">
        <v>154</v>
      </c>
      <c r="E180" s="215"/>
      <c r="F180" s="215">
        <v>10000</v>
      </c>
      <c r="G180" s="215">
        <f t="shared" si="2"/>
        <v>17520260</v>
      </c>
      <c r="H180" s="240" t="s">
        <v>301</v>
      </c>
      <c r="I180" s="275" t="s">
        <v>304</v>
      </c>
      <c r="J180" s="223" t="s">
        <v>288</v>
      </c>
      <c r="K180" s="235" t="s">
        <v>199</v>
      </c>
      <c r="L180" s="235" t="s">
        <v>330</v>
      </c>
      <c r="M180" s="223" t="s">
        <v>637</v>
      </c>
      <c r="N180" s="235" t="s">
        <v>342</v>
      </c>
      <c r="P180" s="351"/>
    </row>
    <row r="181" spans="1:16" s="223" customFormat="1" ht="15" customHeight="1" x14ac:dyDescent="0.25">
      <c r="A181" s="430">
        <v>45125</v>
      </c>
      <c r="B181" s="431" t="s">
        <v>525</v>
      </c>
      <c r="C181" s="314" t="s">
        <v>75</v>
      </c>
      <c r="D181" s="431"/>
      <c r="E181" s="432">
        <v>20000</v>
      </c>
      <c r="F181" s="432"/>
      <c r="G181" s="316">
        <f t="shared" si="2"/>
        <v>17540260</v>
      </c>
      <c r="H181" s="314" t="s">
        <v>31</v>
      </c>
      <c r="I181" s="433"/>
      <c r="J181" s="431"/>
      <c r="K181" s="431"/>
      <c r="L181" s="431"/>
      <c r="M181" s="431"/>
      <c r="N181" s="434"/>
      <c r="O181" s="431"/>
      <c r="P181" s="239"/>
    </row>
    <row r="182" spans="1:16" s="223" customFormat="1" ht="13.8" x14ac:dyDescent="0.25">
      <c r="A182" s="340">
        <v>45125</v>
      </c>
      <c r="B182" s="313" t="s">
        <v>327</v>
      </c>
      <c r="C182" s="313" t="s">
        <v>75</v>
      </c>
      <c r="D182" s="310"/>
      <c r="E182" s="313">
        <v>104000</v>
      </c>
      <c r="F182" s="369"/>
      <c r="G182" s="311">
        <f t="shared" si="2"/>
        <v>17644260</v>
      </c>
      <c r="H182" s="313" t="s">
        <v>302</v>
      </c>
      <c r="I182" s="363"/>
      <c r="J182" s="310"/>
      <c r="K182" s="313"/>
      <c r="L182" s="313"/>
      <c r="M182" s="310"/>
      <c r="N182" s="313"/>
      <c r="O182" s="313"/>
      <c r="P182" s="239"/>
    </row>
    <row r="183" spans="1:16" s="223" customFormat="1" ht="13.8" x14ac:dyDescent="0.25">
      <c r="A183" s="234">
        <v>45125</v>
      </c>
      <c r="B183" s="300" t="s">
        <v>533</v>
      </c>
      <c r="C183" s="301" t="s">
        <v>517</v>
      </c>
      <c r="D183" s="223" t="s">
        <v>154</v>
      </c>
      <c r="E183" s="302"/>
      <c r="F183" s="304">
        <v>15000</v>
      </c>
      <c r="G183" s="215">
        <f t="shared" si="2"/>
        <v>17629260</v>
      </c>
      <c r="H183" s="300" t="s">
        <v>302</v>
      </c>
      <c r="I183" s="275" t="s">
        <v>304</v>
      </c>
      <c r="J183" s="223" t="s">
        <v>288</v>
      </c>
      <c r="K183" s="223" t="s">
        <v>198</v>
      </c>
      <c r="L183" s="223" t="s">
        <v>330</v>
      </c>
      <c r="M183" s="300"/>
      <c r="N183" s="300"/>
      <c r="O183" s="190"/>
      <c r="P183" s="351"/>
    </row>
    <row r="184" spans="1:16" s="223" customFormat="1" ht="13.8" x14ac:dyDescent="0.25">
      <c r="A184" s="250">
        <v>45125</v>
      </c>
      <c r="B184" s="223" t="s">
        <v>553</v>
      </c>
      <c r="C184" s="223" t="s">
        <v>307</v>
      </c>
      <c r="D184" s="223" t="s">
        <v>4</v>
      </c>
      <c r="E184" s="251"/>
      <c r="F184" s="251">
        <v>80000</v>
      </c>
      <c r="G184" s="215">
        <f t="shared" si="2"/>
        <v>17549260</v>
      </c>
      <c r="H184" s="252" t="s">
        <v>29</v>
      </c>
      <c r="I184" s="235" t="s">
        <v>368</v>
      </c>
      <c r="J184" s="223" t="s">
        <v>288</v>
      </c>
      <c r="K184" s="223" t="s">
        <v>199</v>
      </c>
      <c r="L184" s="223" t="s">
        <v>330</v>
      </c>
      <c r="M184" s="223" t="s">
        <v>638</v>
      </c>
      <c r="N184" s="223" t="s">
        <v>343</v>
      </c>
      <c r="P184" s="351"/>
    </row>
    <row r="185" spans="1:16" s="223" customFormat="1" ht="13.8" x14ac:dyDescent="0.25">
      <c r="A185" s="234">
        <v>45126</v>
      </c>
      <c r="B185" s="235" t="s">
        <v>514</v>
      </c>
      <c r="C185" s="235" t="s">
        <v>307</v>
      </c>
      <c r="D185" s="223" t="s">
        <v>154</v>
      </c>
      <c r="E185" s="235"/>
      <c r="F185" s="247">
        <v>100000</v>
      </c>
      <c r="G185" s="215">
        <f t="shared" si="2"/>
        <v>17449260</v>
      </c>
      <c r="H185" s="235" t="s">
        <v>301</v>
      </c>
      <c r="I185" s="275" t="s">
        <v>304</v>
      </c>
      <c r="J185" s="223" t="s">
        <v>288</v>
      </c>
      <c r="K185" s="223" t="s">
        <v>199</v>
      </c>
      <c r="L185" s="223" t="s">
        <v>330</v>
      </c>
      <c r="M185" s="223" t="s">
        <v>639</v>
      </c>
      <c r="N185" s="223" t="s">
        <v>343</v>
      </c>
      <c r="O185" s="235"/>
      <c r="P185" s="351"/>
    </row>
    <row r="186" spans="1:16" s="223" customFormat="1" ht="13.8" x14ac:dyDescent="0.25">
      <c r="A186" s="234">
        <v>45126</v>
      </c>
      <c r="B186" s="223" t="s">
        <v>534</v>
      </c>
      <c r="C186" s="235" t="s">
        <v>307</v>
      </c>
      <c r="D186" s="223" t="s">
        <v>154</v>
      </c>
      <c r="F186" s="275">
        <v>20000</v>
      </c>
      <c r="G186" s="215">
        <f t="shared" si="2"/>
        <v>17429260</v>
      </c>
      <c r="H186" s="240" t="s">
        <v>302</v>
      </c>
      <c r="I186" s="235" t="s">
        <v>368</v>
      </c>
      <c r="J186" s="223" t="s">
        <v>288</v>
      </c>
      <c r="K186" s="223" t="s">
        <v>198</v>
      </c>
      <c r="L186" s="223" t="s">
        <v>330</v>
      </c>
      <c r="M186" s="238"/>
      <c r="N186" s="235"/>
      <c r="P186" s="351"/>
    </row>
    <row r="187" spans="1:16" s="223" customFormat="1" ht="13.8" x14ac:dyDescent="0.25">
      <c r="A187" s="408">
        <v>45127</v>
      </c>
      <c r="B187" s="385" t="s">
        <v>269</v>
      </c>
      <c r="C187" s="389" t="s">
        <v>75</v>
      </c>
      <c r="D187" s="385"/>
      <c r="E187" s="387"/>
      <c r="F187" s="387">
        <v>151000</v>
      </c>
      <c r="G187" s="387">
        <f t="shared" si="2"/>
        <v>17278260</v>
      </c>
      <c r="H187" s="385" t="s">
        <v>25</v>
      </c>
      <c r="I187" s="388"/>
      <c r="J187" s="389"/>
      <c r="K187" s="389"/>
      <c r="L187" s="389"/>
      <c r="M187" s="385"/>
      <c r="N187" s="389"/>
      <c r="O187" s="385"/>
      <c r="P187" s="239"/>
    </row>
    <row r="188" spans="1:16" s="223" customFormat="1" ht="13.8" x14ac:dyDescent="0.25">
      <c r="A188" s="234">
        <v>45127</v>
      </c>
      <c r="B188" s="223" t="s">
        <v>410</v>
      </c>
      <c r="C188" s="235" t="s">
        <v>230</v>
      </c>
      <c r="D188" s="223" t="s">
        <v>155</v>
      </c>
      <c r="E188" s="215"/>
      <c r="F188" s="215">
        <v>42000</v>
      </c>
      <c r="G188" s="215">
        <f t="shared" si="2"/>
        <v>17236260</v>
      </c>
      <c r="H188" s="223" t="s">
        <v>25</v>
      </c>
      <c r="I188" s="235" t="s">
        <v>368</v>
      </c>
      <c r="J188" s="223" t="s">
        <v>288</v>
      </c>
      <c r="K188" s="235" t="s">
        <v>198</v>
      </c>
      <c r="L188" s="235" t="s">
        <v>330</v>
      </c>
      <c r="N188" s="235"/>
      <c r="P188" s="351"/>
    </row>
    <row r="189" spans="1:16" s="223" customFormat="1" ht="13.8" x14ac:dyDescent="0.25">
      <c r="A189" s="408">
        <v>45127</v>
      </c>
      <c r="B189" s="385" t="s">
        <v>29</v>
      </c>
      <c r="C189" s="389" t="s">
        <v>75</v>
      </c>
      <c r="D189" s="385"/>
      <c r="E189" s="387"/>
      <c r="F189" s="387">
        <v>151000</v>
      </c>
      <c r="G189" s="387">
        <f t="shared" si="2"/>
        <v>17085260</v>
      </c>
      <c r="H189" s="385" t="s">
        <v>25</v>
      </c>
      <c r="I189" s="388"/>
      <c r="J189" s="389"/>
      <c r="K189" s="390"/>
      <c r="L189" s="390"/>
      <c r="M189" s="385"/>
      <c r="N189" s="389"/>
      <c r="O189" s="385"/>
      <c r="P189" s="239"/>
    </row>
    <row r="190" spans="1:16" s="223" customFormat="1" ht="13.8" x14ac:dyDescent="0.25">
      <c r="A190" s="246">
        <v>45127</v>
      </c>
      <c r="B190" s="242" t="s">
        <v>303</v>
      </c>
      <c r="C190" s="235" t="s">
        <v>213</v>
      </c>
      <c r="D190" s="223" t="s">
        <v>300</v>
      </c>
      <c r="E190" s="244"/>
      <c r="F190" s="274">
        <v>9060</v>
      </c>
      <c r="G190" s="215">
        <f t="shared" si="2"/>
        <v>17076200</v>
      </c>
      <c r="H190" s="240" t="s">
        <v>25</v>
      </c>
      <c r="I190" s="275" t="s">
        <v>304</v>
      </c>
      <c r="J190" s="235" t="s">
        <v>102</v>
      </c>
      <c r="K190" s="223" t="s">
        <v>199</v>
      </c>
      <c r="L190" s="223" t="s">
        <v>330</v>
      </c>
      <c r="M190" s="223" t="s">
        <v>640</v>
      </c>
      <c r="N190" s="223" t="s">
        <v>331</v>
      </c>
      <c r="P190" s="351"/>
    </row>
    <row r="191" spans="1:16" s="223" customFormat="1" ht="13.8" x14ac:dyDescent="0.25">
      <c r="A191" s="396">
        <v>45127</v>
      </c>
      <c r="B191" s="315" t="s">
        <v>488</v>
      </c>
      <c r="C191" s="314" t="s">
        <v>75</v>
      </c>
      <c r="D191" s="315"/>
      <c r="E191" s="397">
        <v>151000</v>
      </c>
      <c r="F191" s="397"/>
      <c r="G191" s="316">
        <f t="shared" si="2"/>
        <v>17227200</v>
      </c>
      <c r="H191" s="315" t="s">
        <v>269</v>
      </c>
      <c r="I191" s="314"/>
      <c r="J191" s="315"/>
      <c r="K191" s="315"/>
      <c r="L191" s="315"/>
      <c r="M191" s="403"/>
      <c r="N191" s="314"/>
      <c r="O191" s="315"/>
      <c r="P191" s="239"/>
    </row>
    <row r="192" spans="1:16" s="223" customFormat="1" ht="13.8" x14ac:dyDescent="0.25">
      <c r="A192" s="234">
        <v>45127</v>
      </c>
      <c r="B192" s="235" t="s">
        <v>325</v>
      </c>
      <c r="C192" s="235" t="s">
        <v>75</v>
      </c>
      <c r="E192" s="223">
        <v>151000</v>
      </c>
      <c r="F192" s="279"/>
      <c r="G192" s="215">
        <f t="shared" si="2"/>
        <v>17378200</v>
      </c>
      <c r="H192" s="223" t="s">
        <v>29</v>
      </c>
      <c r="I192" s="275"/>
      <c r="J192" s="235"/>
      <c r="K192" s="300"/>
      <c r="L192" s="300"/>
      <c r="N192" s="235"/>
      <c r="P192" s="239"/>
    </row>
    <row r="193" spans="1:16" s="223" customFormat="1" ht="13.8" x14ac:dyDescent="0.25">
      <c r="A193" s="340">
        <v>45128</v>
      </c>
      <c r="B193" s="310" t="s">
        <v>301</v>
      </c>
      <c r="C193" s="313" t="s">
        <v>75</v>
      </c>
      <c r="D193" s="310"/>
      <c r="E193" s="311"/>
      <c r="F193" s="377">
        <v>105000</v>
      </c>
      <c r="G193" s="311">
        <f t="shared" si="2"/>
        <v>17273200</v>
      </c>
      <c r="H193" s="310" t="s">
        <v>25</v>
      </c>
      <c r="I193" s="363"/>
      <c r="J193" s="310"/>
      <c r="K193" s="310"/>
      <c r="L193" s="310"/>
      <c r="M193" s="310"/>
      <c r="N193" s="310"/>
      <c r="O193" s="310"/>
      <c r="P193" s="239"/>
    </row>
    <row r="194" spans="1:16" s="223" customFormat="1" ht="13.8" x14ac:dyDescent="0.25">
      <c r="A194" s="234">
        <v>45128</v>
      </c>
      <c r="B194" s="223" t="s">
        <v>371</v>
      </c>
      <c r="C194" s="235" t="s">
        <v>213</v>
      </c>
      <c r="D194" s="223" t="s">
        <v>300</v>
      </c>
      <c r="E194" s="215"/>
      <c r="F194" s="274">
        <v>3150</v>
      </c>
      <c r="G194" s="215">
        <f t="shared" si="2"/>
        <v>17270050</v>
      </c>
      <c r="H194" s="223" t="s">
        <v>25</v>
      </c>
      <c r="I194" s="275" t="s">
        <v>304</v>
      </c>
      <c r="J194" s="235" t="s">
        <v>102</v>
      </c>
      <c r="K194" s="223" t="s">
        <v>199</v>
      </c>
      <c r="L194" s="223" t="s">
        <v>330</v>
      </c>
      <c r="M194" s="223" t="s">
        <v>641</v>
      </c>
      <c r="N194" s="223" t="s">
        <v>331</v>
      </c>
      <c r="P194" s="351"/>
    </row>
    <row r="195" spans="1:16" s="223" customFormat="1" ht="13.8" x14ac:dyDescent="0.25">
      <c r="A195" s="234">
        <v>45128</v>
      </c>
      <c r="B195" s="223" t="s">
        <v>411</v>
      </c>
      <c r="C195" s="235" t="s">
        <v>239</v>
      </c>
      <c r="D195" s="223" t="s">
        <v>300</v>
      </c>
      <c r="F195" s="275">
        <v>20000</v>
      </c>
      <c r="G195" s="215">
        <f t="shared" si="2"/>
        <v>17250050</v>
      </c>
      <c r="H195" s="223" t="s">
        <v>25</v>
      </c>
      <c r="I195" s="275" t="s">
        <v>304</v>
      </c>
      <c r="J195" s="223" t="s">
        <v>288</v>
      </c>
      <c r="K195" s="240" t="s">
        <v>198</v>
      </c>
      <c r="L195" s="223" t="s">
        <v>330</v>
      </c>
      <c r="N195" s="235"/>
      <c r="P195" s="351"/>
    </row>
    <row r="196" spans="1:16" s="223" customFormat="1" ht="13.8" x14ac:dyDescent="0.25">
      <c r="A196" s="391">
        <v>45128</v>
      </c>
      <c r="B196" s="435" t="s">
        <v>310</v>
      </c>
      <c r="C196" s="389" t="s">
        <v>75</v>
      </c>
      <c r="D196" s="436"/>
      <c r="E196" s="437">
        <v>105000</v>
      </c>
      <c r="F196" s="438"/>
      <c r="G196" s="387">
        <f t="shared" si="2"/>
        <v>17355050</v>
      </c>
      <c r="H196" s="439" t="s">
        <v>301</v>
      </c>
      <c r="I196" s="440"/>
      <c r="J196" s="436"/>
      <c r="K196" s="436"/>
      <c r="L196" s="436"/>
      <c r="M196" s="436"/>
      <c r="N196" s="436"/>
      <c r="O196" s="436"/>
      <c r="P196" s="239"/>
    </row>
    <row r="197" spans="1:16" s="223" customFormat="1" ht="13.8" x14ac:dyDescent="0.25">
      <c r="A197" s="234">
        <v>45128</v>
      </c>
      <c r="B197" s="235" t="s">
        <v>535</v>
      </c>
      <c r="C197" s="235" t="s">
        <v>307</v>
      </c>
      <c r="D197" s="223" t="s">
        <v>154</v>
      </c>
      <c r="E197" s="235"/>
      <c r="F197" s="275">
        <v>30000</v>
      </c>
      <c r="G197" s="215">
        <f t="shared" si="2"/>
        <v>17325050</v>
      </c>
      <c r="H197" s="235" t="s">
        <v>302</v>
      </c>
      <c r="I197" s="275" t="s">
        <v>304</v>
      </c>
      <c r="J197" s="223" t="s">
        <v>288</v>
      </c>
      <c r="K197" s="223" t="s">
        <v>198</v>
      </c>
      <c r="L197" s="223" t="s">
        <v>330</v>
      </c>
      <c r="N197" s="235"/>
      <c r="O197" s="235"/>
      <c r="P197" s="351"/>
    </row>
    <row r="198" spans="1:16" s="223" customFormat="1" ht="13.8" x14ac:dyDescent="0.25">
      <c r="A198" s="234">
        <v>45128</v>
      </c>
      <c r="B198" s="223" t="s">
        <v>536</v>
      </c>
      <c r="C198" s="235" t="s">
        <v>517</v>
      </c>
      <c r="D198" s="223" t="s">
        <v>154</v>
      </c>
      <c r="E198" s="215"/>
      <c r="F198" s="215">
        <v>15000</v>
      </c>
      <c r="G198" s="215">
        <f t="shared" si="2"/>
        <v>17310050</v>
      </c>
      <c r="H198" s="223" t="s">
        <v>302</v>
      </c>
      <c r="I198" s="275" t="s">
        <v>304</v>
      </c>
      <c r="J198" s="223" t="s">
        <v>288</v>
      </c>
      <c r="K198" s="223" t="s">
        <v>198</v>
      </c>
      <c r="L198" s="223" t="s">
        <v>330</v>
      </c>
      <c r="N198" s="235"/>
      <c r="P198" s="351"/>
    </row>
    <row r="199" spans="1:16" s="223" customFormat="1" ht="13.8" x14ac:dyDescent="0.25">
      <c r="A199" s="408">
        <v>45131</v>
      </c>
      <c r="B199" s="385" t="s">
        <v>301</v>
      </c>
      <c r="C199" s="389" t="s">
        <v>75</v>
      </c>
      <c r="D199" s="385"/>
      <c r="E199" s="420"/>
      <c r="F199" s="420">
        <v>70000</v>
      </c>
      <c r="G199" s="387">
        <f t="shared" si="2"/>
        <v>17240050</v>
      </c>
      <c r="H199" s="422" t="s">
        <v>25</v>
      </c>
      <c r="I199" s="388"/>
      <c r="J199" s="385"/>
      <c r="K199" s="389"/>
      <c r="L199" s="389"/>
      <c r="M199" s="385"/>
      <c r="N199" s="385"/>
      <c r="O199" s="385"/>
      <c r="P199" s="239"/>
    </row>
    <row r="200" spans="1:16" s="223" customFormat="1" ht="13.8" x14ac:dyDescent="0.25">
      <c r="A200" s="234">
        <v>45131</v>
      </c>
      <c r="B200" s="242" t="s">
        <v>371</v>
      </c>
      <c r="C200" s="235" t="s">
        <v>213</v>
      </c>
      <c r="D200" s="223" t="s">
        <v>300</v>
      </c>
      <c r="E200" s="244"/>
      <c r="F200" s="244">
        <v>2100</v>
      </c>
      <c r="G200" s="215">
        <f t="shared" si="2"/>
        <v>17237950</v>
      </c>
      <c r="H200" s="223" t="s">
        <v>25</v>
      </c>
      <c r="I200" s="275" t="s">
        <v>304</v>
      </c>
      <c r="J200" s="235" t="s">
        <v>102</v>
      </c>
      <c r="K200" s="223" t="s">
        <v>199</v>
      </c>
      <c r="L200" s="223" t="s">
        <v>330</v>
      </c>
      <c r="M200" s="223" t="s">
        <v>642</v>
      </c>
      <c r="N200" s="223" t="s">
        <v>331</v>
      </c>
      <c r="P200" s="351"/>
    </row>
    <row r="201" spans="1:16" s="223" customFormat="1" ht="13.8" x14ac:dyDescent="0.25">
      <c r="A201" s="234">
        <v>45131</v>
      </c>
      <c r="B201" s="275" t="s">
        <v>412</v>
      </c>
      <c r="C201" s="235" t="s">
        <v>239</v>
      </c>
      <c r="D201" s="223" t="s">
        <v>300</v>
      </c>
      <c r="F201" s="223">
        <v>39500</v>
      </c>
      <c r="G201" s="215">
        <f t="shared" si="2"/>
        <v>17198450</v>
      </c>
      <c r="H201" s="223" t="s">
        <v>25</v>
      </c>
      <c r="I201" s="275" t="s">
        <v>304</v>
      </c>
      <c r="J201" s="223" t="s">
        <v>102</v>
      </c>
      <c r="K201" s="235" t="s">
        <v>199</v>
      </c>
      <c r="L201" s="235" t="s">
        <v>330</v>
      </c>
      <c r="M201" s="223" t="s">
        <v>643</v>
      </c>
      <c r="N201" s="235" t="s">
        <v>334</v>
      </c>
      <c r="P201" s="351"/>
    </row>
    <row r="202" spans="1:16" s="223" customFormat="1" ht="13.8" x14ac:dyDescent="0.25">
      <c r="A202" s="391">
        <v>45131</v>
      </c>
      <c r="B202" s="441" t="s">
        <v>310</v>
      </c>
      <c r="C202" s="389" t="s">
        <v>75</v>
      </c>
      <c r="D202" s="436"/>
      <c r="E202" s="441">
        <v>70000</v>
      </c>
      <c r="F202" s="442"/>
      <c r="G202" s="387">
        <f t="shared" si="2"/>
        <v>17268450</v>
      </c>
      <c r="H202" s="441" t="s">
        <v>301</v>
      </c>
      <c r="I202" s="440"/>
      <c r="J202" s="441"/>
      <c r="K202" s="436"/>
      <c r="L202" s="436"/>
      <c r="M202" s="436"/>
      <c r="N202" s="436"/>
      <c r="O202" s="441"/>
      <c r="P202" s="239"/>
    </row>
    <row r="203" spans="1:16" s="223" customFormat="1" ht="13.8" x14ac:dyDescent="0.25">
      <c r="A203" s="237">
        <v>45132</v>
      </c>
      <c r="B203" s="223" t="s">
        <v>413</v>
      </c>
      <c r="C203" s="235" t="s">
        <v>230</v>
      </c>
      <c r="D203" s="223" t="s">
        <v>155</v>
      </c>
      <c r="E203" s="215"/>
      <c r="F203" s="215">
        <v>150000</v>
      </c>
      <c r="G203" s="215">
        <f t="shared" si="2"/>
        <v>17118450</v>
      </c>
      <c r="H203" s="223" t="s">
        <v>25</v>
      </c>
      <c r="I203" s="235" t="s">
        <v>368</v>
      </c>
      <c r="J203" s="223" t="s">
        <v>288</v>
      </c>
      <c r="K203" s="235" t="s">
        <v>198</v>
      </c>
      <c r="L203" s="235" t="s">
        <v>330</v>
      </c>
      <c r="N203" s="235"/>
      <c r="O203" s="215"/>
      <c r="P203" s="351"/>
    </row>
    <row r="204" spans="1:16" s="223" customFormat="1" ht="13.8" x14ac:dyDescent="0.25">
      <c r="A204" s="396">
        <v>45132</v>
      </c>
      <c r="B204" s="346" t="s">
        <v>302</v>
      </c>
      <c r="C204" s="314" t="s">
        <v>75</v>
      </c>
      <c r="D204" s="315"/>
      <c r="E204" s="409"/>
      <c r="F204" s="409">
        <v>104000</v>
      </c>
      <c r="G204" s="316">
        <f t="shared" si="2"/>
        <v>17014450</v>
      </c>
      <c r="H204" s="346" t="s">
        <v>25</v>
      </c>
      <c r="I204" s="337"/>
      <c r="J204" s="346"/>
      <c r="K204" s="346"/>
      <c r="L204" s="346"/>
      <c r="M204" s="346"/>
      <c r="N204" s="346"/>
      <c r="O204" s="410"/>
      <c r="P204" s="239"/>
    </row>
    <row r="205" spans="1:16" s="223" customFormat="1" ht="13.8" x14ac:dyDescent="0.25">
      <c r="A205" s="234">
        <v>45132</v>
      </c>
      <c r="B205" s="300" t="s">
        <v>270</v>
      </c>
      <c r="C205" s="235" t="s">
        <v>75</v>
      </c>
      <c r="E205" s="302"/>
      <c r="F205" s="302">
        <v>15000</v>
      </c>
      <c r="G205" s="215">
        <f t="shared" si="2"/>
        <v>16999450</v>
      </c>
      <c r="H205" s="300" t="s">
        <v>25</v>
      </c>
      <c r="I205" s="275"/>
      <c r="J205" s="300"/>
      <c r="K205" s="300"/>
      <c r="L205" s="300"/>
      <c r="M205" s="300"/>
      <c r="N205" s="300"/>
      <c r="O205" s="190"/>
      <c r="P205" s="239"/>
    </row>
    <row r="206" spans="1:16" s="223" customFormat="1" ht="13.8" x14ac:dyDescent="0.25">
      <c r="A206" s="220">
        <v>45132</v>
      </c>
      <c r="B206" s="300" t="s">
        <v>29</v>
      </c>
      <c r="C206" s="235" t="s">
        <v>75</v>
      </c>
      <c r="D206" s="301"/>
      <c r="E206" s="302"/>
      <c r="F206" s="303">
        <v>31000</v>
      </c>
      <c r="G206" s="215">
        <f t="shared" si="2"/>
        <v>16968450</v>
      </c>
      <c r="H206" s="300" t="s">
        <v>25</v>
      </c>
      <c r="I206" s="300"/>
      <c r="J206" s="300"/>
      <c r="K206" s="300"/>
      <c r="L206" s="300"/>
      <c r="M206" s="300"/>
      <c r="N206" s="300"/>
      <c r="O206" s="190"/>
      <c r="P206" s="239"/>
    </row>
    <row r="207" spans="1:16" s="223" customFormat="1" ht="13.8" x14ac:dyDescent="0.25">
      <c r="A207" s="340">
        <v>45132</v>
      </c>
      <c r="B207" s="365" t="s">
        <v>269</v>
      </c>
      <c r="C207" s="313" t="s">
        <v>75</v>
      </c>
      <c r="D207" s="310"/>
      <c r="E207" s="366"/>
      <c r="F207" s="366">
        <v>31000</v>
      </c>
      <c r="G207" s="311">
        <f t="shared" si="2"/>
        <v>16937450</v>
      </c>
      <c r="H207" s="365" t="s">
        <v>25</v>
      </c>
      <c r="I207" s="363"/>
      <c r="J207" s="365"/>
      <c r="K207" s="365"/>
      <c r="L207" s="365"/>
      <c r="M207" s="365"/>
      <c r="N207" s="365"/>
      <c r="O207" s="359"/>
      <c r="P207" s="239"/>
    </row>
    <row r="208" spans="1:16" s="223" customFormat="1" ht="13.8" x14ac:dyDescent="0.25">
      <c r="A208" s="234">
        <v>45132</v>
      </c>
      <c r="B208" s="300" t="s">
        <v>303</v>
      </c>
      <c r="C208" s="301" t="s">
        <v>213</v>
      </c>
      <c r="D208" s="223" t="s">
        <v>300</v>
      </c>
      <c r="E208" s="302"/>
      <c r="F208" s="302">
        <f>62000*3%</f>
        <v>1860</v>
      </c>
      <c r="G208" s="215">
        <f t="shared" ref="G208:G271" si="3">+G207+E208-F208</f>
        <v>16935590</v>
      </c>
      <c r="H208" s="300" t="s">
        <v>25</v>
      </c>
      <c r="I208" s="275" t="s">
        <v>304</v>
      </c>
      <c r="J208" s="235" t="s">
        <v>102</v>
      </c>
      <c r="K208" s="223" t="s">
        <v>199</v>
      </c>
      <c r="L208" s="223" t="s">
        <v>330</v>
      </c>
      <c r="M208" s="223" t="s">
        <v>644</v>
      </c>
      <c r="N208" s="223" t="s">
        <v>331</v>
      </c>
      <c r="O208" s="190"/>
      <c r="P208" s="351"/>
    </row>
    <row r="209" spans="1:16" s="223" customFormat="1" ht="13.8" x14ac:dyDescent="0.25">
      <c r="A209" s="443">
        <v>45132</v>
      </c>
      <c r="B209" s="444" t="s">
        <v>414</v>
      </c>
      <c r="C209" s="389" t="s">
        <v>75</v>
      </c>
      <c r="D209" s="385"/>
      <c r="E209" s="444">
        <v>2000000</v>
      </c>
      <c r="F209" s="444"/>
      <c r="G209" s="387">
        <f t="shared" si="3"/>
        <v>18935590</v>
      </c>
      <c r="H209" s="385" t="s">
        <v>25</v>
      </c>
      <c r="I209" s="388"/>
      <c r="J209" s="389"/>
      <c r="K209" s="389"/>
      <c r="L209" s="389"/>
      <c r="M209" s="385"/>
      <c r="N209" s="389"/>
      <c r="O209" s="444"/>
      <c r="P209" s="239"/>
    </row>
    <row r="210" spans="1:16" s="223" customFormat="1" ht="13.8" x14ac:dyDescent="0.25">
      <c r="A210" s="241">
        <v>45132</v>
      </c>
      <c r="B210" s="223" t="s">
        <v>415</v>
      </c>
      <c r="C210" s="235" t="s">
        <v>239</v>
      </c>
      <c r="D210" s="223" t="s">
        <v>300</v>
      </c>
      <c r="E210" s="215"/>
      <c r="F210" s="215">
        <v>13500</v>
      </c>
      <c r="G210" s="215">
        <f t="shared" si="3"/>
        <v>18922090</v>
      </c>
      <c r="H210" s="223" t="s">
        <v>25</v>
      </c>
      <c r="I210" s="275" t="s">
        <v>304</v>
      </c>
      <c r="J210" s="223" t="s">
        <v>102</v>
      </c>
      <c r="K210" s="235" t="s">
        <v>199</v>
      </c>
      <c r="L210" s="235" t="s">
        <v>330</v>
      </c>
      <c r="M210" s="223" t="s">
        <v>645</v>
      </c>
      <c r="N210" s="235" t="s">
        <v>334</v>
      </c>
      <c r="O210" s="231"/>
      <c r="P210" s="351"/>
    </row>
    <row r="211" spans="1:16" s="223" customFormat="1" ht="13.8" x14ac:dyDescent="0.25">
      <c r="A211" s="396">
        <v>45132</v>
      </c>
      <c r="B211" s="315" t="s">
        <v>424</v>
      </c>
      <c r="C211" s="314" t="s">
        <v>75</v>
      </c>
      <c r="D211" s="315"/>
      <c r="E211" s="316"/>
      <c r="F211" s="316">
        <v>20000</v>
      </c>
      <c r="G211" s="316">
        <f t="shared" si="3"/>
        <v>18902090</v>
      </c>
      <c r="H211" s="315" t="s">
        <v>25</v>
      </c>
      <c r="I211" s="337"/>
      <c r="J211" s="315"/>
      <c r="K211" s="315"/>
      <c r="L211" s="315"/>
      <c r="M211" s="315"/>
      <c r="N211" s="315"/>
      <c r="O211" s="315"/>
      <c r="P211" s="239"/>
    </row>
    <row r="212" spans="1:16" s="223" customFormat="1" ht="13.8" x14ac:dyDescent="0.25">
      <c r="A212" s="234">
        <v>45132</v>
      </c>
      <c r="B212" s="223" t="s">
        <v>434</v>
      </c>
      <c r="C212" s="235" t="s">
        <v>75</v>
      </c>
      <c r="D212" s="235"/>
      <c r="F212" s="223">
        <v>2000000</v>
      </c>
      <c r="G212" s="215">
        <f t="shared" si="3"/>
        <v>16902090</v>
      </c>
      <c r="H212" s="235" t="s">
        <v>24</v>
      </c>
      <c r="I212" s="221">
        <v>3654558</v>
      </c>
      <c r="N212" s="235"/>
      <c r="O212" s="235"/>
      <c r="P212" s="239"/>
    </row>
    <row r="213" spans="1:16" s="223" customFormat="1" ht="13.8" x14ac:dyDescent="0.25">
      <c r="A213" s="237">
        <v>45132</v>
      </c>
      <c r="B213" s="223" t="s">
        <v>446</v>
      </c>
      <c r="C213" s="215" t="s">
        <v>318</v>
      </c>
      <c r="D213" s="243"/>
      <c r="E213" s="223">
        <v>11771804</v>
      </c>
      <c r="G213" s="215">
        <f t="shared" si="3"/>
        <v>28673894</v>
      </c>
      <c r="H213" s="300" t="s">
        <v>148</v>
      </c>
      <c r="I213" s="221" t="s">
        <v>305</v>
      </c>
      <c r="J213" s="223" t="s">
        <v>102</v>
      </c>
      <c r="N213" s="235"/>
      <c r="P213" s="239"/>
    </row>
    <row r="214" spans="1:16" s="223" customFormat="1" ht="13.8" x14ac:dyDescent="0.25">
      <c r="A214" s="367">
        <v>45132</v>
      </c>
      <c r="B214" s="362" t="s">
        <v>308</v>
      </c>
      <c r="C214" s="313" t="s">
        <v>75</v>
      </c>
      <c r="D214" s="310"/>
      <c r="E214" s="310">
        <v>15000</v>
      </c>
      <c r="F214" s="310"/>
      <c r="G214" s="311">
        <f t="shared" si="3"/>
        <v>28688894</v>
      </c>
      <c r="H214" s="310" t="s">
        <v>270</v>
      </c>
      <c r="I214" s="363"/>
      <c r="J214" s="313"/>
      <c r="K214" s="365"/>
      <c r="L214" s="365"/>
      <c r="M214" s="310"/>
      <c r="N214" s="313"/>
      <c r="O214" s="310"/>
      <c r="P214" s="239"/>
    </row>
    <row r="215" spans="1:16" s="223" customFormat="1" ht="13.8" x14ac:dyDescent="0.25">
      <c r="A215" s="234">
        <v>45132</v>
      </c>
      <c r="B215" s="300" t="s">
        <v>471</v>
      </c>
      <c r="C215" s="301" t="s">
        <v>472</v>
      </c>
      <c r="D215" s="223" t="s">
        <v>4</v>
      </c>
      <c r="E215" s="302"/>
      <c r="F215" s="302">
        <v>14000</v>
      </c>
      <c r="G215" s="215">
        <f t="shared" si="3"/>
        <v>28674894</v>
      </c>
      <c r="H215" s="300" t="s">
        <v>270</v>
      </c>
      <c r="I215" s="235" t="s">
        <v>368</v>
      </c>
      <c r="J215" s="223" t="s">
        <v>288</v>
      </c>
      <c r="K215" s="223" t="s">
        <v>198</v>
      </c>
      <c r="L215" s="223" t="s">
        <v>330</v>
      </c>
      <c r="M215" s="300"/>
      <c r="N215" s="300"/>
      <c r="O215" s="190"/>
      <c r="P215" s="351"/>
    </row>
    <row r="216" spans="1:16" s="223" customFormat="1" ht="13.8" x14ac:dyDescent="0.25">
      <c r="A216" s="408">
        <v>45132</v>
      </c>
      <c r="B216" s="385" t="s">
        <v>480</v>
      </c>
      <c r="C216" s="389" t="s">
        <v>75</v>
      </c>
      <c r="D216" s="385"/>
      <c r="E216" s="385">
        <v>20000</v>
      </c>
      <c r="F216" s="385"/>
      <c r="G216" s="387">
        <f t="shared" si="3"/>
        <v>28694894</v>
      </c>
      <c r="H216" s="427" t="s">
        <v>424</v>
      </c>
      <c r="I216" s="388"/>
      <c r="J216" s="385"/>
      <c r="K216" s="389"/>
      <c r="L216" s="389"/>
      <c r="M216" s="385"/>
      <c r="N216" s="389"/>
      <c r="O216" s="385"/>
      <c r="P216" s="239"/>
    </row>
    <row r="217" spans="1:16" s="223" customFormat="1" ht="13.8" x14ac:dyDescent="0.25">
      <c r="A217" s="234">
        <v>45132</v>
      </c>
      <c r="B217" s="223" t="s">
        <v>498</v>
      </c>
      <c r="C217" s="235" t="s">
        <v>319</v>
      </c>
      <c r="D217" s="223" t="s">
        <v>4</v>
      </c>
      <c r="E217" s="215"/>
      <c r="F217" s="215">
        <v>120000</v>
      </c>
      <c r="G217" s="215">
        <f t="shared" si="3"/>
        <v>28574894</v>
      </c>
      <c r="H217" s="223" t="s">
        <v>269</v>
      </c>
      <c r="I217" s="275" t="s">
        <v>304</v>
      </c>
      <c r="J217" s="223" t="s">
        <v>288</v>
      </c>
      <c r="K217" s="223" t="s">
        <v>199</v>
      </c>
      <c r="L217" s="223" t="s">
        <v>330</v>
      </c>
      <c r="M217" s="223" t="s">
        <v>646</v>
      </c>
      <c r="N217" s="223" t="s">
        <v>343</v>
      </c>
      <c r="P217" s="351"/>
    </row>
    <row r="218" spans="1:16" s="235" customFormat="1" ht="13.8" x14ac:dyDescent="0.25">
      <c r="A218" s="246">
        <v>45132</v>
      </c>
      <c r="B218" s="242" t="s">
        <v>499</v>
      </c>
      <c r="C218" s="235" t="s">
        <v>34</v>
      </c>
      <c r="D218" s="223" t="s">
        <v>4</v>
      </c>
      <c r="E218" s="244"/>
      <c r="F218" s="274">
        <v>15000</v>
      </c>
      <c r="G218" s="215">
        <f t="shared" si="3"/>
        <v>28559894</v>
      </c>
      <c r="H218" s="240" t="s">
        <v>269</v>
      </c>
      <c r="I218" s="275" t="s">
        <v>304</v>
      </c>
      <c r="J218" s="223" t="s">
        <v>288</v>
      </c>
      <c r="K218" s="235" t="s">
        <v>199</v>
      </c>
      <c r="L218" s="235" t="s">
        <v>330</v>
      </c>
      <c r="M218" s="223" t="s">
        <v>647</v>
      </c>
      <c r="N218" s="235" t="s">
        <v>342</v>
      </c>
      <c r="O218" s="223"/>
      <c r="P218" s="355"/>
    </row>
    <row r="219" spans="1:16" s="235" customFormat="1" ht="13.8" x14ac:dyDescent="0.25">
      <c r="A219" s="408">
        <v>45132</v>
      </c>
      <c r="B219" s="389" t="s">
        <v>488</v>
      </c>
      <c r="C219" s="389" t="s">
        <v>75</v>
      </c>
      <c r="D219" s="413"/>
      <c r="E219" s="389">
        <v>31000</v>
      </c>
      <c r="F219" s="445"/>
      <c r="G219" s="387">
        <f t="shared" si="3"/>
        <v>28590894</v>
      </c>
      <c r="H219" s="389" t="s">
        <v>269</v>
      </c>
      <c r="I219" s="388"/>
      <c r="J219" s="389"/>
      <c r="K219" s="389"/>
      <c r="L219" s="389"/>
      <c r="M219" s="385"/>
      <c r="N219" s="385"/>
      <c r="O219" s="389"/>
      <c r="P219" s="253"/>
    </row>
    <row r="220" spans="1:16" s="235" customFormat="1" ht="13.8" x14ac:dyDescent="0.25">
      <c r="A220" s="237">
        <v>45132</v>
      </c>
      <c r="B220" s="235" t="s">
        <v>500</v>
      </c>
      <c r="C220" s="235" t="s">
        <v>323</v>
      </c>
      <c r="D220" s="223" t="s">
        <v>4</v>
      </c>
      <c r="F220" s="247">
        <v>28000</v>
      </c>
      <c r="G220" s="215">
        <f t="shared" si="3"/>
        <v>28562894</v>
      </c>
      <c r="H220" s="235" t="s">
        <v>269</v>
      </c>
      <c r="I220" s="235" t="s">
        <v>368</v>
      </c>
      <c r="J220" s="223" t="s">
        <v>288</v>
      </c>
      <c r="K220" s="223" t="s">
        <v>198</v>
      </c>
      <c r="L220" s="223" t="s">
        <v>330</v>
      </c>
      <c r="M220" s="238"/>
      <c r="N220" s="223"/>
      <c r="P220" s="355"/>
    </row>
    <row r="221" spans="1:16" s="235" customFormat="1" ht="13.8" x14ac:dyDescent="0.25">
      <c r="A221" s="443">
        <v>45132</v>
      </c>
      <c r="B221" s="385" t="s">
        <v>327</v>
      </c>
      <c r="C221" s="389" t="s">
        <v>75</v>
      </c>
      <c r="D221" s="414"/>
      <c r="E221" s="387">
        <v>104000</v>
      </c>
      <c r="F221" s="387"/>
      <c r="G221" s="387">
        <f t="shared" si="3"/>
        <v>28666894</v>
      </c>
      <c r="H221" s="385" t="s">
        <v>302</v>
      </c>
      <c r="I221" s="388"/>
      <c r="J221" s="389"/>
      <c r="K221" s="390"/>
      <c r="L221" s="390"/>
      <c r="M221" s="385"/>
      <c r="N221" s="389"/>
      <c r="O221" s="385"/>
      <c r="P221" s="253"/>
    </row>
    <row r="222" spans="1:16" s="235" customFormat="1" ht="13.8" x14ac:dyDescent="0.25">
      <c r="A222" s="234">
        <v>45132</v>
      </c>
      <c r="B222" s="242" t="s">
        <v>533</v>
      </c>
      <c r="C222" s="235" t="s">
        <v>34</v>
      </c>
      <c r="D222" s="223" t="s">
        <v>154</v>
      </c>
      <c r="E222" s="223"/>
      <c r="F222" s="215">
        <v>15000</v>
      </c>
      <c r="G222" s="215">
        <f t="shared" si="3"/>
        <v>28651894</v>
      </c>
      <c r="H222" s="223" t="s">
        <v>302</v>
      </c>
      <c r="I222" s="275" t="s">
        <v>304</v>
      </c>
      <c r="J222" s="223" t="s">
        <v>288</v>
      </c>
      <c r="K222" s="223" t="s">
        <v>198</v>
      </c>
      <c r="L222" s="223" t="s">
        <v>330</v>
      </c>
      <c r="M222" s="223"/>
      <c r="O222" s="223"/>
      <c r="P222" s="355"/>
    </row>
    <row r="223" spans="1:16" s="235" customFormat="1" ht="13.8" x14ac:dyDescent="0.25">
      <c r="A223" s="408">
        <v>45132</v>
      </c>
      <c r="B223" s="389" t="s">
        <v>325</v>
      </c>
      <c r="C223" s="389" t="s">
        <v>75</v>
      </c>
      <c r="D223" s="385"/>
      <c r="E223" s="389">
        <v>31000</v>
      </c>
      <c r="F223" s="445"/>
      <c r="G223" s="387">
        <f t="shared" si="3"/>
        <v>28682894</v>
      </c>
      <c r="H223" s="416" t="s">
        <v>29</v>
      </c>
      <c r="I223" s="388"/>
      <c r="J223" s="385"/>
      <c r="K223" s="385"/>
      <c r="L223" s="385"/>
      <c r="M223" s="385"/>
      <c r="N223" s="385"/>
      <c r="O223" s="389"/>
      <c r="P223" s="253"/>
    </row>
    <row r="224" spans="1:16" s="235" customFormat="1" ht="13.8" x14ac:dyDescent="0.25">
      <c r="A224" s="234">
        <v>45132</v>
      </c>
      <c r="B224" s="235" t="s">
        <v>554</v>
      </c>
      <c r="C224" s="235" t="s">
        <v>34</v>
      </c>
      <c r="D224" s="223" t="s">
        <v>4</v>
      </c>
      <c r="F224" s="247">
        <v>15000</v>
      </c>
      <c r="G224" s="215">
        <f t="shared" si="3"/>
        <v>28667894</v>
      </c>
      <c r="H224" s="240" t="s">
        <v>29</v>
      </c>
      <c r="I224" s="275" t="s">
        <v>304</v>
      </c>
      <c r="J224" s="223" t="s">
        <v>288</v>
      </c>
      <c r="K224" s="235" t="s">
        <v>199</v>
      </c>
      <c r="L224" s="235" t="s">
        <v>330</v>
      </c>
      <c r="M224" s="223" t="s">
        <v>648</v>
      </c>
      <c r="N224" s="235" t="s">
        <v>342</v>
      </c>
      <c r="P224" s="355"/>
    </row>
    <row r="225" spans="1:16" s="235" customFormat="1" ht="13.8" x14ac:dyDescent="0.25">
      <c r="A225" s="408">
        <v>45133</v>
      </c>
      <c r="B225" s="385" t="s">
        <v>301</v>
      </c>
      <c r="C225" s="389" t="s">
        <v>75</v>
      </c>
      <c r="D225" s="389"/>
      <c r="E225" s="385"/>
      <c r="F225" s="388">
        <v>102000</v>
      </c>
      <c r="G225" s="387">
        <f t="shared" si="3"/>
        <v>28565894</v>
      </c>
      <c r="H225" s="385" t="s">
        <v>25</v>
      </c>
      <c r="I225" s="388"/>
      <c r="J225" s="385"/>
      <c r="K225" s="416"/>
      <c r="L225" s="385"/>
      <c r="M225" s="411"/>
      <c r="N225" s="387"/>
      <c r="O225" s="387"/>
      <c r="P225" s="253"/>
    </row>
    <row r="226" spans="1:16" s="235" customFormat="1" ht="13.8" x14ac:dyDescent="0.25">
      <c r="A226" s="241">
        <v>45133</v>
      </c>
      <c r="B226" s="223" t="s">
        <v>416</v>
      </c>
      <c r="C226" s="223" t="s">
        <v>432</v>
      </c>
      <c r="D226" s="223" t="s">
        <v>154</v>
      </c>
      <c r="E226" s="223"/>
      <c r="F226" s="275">
        <v>81500</v>
      </c>
      <c r="G226" s="215">
        <f t="shared" si="3"/>
        <v>28484394</v>
      </c>
      <c r="H226" s="240" t="s">
        <v>25</v>
      </c>
      <c r="I226" s="275" t="s">
        <v>304</v>
      </c>
      <c r="J226" s="223" t="s">
        <v>102</v>
      </c>
      <c r="K226" s="223" t="s">
        <v>199</v>
      </c>
      <c r="L226" s="235" t="s">
        <v>330</v>
      </c>
      <c r="M226" s="223" t="s">
        <v>649</v>
      </c>
      <c r="N226" s="223" t="s">
        <v>333</v>
      </c>
      <c r="O226" s="223"/>
      <c r="P226" s="355"/>
    </row>
    <row r="227" spans="1:16" s="235" customFormat="1" ht="13.8" x14ac:dyDescent="0.25">
      <c r="A227" s="234">
        <v>45133</v>
      </c>
      <c r="B227" s="242" t="s">
        <v>371</v>
      </c>
      <c r="C227" s="235" t="s">
        <v>213</v>
      </c>
      <c r="D227" s="223" t="s">
        <v>300</v>
      </c>
      <c r="E227" s="193"/>
      <c r="F227" s="274">
        <v>4365</v>
      </c>
      <c r="G227" s="215">
        <f t="shared" si="3"/>
        <v>28480029</v>
      </c>
      <c r="H227" s="215" t="s">
        <v>25</v>
      </c>
      <c r="I227" s="275" t="s">
        <v>304</v>
      </c>
      <c r="J227" s="235" t="s">
        <v>102</v>
      </c>
      <c r="K227" s="223" t="s">
        <v>199</v>
      </c>
      <c r="L227" s="223" t="s">
        <v>330</v>
      </c>
      <c r="M227" s="223" t="s">
        <v>650</v>
      </c>
      <c r="N227" s="223" t="s">
        <v>331</v>
      </c>
      <c r="O227" s="223"/>
      <c r="P227" s="355"/>
    </row>
    <row r="228" spans="1:16" s="235" customFormat="1" ht="13.8" x14ac:dyDescent="0.25">
      <c r="A228" s="234">
        <v>45133</v>
      </c>
      <c r="B228" s="235" t="s">
        <v>537</v>
      </c>
      <c r="C228" s="230" t="s">
        <v>307</v>
      </c>
      <c r="D228" s="223" t="s">
        <v>154</v>
      </c>
      <c r="F228" s="235">
        <v>20000</v>
      </c>
      <c r="G228" s="215">
        <f t="shared" si="3"/>
        <v>28460029</v>
      </c>
      <c r="H228" s="235" t="s">
        <v>302</v>
      </c>
      <c r="I228" s="235" t="s">
        <v>368</v>
      </c>
      <c r="J228" s="223" t="s">
        <v>288</v>
      </c>
      <c r="K228" s="223" t="s">
        <v>198</v>
      </c>
      <c r="L228" s="223" t="s">
        <v>330</v>
      </c>
      <c r="M228" s="223"/>
      <c r="P228" s="355"/>
    </row>
    <row r="229" spans="1:16" s="235" customFormat="1" ht="13.8" x14ac:dyDescent="0.25">
      <c r="A229" s="237">
        <v>45133</v>
      </c>
      <c r="B229" s="235" t="s">
        <v>555</v>
      </c>
      <c r="C229" s="223" t="s">
        <v>307</v>
      </c>
      <c r="D229" s="223" t="s">
        <v>4</v>
      </c>
      <c r="F229" s="235">
        <v>120000</v>
      </c>
      <c r="G229" s="215">
        <f t="shared" si="3"/>
        <v>28340029</v>
      </c>
      <c r="H229" s="240" t="s">
        <v>29</v>
      </c>
      <c r="I229" s="275" t="s">
        <v>304</v>
      </c>
      <c r="J229" s="223" t="s">
        <v>288</v>
      </c>
      <c r="K229" s="223" t="s">
        <v>199</v>
      </c>
      <c r="L229" s="223" t="s">
        <v>330</v>
      </c>
      <c r="M229" s="223" t="s">
        <v>651</v>
      </c>
      <c r="N229" s="223" t="s">
        <v>343</v>
      </c>
      <c r="P229" s="355"/>
    </row>
    <row r="230" spans="1:16" s="235" customFormat="1" ht="13.8" x14ac:dyDescent="0.25">
      <c r="A230" s="234">
        <v>45134</v>
      </c>
      <c r="B230" s="223" t="s">
        <v>417</v>
      </c>
      <c r="C230" s="235" t="s">
        <v>239</v>
      </c>
      <c r="D230" s="223" t="s">
        <v>300</v>
      </c>
      <c r="E230" s="215"/>
      <c r="F230" s="274">
        <v>10500</v>
      </c>
      <c r="G230" s="215">
        <f t="shared" si="3"/>
        <v>28329529</v>
      </c>
      <c r="H230" s="223" t="s">
        <v>25</v>
      </c>
      <c r="I230" s="275" t="s">
        <v>304</v>
      </c>
      <c r="J230" s="223" t="s">
        <v>288</v>
      </c>
      <c r="K230" s="240" t="s">
        <v>198</v>
      </c>
      <c r="L230" s="223" t="s">
        <v>330</v>
      </c>
      <c r="M230" s="223"/>
      <c r="N230" s="223"/>
      <c r="O230" s="223"/>
      <c r="P230" s="355"/>
    </row>
    <row r="231" spans="1:16" s="235" customFormat="1" ht="13.8" x14ac:dyDescent="0.25">
      <c r="A231" s="384">
        <v>45134</v>
      </c>
      <c r="B231" s="385" t="s">
        <v>29</v>
      </c>
      <c r="C231" s="389" t="s">
        <v>75</v>
      </c>
      <c r="D231" s="413"/>
      <c r="E231" s="424"/>
      <c r="F231" s="424">
        <v>20000</v>
      </c>
      <c r="G231" s="387">
        <f t="shared" si="3"/>
        <v>28309529</v>
      </c>
      <c r="H231" s="385" t="s">
        <v>25</v>
      </c>
      <c r="I231" s="389"/>
      <c r="J231" s="385"/>
      <c r="K231" s="385"/>
      <c r="L231" s="385"/>
      <c r="M231" s="411"/>
      <c r="N231" s="389"/>
      <c r="O231" s="385"/>
      <c r="P231" s="253"/>
    </row>
    <row r="232" spans="1:16" s="235" customFormat="1" ht="13.8" x14ac:dyDescent="0.25">
      <c r="A232" s="234">
        <v>45134</v>
      </c>
      <c r="B232" s="215" t="s">
        <v>418</v>
      </c>
      <c r="C232" s="235" t="s">
        <v>171</v>
      </c>
      <c r="D232" s="223" t="s">
        <v>4</v>
      </c>
      <c r="E232" s="223"/>
      <c r="F232" s="221">
        <v>5000</v>
      </c>
      <c r="G232" s="215">
        <f t="shared" si="3"/>
        <v>28304529</v>
      </c>
      <c r="H232" s="223" t="s">
        <v>25</v>
      </c>
      <c r="I232" s="275" t="s">
        <v>304</v>
      </c>
      <c r="J232" s="235" t="s">
        <v>288</v>
      </c>
      <c r="K232" s="235" t="s">
        <v>198</v>
      </c>
      <c r="L232" s="235" t="s">
        <v>330</v>
      </c>
      <c r="M232" s="223"/>
      <c r="O232" s="223"/>
      <c r="P232" s="355"/>
    </row>
    <row r="233" spans="1:16" s="223" customFormat="1" ht="13.8" x14ac:dyDescent="0.25">
      <c r="A233" s="237">
        <v>45134</v>
      </c>
      <c r="B233" s="235" t="s">
        <v>447</v>
      </c>
      <c r="C233" s="223" t="s">
        <v>170</v>
      </c>
      <c r="D233" s="223" t="s">
        <v>154</v>
      </c>
      <c r="E233" s="235"/>
      <c r="F233" s="223">
        <v>359500</v>
      </c>
      <c r="G233" s="215">
        <f t="shared" si="3"/>
        <v>27945029</v>
      </c>
      <c r="H233" s="300" t="s">
        <v>148</v>
      </c>
      <c r="I233" s="221">
        <v>3667366</v>
      </c>
      <c r="J233" s="223" t="s">
        <v>102</v>
      </c>
      <c r="K233" s="223" t="s">
        <v>199</v>
      </c>
      <c r="L233" s="223" t="s">
        <v>330</v>
      </c>
      <c r="M233" s="223" t="s">
        <v>652</v>
      </c>
      <c r="N233" s="235" t="s">
        <v>337</v>
      </c>
      <c r="O233" s="235"/>
      <c r="P233" s="351"/>
    </row>
    <row r="234" spans="1:16" s="223" customFormat="1" ht="17.25" customHeight="1" x14ac:dyDescent="0.25">
      <c r="A234" s="237">
        <v>45134</v>
      </c>
      <c r="B234" s="223" t="s">
        <v>677</v>
      </c>
      <c r="C234" s="223" t="s">
        <v>170</v>
      </c>
      <c r="D234" s="223" t="s">
        <v>154</v>
      </c>
      <c r="F234" s="223">
        <v>200000</v>
      </c>
      <c r="G234" s="215">
        <f t="shared" si="3"/>
        <v>27745029</v>
      </c>
      <c r="H234" s="300" t="s">
        <v>148</v>
      </c>
      <c r="I234" s="242">
        <v>3667367</v>
      </c>
      <c r="J234" s="223" t="s">
        <v>102</v>
      </c>
      <c r="K234" s="223" t="s">
        <v>199</v>
      </c>
      <c r="L234" s="223" t="s">
        <v>330</v>
      </c>
      <c r="M234" s="223" t="s">
        <v>653</v>
      </c>
      <c r="N234" s="235" t="s">
        <v>337</v>
      </c>
      <c r="P234" s="351"/>
    </row>
    <row r="235" spans="1:16" s="223" customFormat="1" ht="17.25" customHeight="1" x14ac:dyDescent="0.25">
      <c r="A235" s="234">
        <v>45134</v>
      </c>
      <c r="B235" s="223" t="s">
        <v>448</v>
      </c>
      <c r="C235" s="223" t="s">
        <v>170</v>
      </c>
      <c r="D235" s="223" t="s">
        <v>155</v>
      </c>
      <c r="E235" s="240"/>
      <c r="F235" s="223">
        <v>235600</v>
      </c>
      <c r="G235" s="215">
        <f t="shared" si="3"/>
        <v>27509429</v>
      </c>
      <c r="H235" s="300" t="s">
        <v>148</v>
      </c>
      <c r="I235" s="221">
        <v>3667370</v>
      </c>
      <c r="J235" s="223" t="s">
        <v>102</v>
      </c>
      <c r="K235" s="223" t="s">
        <v>199</v>
      </c>
      <c r="L235" s="223" t="s">
        <v>330</v>
      </c>
      <c r="M235" s="223" t="s">
        <v>654</v>
      </c>
      <c r="N235" s="235" t="s">
        <v>338</v>
      </c>
      <c r="P235" s="351"/>
    </row>
    <row r="236" spans="1:16" s="223" customFormat="1" ht="17.25" customHeight="1" x14ac:dyDescent="0.25">
      <c r="A236" s="234">
        <v>45134</v>
      </c>
      <c r="B236" s="223" t="s">
        <v>449</v>
      </c>
      <c r="C236" s="223" t="s">
        <v>170</v>
      </c>
      <c r="D236" s="223" t="s">
        <v>300</v>
      </c>
      <c r="F236" s="223">
        <v>300000</v>
      </c>
      <c r="G236" s="215">
        <f t="shared" si="3"/>
        <v>27209429</v>
      </c>
      <c r="H236" s="300" t="s">
        <v>148</v>
      </c>
      <c r="I236" s="221">
        <v>3667369</v>
      </c>
      <c r="J236" s="223" t="s">
        <v>102</v>
      </c>
      <c r="K236" s="223" t="s">
        <v>199</v>
      </c>
      <c r="L236" s="223" t="s">
        <v>330</v>
      </c>
      <c r="M236" s="223" t="s">
        <v>655</v>
      </c>
      <c r="N236" s="235" t="s">
        <v>339</v>
      </c>
      <c r="P236" s="351"/>
    </row>
    <row r="237" spans="1:16" s="223" customFormat="1" ht="17.25" customHeight="1" x14ac:dyDescent="0.25">
      <c r="A237" s="234">
        <v>45134</v>
      </c>
      <c r="B237" s="223" t="s">
        <v>450</v>
      </c>
      <c r="C237" s="223" t="s">
        <v>170</v>
      </c>
      <c r="D237" s="223" t="s">
        <v>2</v>
      </c>
      <c r="F237" s="223">
        <v>350000</v>
      </c>
      <c r="G237" s="215">
        <f t="shared" si="3"/>
        <v>26859429</v>
      </c>
      <c r="H237" s="300" t="s">
        <v>148</v>
      </c>
      <c r="I237" s="221">
        <v>3667368</v>
      </c>
      <c r="J237" s="223" t="s">
        <v>102</v>
      </c>
      <c r="K237" s="223" t="s">
        <v>199</v>
      </c>
      <c r="L237" s="223" t="s">
        <v>330</v>
      </c>
      <c r="M237" s="223" t="s">
        <v>656</v>
      </c>
      <c r="N237" s="235" t="s">
        <v>339</v>
      </c>
      <c r="P237" s="351"/>
    </row>
    <row r="238" spans="1:16" s="223" customFormat="1" ht="17.25" customHeight="1" x14ac:dyDescent="0.25">
      <c r="A238" s="241">
        <v>45134</v>
      </c>
      <c r="B238" s="223" t="s">
        <v>451</v>
      </c>
      <c r="C238" s="223" t="s">
        <v>170</v>
      </c>
      <c r="D238" s="223" t="s">
        <v>2</v>
      </c>
      <c r="E238" s="240"/>
      <c r="F238" s="223">
        <v>918340</v>
      </c>
      <c r="G238" s="215">
        <f t="shared" si="3"/>
        <v>25941089</v>
      </c>
      <c r="H238" s="300" t="s">
        <v>148</v>
      </c>
      <c r="I238" s="221">
        <v>3667371</v>
      </c>
      <c r="J238" s="223" t="s">
        <v>102</v>
      </c>
      <c r="K238" s="223" t="s">
        <v>199</v>
      </c>
      <c r="L238" s="223" t="s">
        <v>330</v>
      </c>
      <c r="M238" s="223" t="s">
        <v>657</v>
      </c>
      <c r="N238" s="235" t="s">
        <v>336</v>
      </c>
      <c r="P238" s="351"/>
    </row>
    <row r="239" spans="1:16" s="223" customFormat="1" ht="17.25" customHeight="1" x14ac:dyDescent="0.25">
      <c r="A239" s="234">
        <v>45134</v>
      </c>
      <c r="B239" s="223" t="s">
        <v>473</v>
      </c>
      <c r="C239" s="223" t="s">
        <v>34</v>
      </c>
      <c r="D239" s="223" t="s">
        <v>306</v>
      </c>
      <c r="E239" s="215"/>
      <c r="F239" s="215">
        <v>5000</v>
      </c>
      <c r="G239" s="215">
        <f t="shared" si="3"/>
        <v>25936089</v>
      </c>
      <c r="H239" s="223" t="s">
        <v>270</v>
      </c>
      <c r="I239" s="275" t="s">
        <v>304</v>
      </c>
      <c r="J239" s="223" t="s">
        <v>288</v>
      </c>
      <c r="K239" s="223" t="s">
        <v>198</v>
      </c>
      <c r="L239" s="223" t="s">
        <v>330</v>
      </c>
      <c r="P239" s="351"/>
    </row>
    <row r="240" spans="1:16" s="223" customFormat="1" ht="17.25" customHeight="1" x14ac:dyDescent="0.25">
      <c r="A240" s="234">
        <v>45134</v>
      </c>
      <c r="B240" s="223" t="s">
        <v>474</v>
      </c>
      <c r="C240" s="235" t="s">
        <v>34</v>
      </c>
      <c r="D240" s="223" t="s">
        <v>306</v>
      </c>
      <c r="E240" s="235"/>
      <c r="F240" s="235">
        <v>2500</v>
      </c>
      <c r="G240" s="215">
        <f t="shared" si="3"/>
        <v>25933589</v>
      </c>
      <c r="H240" s="235" t="s">
        <v>270</v>
      </c>
      <c r="I240" s="275" t="s">
        <v>304</v>
      </c>
      <c r="J240" s="223" t="s">
        <v>288</v>
      </c>
      <c r="K240" s="223" t="s">
        <v>198</v>
      </c>
      <c r="L240" s="223" t="s">
        <v>330</v>
      </c>
      <c r="M240" s="238"/>
      <c r="N240" s="235"/>
      <c r="O240" s="235"/>
      <c r="P240" s="351"/>
    </row>
    <row r="241" spans="1:16" s="223" customFormat="1" ht="17.25" customHeight="1" x14ac:dyDescent="0.25">
      <c r="A241" s="234">
        <v>45134</v>
      </c>
      <c r="B241" s="235" t="s">
        <v>475</v>
      </c>
      <c r="C241" s="235" t="s">
        <v>34</v>
      </c>
      <c r="D241" s="223" t="s">
        <v>306</v>
      </c>
      <c r="E241" s="215"/>
      <c r="F241" s="215">
        <v>5000</v>
      </c>
      <c r="G241" s="215">
        <f t="shared" si="3"/>
        <v>25928589</v>
      </c>
      <c r="H241" s="223" t="s">
        <v>270</v>
      </c>
      <c r="I241" s="275" t="s">
        <v>304</v>
      </c>
      <c r="J241" s="223" t="s">
        <v>288</v>
      </c>
      <c r="K241" s="223" t="s">
        <v>198</v>
      </c>
      <c r="L241" s="223" t="s">
        <v>330</v>
      </c>
      <c r="M241" s="238"/>
      <c r="P241" s="351"/>
    </row>
    <row r="242" spans="1:16" s="223" customFormat="1" ht="17.25" customHeight="1" x14ac:dyDescent="0.25">
      <c r="A242" s="234">
        <v>45134</v>
      </c>
      <c r="B242" s="223" t="s">
        <v>501</v>
      </c>
      <c r="C242" s="223" t="s">
        <v>34</v>
      </c>
      <c r="D242" s="223" t="s">
        <v>306</v>
      </c>
      <c r="E242" s="215"/>
      <c r="F242" s="274">
        <v>5000</v>
      </c>
      <c r="G242" s="215">
        <f t="shared" si="3"/>
        <v>25923589</v>
      </c>
      <c r="H242" s="240" t="s">
        <v>269</v>
      </c>
      <c r="I242" s="275" t="s">
        <v>304</v>
      </c>
      <c r="J242" s="223" t="s">
        <v>288</v>
      </c>
      <c r="K242" s="223" t="s">
        <v>198</v>
      </c>
      <c r="L242" s="223" t="s">
        <v>330</v>
      </c>
      <c r="N242" s="235"/>
      <c r="P242" s="351"/>
    </row>
    <row r="243" spans="1:16" s="223" customFormat="1" ht="17.25" customHeight="1" x14ac:dyDescent="0.25">
      <c r="A243" s="408">
        <v>45134</v>
      </c>
      <c r="B243" s="419" t="s">
        <v>310</v>
      </c>
      <c r="C243" s="389" t="s">
        <v>75</v>
      </c>
      <c r="D243" s="385"/>
      <c r="E243" s="420">
        <v>32000</v>
      </c>
      <c r="F243" s="421"/>
      <c r="G243" s="387">
        <f t="shared" si="3"/>
        <v>25955589</v>
      </c>
      <c r="H243" s="422" t="s">
        <v>301</v>
      </c>
      <c r="I243" s="388"/>
      <c r="J243" s="389"/>
      <c r="K243" s="389"/>
      <c r="L243" s="389"/>
      <c r="M243" s="385"/>
      <c r="N243" s="389"/>
      <c r="O243" s="385"/>
      <c r="P243" s="239"/>
    </row>
    <row r="244" spans="1:16" s="223" customFormat="1" ht="17.25" customHeight="1" x14ac:dyDescent="0.25">
      <c r="A244" s="234">
        <v>45134</v>
      </c>
      <c r="B244" s="223" t="s">
        <v>515</v>
      </c>
      <c r="C244" s="235" t="s">
        <v>307</v>
      </c>
      <c r="D244" s="223" t="s">
        <v>154</v>
      </c>
      <c r="E244" s="215"/>
      <c r="F244" s="215">
        <v>120000</v>
      </c>
      <c r="G244" s="215">
        <f t="shared" si="3"/>
        <v>25835589</v>
      </c>
      <c r="H244" s="223" t="s">
        <v>301</v>
      </c>
      <c r="I244" s="275" t="s">
        <v>304</v>
      </c>
      <c r="J244" s="223" t="s">
        <v>288</v>
      </c>
      <c r="K244" s="223" t="s">
        <v>199</v>
      </c>
      <c r="L244" s="223" t="s">
        <v>330</v>
      </c>
      <c r="M244" s="223" t="s">
        <v>658</v>
      </c>
      <c r="N244" s="223" t="s">
        <v>343</v>
      </c>
      <c r="P244" s="351"/>
    </row>
    <row r="245" spans="1:16" s="223" customFormat="1" ht="17.25" customHeight="1" x14ac:dyDescent="0.25">
      <c r="A245" s="408">
        <v>45134</v>
      </c>
      <c r="B245" s="390" t="s">
        <v>310</v>
      </c>
      <c r="C245" s="389" t="s">
        <v>75</v>
      </c>
      <c r="D245" s="385"/>
      <c r="E245" s="428">
        <v>70000</v>
      </c>
      <c r="F245" s="428"/>
      <c r="G245" s="387">
        <f t="shared" si="3"/>
        <v>25905589</v>
      </c>
      <c r="H245" s="390" t="s">
        <v>301</v>
      </c>
      <c r="I245" s="388"/>
      <c r="J245" s="385"/>
      <c r="K245" s="385"/>
      <c r="L245" s="385"/>
      <c r="M245" s="390"/>
      <c r="N245" s="390"/>
      <c r="O245" s="429"/>
      <c r="P245" s="239"/>
    </row>
    <row r="246" spans="1:16" s="223" customFormat="1" ht="17.25" customHeight="1" x14ac:dyDescent="0.25">
      <c r="A246" s="237">
        <v>45134</v>
      </c>
      <c r="B246" s="235" t="s">
        <v>516</v>
      </c>
      <c r="C246" s="235" t="s">
        <v>517</v>
      </c>
      <c r="D246" s="223" t="s">
        <v>154</v>
      </c>
      <c r="E246" s="235"/>
      <c r="F246" s="276">
        <v>6000</v>
      </c>
      <c r="G246" s="215">
        <f t="shared" si="3"/>
        <v>25899589</v>
      </c>
      <c r="H246" s="235" t="s">
        <v>301</v>
      </c>
      <c r="I246" s="275" t="s">
        <v>304</v>
      </c>
      <c r="J246" s="223" t="s">
        <v>288</v>
      </c>
      <c r="K246" s="235" t="s">
        <v>199</v>
      </c>
      <c r="L246" s="235" t="s">
        <v>330</v>
      </c>
      <c r="M246" s="223" t="s">
        <v>659</v>
      </c>
      <c r="N246" s="235" t="s">
        <v>342</v>
      </c>
      <c r="O246" s="235"/>
      <c r="P246" s="351"/>
    </row>
    <row r="247" spans="1:16" s="223" customFormat="1" ht="17.25" customHeight="1" x14ac:dyDescent="0.25">
      <c r="A247" s="237">
        <v>45134</v>
      </c>
      <c r="B247" s="235" t="s">
        <v>536</v>
      </c>
      <c r="C247" s="235" t="s">
        <v>34</v>
      </c>
      <c r="D247" s="223" t="s">
        <v>154</v>
      </c>
      <c r="E247" s="235"/>
      <c r="F247" s="247">
        <v>15000</v>
      </c>
      <c r="G247" s="215">
        <f t="shared" si="3"/>
        <v>25884589</v>
      </c>
      <c r="H247" s="235" t="s">
        <v>302</v>
      </c>
      <c r="I247" s="275" t="s">
        <v>304</v>
      </c>
      <c r="J247" s="223" t="s">
        <v>288</v>
      </c>
      <c r="K247" s="223" t="s">
        <v>198</v>
      </c>
      <c r="L247" s="223" t="s">
        <v>330</v>
      </c>
      <c r="N247" s="235"/>
      <c r="O247" s="235"/>
      <c r="P247" s="351"/>
    </row>
    <row r="248" spans="1:16" s="223" customFormat="1" ht="17.25" customHeight="1" x14ac:dyDescent="0.25">
      <c r="A248" s="399">
        <v>45134</v>
      </c>
      <c r="B248" s="400" t="s">
        <v>325</v>
      </c>
      <c r="C248" s="314" t="s">
        <v>75</v>
      </c>
      <c r="D248" s="314"/>
      <c r="E248" s="401">
        <v>20000</v>
      </c>
      <c r="F248" s="397"/>
      <c r="G248" s="316">
        <f t="shared" si="3"/>
        <v>25904589</v>
      </c>
      <c r="H248" s="315" t="s">
        <v>29</v>
      </c>
      <c r="I248" s="337"/>
      <c r="J248" s="314"/>
      <c r="K248" s="346"/>
      <c r="L248" s="346"/>
      <c r="M248" s="315"/>
      <c r="N248" s="314"/>
      <c r="O248" s="315"/>
      <c r="P248" s="239"/>
    </row>
    <row r="249" spans="1:16" s="223" customFormat="1" ht="17.25" customHeight="1" x14ac:dyDescent="0.25">
      <c r="A249" s="340">
        <v>45135</v>
      </c>
      <c r="B249" s="313" t="s">
        <v>270</v>
      </c>
      <c r="C249" s="313" t="s">
        <v>75</v>
      </c>
      <c r="D249" s="310"/>
      <c r="E249" s="313"/>
      <c r="F249" s="363">
        <v>185000</v>
      </c>
      <c r="G249" s="311">
        <f t="shared" si="3"/>
        <v>25719589</v>
      </c>
      <c r="H249" s="313" t="s">
        <v>25</v>
      </c>
      <c r="I249" s="363"/>
      <c r="J249" s="310"/>
      <c r="K249" s="310"/>
      <c r="L249" s="310"/>
      <c r="M249" s="310"/>
      <c r="N249" s="313"/>
      <c r="O249" s="313"/>
      <c r="P249" s="239"/>
    </row>
    <row r="250" spans="1:16" s="223" customFormat="1" ht="17.25" customHeight="1" x14ac:dyDescent="0.25">
      <c r="A250" s="246">
        <v>45135</v>
      </c>
      <c r="B250" s="223" t="s">
        <v>419</v>
      </c>
      <c r="C250" s="235" t="s">
        <v>230</v>
      </c>
      <c r="D250" s="223" t="s">
        <v>155</v>
      </c>
      <c r="E250" s="215"/>
      <c r="F250" s="274">
        <v>58000</v>
      </c>
      <c r="G250" s="215">
        <f t="shared" si="3"/>
        <v>25661589</v>
      </c>
      <c r="H250" s="223" t="s">
        <v>25</v>
      </c>
      <c r="I250" s="235" t="s">
        <v>368</v>
      </c>
      <c r="J250" s="223" t="s">
        <v>288</v>
      </c>
      <c r="K250" s="235" t="s">
        <v>198</v>
      </c>
      <c r="L250" s="235" t="s">
        <v>330</v>
      </c>
      <c r="N250" s="235"/>
      <c r="P250" s="351"/>
    </row>
    <row r="251" spans="1:16" s="223" customFormat="1" ht="13.8" x14ac:dyDescent="0.25">
      <c r="A251" s="234">
        <v>45135</v>
      </c>
      <c r="B251" s="223" t="s">
        <v>420</v>
      </c>
      <c r="C251" s="235" t="s">
        <v>3</v>
      </c>
      <c r="D251" s="223" t="s">
        <v>300</v>
      </c>
      <c r="F251" s="223">
        <v>75625</v>
      </c>
      <c r="G251" s="215">
        <f t="shared" si="3"/>
        <v>25585964</v>
      </c>
      <c r="H251" s="157" t="s">
        <v>25</v>
      </c>
      <c r="I251" s="275" t="s">
        <v>304</v>
      </c>
      <c r="J251" s="223" t="s">
        <v>288</v>
      </c>
      <c r="K251" s="223" t="s">
        <v>198</v>
      </c>
      <c r="L251" s="223" t="s">
        <v>330</v>
      </c>
      <c r="N251" s="235"/>
      <c r="P251" s="351"/>
    </row>
    <row r="252" spans="1:16" s="223" customFormat="1" ht="13.8" x14ac:dyDescent="0.25">
      <c r="A252" s="234">
        <v>45135</v>
      </c>
      <c r="B252" s="223" t="s">
        <v>421</v>
      </c>
      <c r="C252" s="223" t="s">
        <v>268</v>
      </c>
      <c r="D252" s="223" t="s">
        <v>300</v>
      </c>
      <c r="F252" s="223">
        <v>45050</v>
      </c>
      <c r="G252" s="215">
        <f t="shared" si="3"/>
        <v>25540914</v>
      </c>
      <c r="H252" s="157" t="s">
        <v>25</v>
      </c>
      <c r="I252" s="275" t="s">
        <v>304</v>
      </c>
      <c r="J252" s="223" t="s">
        <v>102</v>
      </c>
      <c r="K252" s="235" t="s">
        <v>199</v>
      </c>
      <c r="L252" s="235" t="s">
        <v>330</v>
      </c>
      <c r="M252" s="223" t="s">
        <v>660</v>
      </c>
      <c r="N252" s="223" t="s">
        <v>332</v>
      </c>
      <c r="P252" s="351"/>
    </row>
    <row r="253" spans="1:16" s="223" customFormat="1" ht="13.8" x14ac:dyDescent="0.25">
      <c r="A253" s="396">
        <v>45135</v>
      </c>
      <c r="B253" s="315" t="s">
        <v>422</v>
      </c>
      <c r="C253" s="314" t="s">
        <v>75</v>
      </c>
      <c r="D253" s="315"/>
      <c r="E253" s="315">
        <v>30000</v>
      </c>
      <c r="F253" s="423"/>
      <c r="G253" s="316">
        <f t="shared" si="3"/>
        <v>25570914</v>
      </c>
      <c r="H253" s="316" t="s">
        <v>25</v>
      </c>
      <c r="I253" s="337"/>
      <c r="J253" s="315"/>
      <c r="K253" s="398"/>
      <c r="L253" s="315"/>
      <c r="M253" s="315"/>
      <c r="N253" s="314"/>
      <c r="O253" s="315"/>
      <c r="P253" s="239"/>
    </row>
    <row r="254" spans="1:16" s="223" customFormat="1" ht="13.8" x14ac:dyDescent="0.25">
      <c r="A254" s="246">
        <v>45135</v>
      </c>
      <c r="B254" s="223" t="s">
        <v>197</v>
      </c>
      <c r="C254" s="235" t="s">
        <v>75</v>
      </c>
      <c r="E254" s="215"/>
      <c r="F254" s="243">
        <v>20000</v>
      </c>
      <c r="G254" s="215">
        <f t="shared" si="3"/>
        <v>25550914</v>
      </c>
      <c r="H254" s="223" t="s">
        <v>25</v>
      </c>
      <c r="I254" s="275"/>
      <c r="K254" s="240"/>
      <c r="M254" s="238"/>
      <c r="N254" s="235"/>
      <c r="P254" s="239"/>
    </row>
    <row r="255" spans="1:16" s="223" customFormat="1" ht="13.8" x14ac:dyDescent="0.25">
      <c r="A255" s="234">
        <v>45135</v>
      </c>
      <c r="B255" s="223" t="s">
        <v>93</v>
      </c>
      <c r="C255" s="235" t="s">
        <v>75</v>
      </c>
      <c r="E255" s="215"/>
      <c r="F255" s="243">
        <v>20000</v>
      </c>
      <c r="G255" s="215">
        <f t="shared" si="3"/>
        <v>25530914</v>
      </c>
      <c r="H255" s="240" t="s">
        <v>25</v>
      </c>
      <c r="I255" s="275"/>
      <c r="M255" s="238"/>
      <c r="N255" s="235"/>
      <c r="P255" s="239"/>
    </row>
    <row r="256" spans="1:16" s="223" customFormat="1" ht="13.8" x14ac:dyDescent="0.25">
      <c r="A256" s="220">
        <v>45135</v>
      </c>
      <c r="B256" s="229" t="s">
        <v>302</v>
      </c>
      <c r="C256" s="235" t="s">
        <v>75</v>
      </c>
      <c r="D256" s="225"/>
      <c r="E256" s="225"/>
      <c r="F256" s="213">
        <v>50000</v>
      </c>
      <c r="G256" s="215">
        <f t="shared" si="3"/>
        <v>25480914</v>
      </c>
      <c r="H256" s="225" t="s">
        <v>25</v>
      </c>
      <c r="I256" s="319"/>
      <c r="J256" s="225"/>
      <c r="K256" s="225"/>
      <c r="L256" s="225"/>
      <c r="M256" s="225"/>
      <c r="N256" s="225"/>
      <c r="O256" s="225"/>
      <c r="P256" s="239"/>
    </row>
    <row r="257" spans="1:18" s="223" customFormat="1" ht="13.8" x14ac:dyDescent="0.25">
      <c r="A257" s="234">
        <v>45135</v>
      </c>
      <c r="B257" s="230" t="s">
        <v>31</v>
      </c>
      <c r="C257" s="235" t="s">
        <v>75</v>
      </c>
      <c r="F257" s="223">
        <v>35000</v>
      </c>
      <c r="G257" s="215">
        <f t="shared" si="3"/>
        <v>25445914</v>
      </c>
      <c r="H257" s="157" t="s">
        <v>25</v>
      </c>
      <c r="I257" s="235"/>
      <c r="K257" s="235"/>
      <c r="L257" s="235"/>
      <c r="P257" s="239"/>
    </row>
    <row r="258" spans="1:18" s="223" customFormat="1" ht="13.8" x14ac:dyDescent="0.25">
      <c r="A258" s="241">
        <v>45135</v>
      </c>
      <c r="B258" s="223" t="s">
        <v>423</v>
      </c>
      <c r="C258" s="235" t="s">
        <v>75</v>
      </c>
      <c r="F258" s="223">
        <v>170000</v>
      </c>
      <c r="G258" s="215">
        <f t="shared" si="3"/>
        <v>25275914</v>
      </c>
      <c r="H258" s="157" t="s">
        <v>25</v>
      </c>
      <c r="I258" s="275"/>
      <c r="N258" s="235"/>
      <c r="O258" s="235"/>
      <c r="P258" s="239"/>
    </row>
    <row r="259" spans="1:18" s="223" customFormat="1" ht="13.8" x14ac:dyDescent="0.25">
      <c r="A259" s="234">
        <v>45135</v>
      </c>
      <c r="B259" s="275" t="s">
        <v>29</v>
      </c>
      <c r="C259" s="235" t="s">
        <v>75</v>
      </c>
      <c r="F259" s="223">
        <v>320000</v>
      </c>
      <c r="G259" s="215">
        <f t="shared" si="3"/>
        <v>24955914</v>
      </c>
      <c r="H259" s="223" t="s">
        <v>25</v>
      </c>
      <c r="I259" s="275"/>
      <c r="J259" s="235"/>
      <c r="K259" s="300"/>
      <c r="L259" s="300"/>
      <c r="N259" s="235"/>
      <c r="P259" s="239"/>
    </row>
    <row r="260" spans="1:18" s="223" customFormat="1" ht="13.8" x14ac:dyDescent="0.25">
      <c r="A260" s="246">
        <v>45135</v>
      </c>
      <c r="B260" s="223" t="s">
        <v>424</v>
      </c>
      <c r="C260" s="235" t="s">
        <v>75</v>
      </c>
      <c r="E260" s="215"/>
      <c r="F260" s="215">
        <v>20000</v>
      </c>
      <c r="G260" s="215">
        <f t="shared" si="3"/>
        <v>24935914</v>
      </c>
      <c r="H260" s="223" t="s">
        <v>25</v>
      </c>
      <c r="I260" s="275"/>
      <c r="J260" s="235"/>
      <c r="K260" s="300"/>
      <c r="L260" s="300"/>
      <c r="N260" s="235"/>
      <c r="P260" s="239"/>
    </row>
    <row r="261" spans="1:18" s="223" customFormat="1" ht="13.8" x14ac:dyDescent="0.25">
      <c r="A261" s="382">
        <v>45135</v>
      </c>
      <c r="B261" s="310" t="s">
        <v>308</v>
      </c>
      <c r="C261" s="313" t="s">
        <v>75</v>
      </c>
      <c r="D261" s="341"/>
      <c r="E261" s="310">
        <v>185000</v>
      </c>
      <c r="F261" s="373"/>
      <c r="G261" s="311">
        <f t="shared" si="3"/>
        <v>25120914</v>
      </c>
      <c r="H261" s="312" t="s">
        <v>270</v>
      </c>
      <c r="I261" s="312"/>
      <c r="J261" s="310"/>
      <c r="K261" s="310"/>
      <c r="L261" s="310"/>
      <c r="M261" s="343"/>
      <c r="N261" s="313"/>
      <c r="O261" s="310"/>
      <c r="P261" s="239"/>
    </row>
    <row r="262" spans="1:18" s="223" customFormat="1" ht="13.8" x14ac:dyDescent="0.25">
      <c r="A262" s="234">
        <v>45135</v>
      </c>
      <c r="B262" s="235" t="s">
        <v>564</v>
      </c>
      <c r="C262" s="235" t="s">
        <v>34</v>
      </c>
      <c r="D262" s="223" t="s">
        <v>306</v>
      </c>
      <c r="E262" s="235"/>
      <c r="F262" s="247">
        <v>35000</v>
      </c>
      <c r="G262" s="215">
        <f t="shared" si="3"/>
        <v>25085914</v>
      </c>
      <c r="H262" s="235" t="s">
        <v>270</v>
      </c>
      <c r="I262" s="275" t="s">
        <v>304</v>
      </c>
      <c r="J262" s="223" t="s">
        <v>288</v>
      </c>
      <c r="K262" s="223" t="s">
        <v>198</v>
      </c>
      <c r="L262" s="223" t="s">
        <v>330</v>
      </c>
      <c r="M262" s="238"/>
      <c r="N262" s="235"/>
      <c r="O262" s="235"/>
      <c r="P262" s="351"/>
    </row>
    <row r="263" spans="1:18" s="349" customFormat="1" ht="13.8" x14ac:dyDescent="0.25">
      <c r="A263" s="234">
        <v>45135</v>
      </c>
      <c r="B263" s="230" t="s">
        <v>563</v>
      </c>
      <c r="C263" s="235" t="s">
        <v>319</v>
      </c>
      <c r="D263" s="223" t="s">
        <v>306</v>
      </c>
      <c r="E263" s="240"/>
      <c r="F263" s="223">
        <v>140000</v>
      </c>
      <c r="G263" s="215">
        <f t="shared" si="3"/>
        <v>24945914</v>
      </c>
      <c r="H263" s="157" t="s">
        <v>270</v>
      </c>
      <c r="I263" s="275" t="s">
        <v>304</v>
      </c>
      <c r="J263" s="223" t="s">
        <v>288</v>
      </c>
      <c r="K263" s="223" t="s">
        <v>198</v>
      </c>
      <c r="L263" s="223" t="s">
        <v>330</v>
      </c>
      <c r="M263" s="223"/>
      <c r="N263" s="223"/>
      <c r="O263" s="223"/>
      <c r="P263" s="354"/>
    </row>
    <row r="264" spans="1:18" s="225" customFormat="1" ht="13.8" x14ac:dyDescent="0.25">
      <c r="A264" s="234">
        <v>45135</v>
      </c>
      <c r="B264" s="223" t="s">
        <v>476</v>
      </c>
      <c r="C264" s="235" t="s">
        <v>34</v>
      </c>
      <c r="D264" s="223" t="s">
        <v>4</v>
      </c>
      <c r="E264" s="215"/>
      <c r="F264" s="243">
        <v>58000</v>
      </c>
      <c r="G264" s="215">
        <f t="shared" si="3"/>
        <v>24887914</v>
      </c>
      <c r="H264" s="223" t="s">
        <v>270</v>
      </c>
      <c r="I264" s="235" t="s">
        <v>368</v>
      </c>
      <c r="J264" s="223" t="s">
        <v>288</v>
      </c>
      <c r="K264" s="235" t="s">
        <v>199</v>
      </c>
      <c r="L264" s="235" t="s">
        <v>330</v>
      </c>
      <c r="M264" s="223" t="s">
        <v>661</v>
      </c>
      <c r="N264" s="235" t="s">
        <v>342</v>
      </c>
      <c r="O264" s="223"/>
      <c r="P264" s="354"/>
    </row>
    <row r="265" spans="1:18" s="225" customFormat="1" ht="13.8" x14ac:dyDescent="0.25">
      <c r="A265" s="396">
        <v>45135</v>
      </c>
      <c r="B265" s="315" t="s">
        <v>480</v>
      </c>
      <c r="C265" s="314" t="s">
        <v>75</v>
      </c>
      <c r="D265" s="315"/>
      <c r="E265" s="315">
        <v>20000</v>
      </c>
      <c r="F265" s="315"/>
      <c r="G265" s="316">
        <f t="shared" si="3"/>
        <v>24907914</v>
      </c>
      <c r="H265" s="415" t="s">
        <v>424</v>
      </c>
      <c r="I265" s="314"/>
      <c r="J265" s="315"/>
      <c r="K265" s="314"/>
      <c r="L265" s="314"/>
      <c r="M265" s="315"/>
      <c r="N265" s="314"/>
      <c r="O265" s="315"/>
      <c r="P265" s="227"/>
    </row>
    <row r="266" spans="1:18" s="223" customFormat="1" ht="13.8" x14ac:dyDescent="0.25">
      <c r="A266" s="340">
        <v>45135</v>
      </c>
      <c r="B266" s="312" t="s">
        <v>321</v>
      </c>
      <c r="C266" s="313" t="s">
        <v>75</v>
      </c>
      <c r="D266" s="312"/>
      <c r="E266" s="372">
        <v>20000</v>
      </c>
      <c r="F266" s="373"/>
      <c r="G266" s="311">
        <f t="shared" si="3"/>
        <v>24927914</v>
      </c>
      <c r="H266" s="342" t="s">
        <v>93</v>
      </c>
      <c r="I266" s="363"/>
      <c r="J266" s="313"/>
      <c r="K266" s="310"/>
      <c r="L266" s="310"/>
      <c r="M266" s="310"/>
      <c r="N266" s="310"/>
      <c r="O266" s="310"/>
      <c r="P266" s="239"/>
    </row>
    <row r="267" spans="1:18" s="223" customFormat="1" ht="13.8" x14ac:dyDescent="0.25">
      <c r="A267" s="234">
        <v>45135</v>
      </c>
      <c r="B267" s="223" t="s">
        <v>502</v>
      </c>
      <c r="C267" s="235" t="s">
        <v>34</v>
      </c>
      <c r="D267" s="223" t="s">
        <v>4</v>
      </c>
      <c r="E267" s="215"/>
      <c r="F267" s="215">
        <v>82000</v>
      </c>
      <c r="G267" s="215">
        <f t="shared" si="3"/>
        <v>24845914</v>
      </c>
      <c r="H267" s="223" t="s">
        <v>269</v>
      </c>
      <c r="I267" s="235" t="s">
        <v>368</v>
      </c>
      <c r="J267" s="223" t="s">
        <v>288</v>
      </c>
      <c r="K267" s="235" t="s">
        <v>199</v>
      </c>
      <c r="L267" s="235" t="s">
        <v>330</v>
      </c>
      <c r="M267" s="223" t="s">
        <v>662</v>
      </c>
      <c r="N267" s="235" t="s">
        <v>342</v>
      </c>
      <c r="P267" s="351"/>
    </row>
    <row r="268" spans="1:18" s="223" customFormat="1" ht="13.8" x14ac:dyDescent="0.25">
      <c r="A268" s="234">
        <v>45135</v>
      </c>
      <c r="B268" s="223" t="s">
        <v>518</v>
      </c>
      <c r="C268" s="235" t="s">
        <v>461</v>
      </c>
      <c r="D268" s="223" t="s">
        <v>154</v>
      </c>
      <c r="F268" s="275">
        <v>97000</v>
      </c>
      <c r="G268" s="215">
        <f t="shared" si="3"/>
        <v>24748914</v>
      </c>
      <c r="H268" s="223" t="s">
        <v>301</v>
      </c>
      <c r="I268" s="235" t="s">
        <v>368</v>
      </c>
      <c r="J268" s="223" t="s">
        <v>288</v>
      </c>
      <c r="K268" s="223" t="s">
        <v>198</v>
      </c>
      <c r="L268" s="223" t="s">
        <v>330</v>
      </c>
      <c r="O268" s="235"/>
      <c r="P268" s="355"/>
      <c r="Q268" s="235"/>
      <c r="R268" s="235"/>
    </row>
    <row r="269" spans="1:18" s="223" customFormat="1" ht="13.8" x14ac:dyDescent="0.25">
      <c r="A269" s="430">
        <v>45135</v>
      </c>
      <c r="B269" s="431" t="s">
        <v>525</v>
      </c>
      <c r="C269" s="314" t="s">
        <v>75</v>
      </c>
      <c r="D269" s="431"/>
      <c r="E269" s="432">
        <v>35000</v>
      </c>
      <c r="F269" s="446"/>
      <c r="G269" s="316">
        <f t="shared" si="3"/>
        <v>24783914</v>
      </c>
      <c r="H269" s="314" t="s">
        <v>31</v>
      </c>
      <c r="I269" s="433"/>
      <c r="J269" s="431"/>
      <c r="K269" s="431"/>
      <c r="L269" s="431"/>
      <c r="M269" s="431"/>
      <c r="N269" s="431"/>
      <c r="O269" s="431"/>
      <c r="P269" s="253"/>
      <c r="Q269" s="235"/>
      <c r="R269" s="235"/>
    </row>
    <row r="270" spans="1:18" s="223" customFormat="1" ht="13.8" x14ac:dyDescent="0.25">
      <c r="A270" s="367">
        <v>45135</v>
      </c>
      <c r="B270" s="381" t="s">
        <v>529</v>
      </c>
      <c r="C270" s="313" t="s">
        <v>75</v>
      </c>
      <c r="D270" s="310"/>
      <c r="E270" s="310"/>
      <c r="F270" s="373">
        <v>30000</v>
      </c>
      <c r="G270" s="311">
        <f t="shared" si="3"/>
        <v>24753914</v>
      </c>
      <c r="H270" s="312" t="s">
        <v>143</v>
      </c>
      <c r="I270" s="363"/>
      <c r="J270" s="365"/>
      <c r="K270" s="365"/>
      <c r="L270" s="365"/>
      <c r="M270" s="343"/>
      <c r="N270" s="313"/>
      <c r="O270" s="310"/>
      <c r="P270" s="253"/>
      <c r="Q270" s="235"/>
      <c r="R270" s="235"/>
    </row>
    <row r="271" spans="1:18" s="223" customFormat="1" ht="13.8" x14ac:dyDescent="0.25">
      <c r="A271" s="234">
        <v>45135</v>
      </c>
      <c r="B271" s="223" t="s">
        <v>538</v>
      </c>
      <c r="C271" s="223" t="s">
        <v>307</v>
      </c>
      <c r="D271" s="223" t="s">
        <v>154</v>
      </c>
      <c r="F271" s="275">
        <v>30000</v>
      </c>
      <c r="G271" s="215">
        <f t="shared" si="3"/>
        <v>24723914</v>
      </c>
      <c r="H271" s="223" t="s">
        <v>302</v>
      </c>
      <c r="I271" s="275" t="s">
        <v>304</v>
      </c>
      <c r="J271" s="223" t="s">
        <v>288</v>
      </c>
      <c r="K271" s="223" t="s">
        <v>198</v>
      </c>
      <c r="L271" s="223" t="s">
        <v>330</v>
      </c>
      <c r="N271" s="235"/>
      <c r="P271" s="355"/>
      <c r="Q271" s="235"/>
      <c r="R271" s="235"/>
    </row>
    <row r="272" spans="1:18" s="223" customFormat="1" ht="13.8" x14ac:dyDescent="0.25">
      <c r="A272" s="396">
        <v>45135</v>
      </c>
      <c r="B272" s="405" t="s">
        <v>327</v>
      </c>
      <c r="C272" s="314" t="s">
        <v>75</v>
      </c>
      <c r="D272" s="315"/>
      <c r="E272" s="315">
        <v>50000</v>
      </c>
      <c r="F272" s="315"/>
      <c r="G272" s="316">
        <f t="shared" ref="G272:G318" si="4">+G271+E272-F272</f>
        <v>24773914</v>
      </c>
      <c r="H272" s="315" t="s">
        <v>302</v>
      </c>
      <c r="I272" s="337"/>
      <c r="J272" s="314"/>
      <c r="K272" s="346"/>
      <c r="L272" s="346"/>
      <c r="M272" s="315"/>
      <c r="N272" s="314"/>
      <c r="O272" s="315"/>
      <c r="P272" s="253"/>
      <c r="Q272" s="235"/>
      <c r="R272" s="235"/>
    </row>
    <row r="273" spans="1:18" s="223" customFormat="1" ht="13.8" x14ac:dyDescent="0.25">
      <c r="A273" s="246">
        <v>45135</v>
      </c>
      <c r="B273" s="242" t="s">
        <v>325</v>
      </c>
      <c r="C273" s="235" t="s">
        <v>75</v>
      </c>
      <c r="D273" s="230"/>
      <c r="E273" s="223">
        <v>320000</v>
      </c>
      <c r="F273" s="274"/>
      <c r="G273" s="215">
        <f t="shared" si="4"/>
        <v>25093914</v>
      </c>
      <c r="H273" s="240" t="s">
        <v>29</v>
      </c>
      <c r="I273" s="275"/>
      <c r="K273" s="235"/>
      <c r="L273" s="235"/>
      <c r="N273" s="235"/>
      <c r="P273" s="253"/>
      <c r="Q273" s="235"/>
      <c r="R273" s="235"/>
    </row>
    <row r="274" spans="1:18" s="223" customFormat="1" ht="13.8" x14ac:dyDescent="0.25">
      <c r="A274" s="246">
        <v>45136</v>
      </c>
      <c r="B274" s="252" t="s">
        <v>311</v>
      </c>
      <c r="C274" s="235" t="s">
        <v>75</v>
      </c>
      <c r="E274" s="278">
        <v>170000</v>
      </c>
      <c r="F274" s="251"/>
      <c r="G274" s="215">
        <f t="shared" si="4"/>
        <v>25263914</v>
      </c>
      <c r="H274" s="281" t="s">
        <v>47</v>
      </c>
      <c r="I274" s="275"/>
      <c r="M274" s="238"/>
      <c r="N274" s="235"/>
      <c r="P274" s="253"/>
      <c r="Q274" s="235"/>
      <c r="R274" s="235"/>
    </row>
    <row r="275" spans="1:18" s="223" customFormat="1" ht="13.8" x14ac:dyDescent="0.25">
      <c r="A275" s="361">
        <v>45136</v>
      </c>
      <c r="B275" s="378" t="s">
        <v>311</v>
      </c>
      <c r="C275" s="313" t="s">
        <v>75</v>
      </c>
      <c r="D275" s="378"/>
      <c r="E275" s="379">
        <v>20000</v>
      </c>
      <c r="F275" s="379"/>
      <c r="G275" s="311">
        <f t="shared" si="4"/>
        <v>25283914</v>
      </c>
      <c r="H275" s="378" t="s">
        <v>47</v>
      </c>
      <c r="I275" s="380"/>
      <c r="J275" s="378"/>
      <c r="K275" s="378"/>
      <c r="L275" s="378"/>
      <c r="M275" s="378"/>
      <c r="N275" s="379"/>
      <c r="O275" s="383"/>
      <c r="P275" s="253"/>
      <c r="Q275" s="235"/>
      <c r="R275" s="235"/>
    </row>
    <row r="276" spans="1:18" s="225" customFormat="1" ht="13.8" x14ac:dyDescent="0.25">
      <c r="A276" s="234">
        <v>45136</v>
      </c>
      <c r="B276" s="235" t="s">
        <v>463</v>
      </c>
      <c r="C276" s="235" t="s">
        <v>230</v>
      </c>
      <c r="D276" s="349" t="s">
        <v>306</v>
      </c>
      <c r="E276" s="235"/>
      <c r="F276" s="275">
        <v>180000</v>
      </c>
      <c r="G276" s="215">
        <f t="shared" si="4"/>
        <v>25103914</v>
      </c>
      <c r="H276" s="223" t="s">
        <v>47</v>
      </c>
      <c r="I276" s="275" t="s">
        <v>304</v>
      </c>
      <c r="J276" s="223" t="s">
        <v>288</v>
      </c>
      <c r="K276" s="235" t="s">
        <v>198</v>
      </c>
      <c r="L276" s="235" t="s">
        <v>330</v>
      </c>
      <c r="M276" s="223"/>
      <c r="N276" s="235"/>
      <c r="O276" s="235"/>
      <c r="P276" s="356"/>
      <c r="Q276" s="226"/>
      <c r="R276" s="226"/>
    </row>
    <row r="277" spans="1:18" s="223" customFormat="1" ht="13.8" x14ac:dyDescent="0.25">
      <c r="A277" s="234">
        <v>45136</v>
      </c>
      <c r="B277" s="318" t="s">
        <v>464</v>
      </c>
      <c r="C277" s="235" t="s">
        <v>230</v>
      </c>
      <c r="D277" s="349" t="s">
        <v>306</v>
      </c>
      <c r="E277" s="240"/>
      <c r="F277" s="247">
        <v>10000</v>
      </c>
      <c r="G277" s="215">
        <f t="shared" si="4"/>
        <v>25093914</v>
      </c>
      <c r="H277" s="223" t="s">
        <v>47</v>
      </c>
      <c r="I277" s="275" t="s">
        <v>304</v>
      </c>
      <c r="J277" s="223" t="s">
        <v>288</v>
      </c>
      <c r="K277" s="235" t="s">
        <v>198</v>
      </c>
      <c r="L277" s="235" t="s">
        <v>330</v>
      </c>
      <c r="N277" s="235"/>
      <c r="P277" s="355"/>
      <c r="Q277" s="235"/>
      <c r="R277" s="235"/>
    </row>
    <row r="278" spans="1:18" s="223" customFormat="1" ht="13.8" x14ac:dyDescent="0.25">
      <c r="A278" s="234">
        <v>45136</v>
      </c>
      <c r="B278" s="223" t="s">
        <v>477</v>
      </c>
      <c r="C278" s="235" t="s">
        <v>34</v>
      </c>
      <c r="D278" s="223" t="s">
        <v>2</v>
      </c>
      <c r="E278" s="215"/>
      <c r="F278" s="215">
        <v>28000</v>
      </c>
      <c r="G278" s="215">
        <f t="shared" si="4"/>
        <v>25065914</v>
      </c>
      <c r="H278" s="223" t="s">
        <v>320</v>
      </c>
      <c r="I278" s="235" t="s">
        <v>368</v>
      </c>
      <c r="J278" s="223" t="s">
        <v>288</v>
      </c>
      <c r="K278" s="235" t="s">
        <v>199</v>
      </c>
      <c r="L278" s="235" t="s">
        <v>330</v>
      </c>
      <c r="M278" s="223" t="s">
        <v>663</v>
      </c>
      <c r="N278" s="235" t="s">
        <v>342</v>
      </c>
      <c r="P278" s="355"/>
      <c r="Q278" s="235"/>
      <c r="R278" s="235"/>
    </row>
    <row r="279" spans="1:18" s="223" customFormat="1" ht="13.8" x14ac:dyDescent="0.25">
      <c r="A279" s="408">
        <v>45136</v>
      </c>
      <c r="B279" s="447" t="s">
        <v>309</v>
      </c>
      <c r="C279" s="389" t="s">
        <v>75</v>
      </c>
      <c r="D279" s="385"/>
      <c r="E279" s="445">
        <v>20000</v>
      </c>
      <c r="F279" s="387"/>
      <c r="G279" s="387">
        <f t="shared" si="4"/>
        <v>25085914</v>
      </c>
      <c r="H279" s="416" t="s">
        <v>197</v>
      </c>
      <c r="I279" s="388"/>
      <c r="J279" s="389"/>
      <c r="K279" s="389"/>
      <c r="L279" s="389"/>
      <c r="M279" s="385"/>
      <c r="N279" s="389"/>
      <c r="O279" s="385"/>
      <c r="P279" s="253"/>
      <c r="Q279" s="235"/>
      <c r="R279" s="235"/>
    </row>
    <row r="280" spans="1:18" s="223" customFormat="1" ht="13.8" x14ac:dyDescent="0.25">
      <c r="A280" s="234">
        <v>45136</v>
      </c>
      <c r="B280" s="223" t="s">
        <v>478</v>
      </c>
      <c r="C280" s="235" t="s">
        <v>307</v>
      </c>
      <c r="D280" s="223" t="s">
        <v>306</v>
      </c>
      <c r="E280" s="215"/>
      <c r="F280" s="274">
        <v>8500</v>
      </c>
      <c r="G280" s="215">
        <f t="shared" si="4"/>
        <v>25077414</v>
      </c>
      <c r="H280" s="223" t="s">
        <v>197</v>
      </c>
      <c r="I280" s="275" t="s">
        <v>304</v>
      </c>
      <c r="J280" s="223" t="s">
        <v>288</v>
      </c>
      <c r="K280" s="223" t="s">
        <v>198</v>
      </c>
      <c r="L280" s="223" t="s">
        <v>330</v>
      </c>
      <c r="P280" s="355"/>
      <c r="Q280" s="235"/>
      <c r="R280" s="235"/>
    </row>
    <row r="281" spans="1:18" s="223" customFormat="1" ht="13.8" x14ac:dyDescent="0.25">
      <c r="A281" s="237">
        <v>45136</v>
      </c>
      <c r="B281" s="223" t="s">
        <v>686</v>
      </c>
      <c r="C281" s="488" t="s">
        <v>461</v>
      </c>
      <c r="D281" s="349" t="s">
        <v>154</v>
      </c>
      <c r="F281" s="278">
        <v>2000</v>
      </c>
      <c r="G281" s="215">
        <f t="shared" si="4"/>
        <v>25075414</v>
      </c>
      <c r="H281" s="223" t="s">
        <v>197</v>
      </c>
      <c r="I281" s="235" t="s">
        <v>368</v>
      </c>
      <c r="J281" s="223" t="s">
        <v>288</v>
      </c>
      <c r="K281" s="223" t="s">
        <v>198</v>
      </c>
      <c r="L281" s="223" t="s">
        <v>330</v>
      </c>
      <c r="P281" s="355"/>
      <c r="Q281" s="235"/>
      <c r="R281" s="235"/>
    </row>
    <row r="282" spans="1:18" s="223" customFormat="1" ht="13.8" x14ac:dyDescent="0.25">
      <c r="A282" s="246">
        <v>45136</v>
      </c>
      <c r="B282" s="223" t="s">
        <v>479</v>
      </c>
      <c r="C282" s="488" t="s">
        <v>34</v>
      </c>
      <c r="D282" s="349" t="s">
        <v>154</v>
      </c>
      <c r="E282" s="240"/>
      <c r="F282" s="223">
        <v>6000</v>
      </c>
      <c r="G282" s="215">
        <f t="shared" si="4"/>
        <v>25069414</v>
      </c>
      <c r="H282" s="157" t="s">
        <v>197</v>
      </c>
      <c r="I282" s="235" t="s">
        <v>368</v>
      </c>
      <c r="J282" s="223" t="s">
        <v>288</v>
      </c>
      <c r="K282" s="223" t="s">
        <v>198</v>
      </c>
      <c r="L282" s="223" t="s">
        <v>330</v>
      </c>
      <c r="N282" s="235"/>
      <c r="O282" s="235"/>
      <c r="P282" s="355"/>
      <c r="Q282" s="235"/>
      <c r="R282" s="235"/>
    </row>
    <row r="283" spans="1:18" s="223" customFormat="1" ht="13.8" x14ac:dyDescent="0.25">
      <c r="A283" s="234">
        <v>45136</v>
      </c>
      <c r="B283" s="223" t="s">
        <v>481</v>
      </c>
      <c r="C283" s="235" t="s">
        <v>472</v>
      </c>
      <c r="D283" s="223" t="s">
        <v>4</v>
      </c>
      <c r="F283" s="223">
        <v>2000</v>
      </c>
      <c r="G283" s="215">
        <f t="shared" si="4"/>
        <v>25067414</v>
      </c>
      <c r="H283" s="157" t="s">
        <v>424</v>
      </c>
      <c r="I283" s="235" t="s">
        <v>368</v>
      </c>
      <c r="J283" s="223" t="s">
        <v>288</v>
      </c>
      <c r="K283" s="223" t="s">
        <v>198</v>
      </c>
      <c r="L283" s="223" t="s">
        <v>330</v>
      </c>
      <c r="N283" s="235"/>
      <c r="P283" s="355"/>
      <c r="Q283" s="235"/>
      <c r="R283" s="235"/>
    </row>
    <row r="284" spans="1:18" s="223" customFormat="1" ht="13.8" x14ac:dyDescent="0.25">
      <c r="A284" s="234">
        <v>45136</v>
      </c>
      <c r="B284" s="223" t="s">
        <v>482</v>
      </c>
      <c r="C284" s="235" t="s">
        <v>34</v>
      </c>
      <c r="D284" s="223" t="s">
        <v>4</v>
      </c>
      <c r="F284" s="223">
        <v>4000</v>
      </c>
      <c r="G284" s="215">
        <f t="shared" si="4"/>
        <v>25063414</v>
      </c>
      <c r="H284" s="157" t="s">
        <v>424</v>
      </c>
      <c r="I284" s="275" t="s">
        <v>304</v>
      </c>
      <c r="J284" s="223" t="s">
        <v>288</v>
      </c>
      <c r="K284" s="223" t="s">
        <v>198</v>
      </c>
      <c r="L284" s="223" t="s">
        <v>330</v>
      </c>
      <c r="N284" s="235"/>
      <c r="P284" s="355"/>
      <c r="Q284" s="235"/>
      <c r="R284" s="235"/>
    </row>
    <row r="285" spans="1:18" s="223" customFormat="1" ht="13.8" x14ac:dyDescent="0.25">
      <c r="A285" s="241">
        <v>45136</v>
      </c>
      <c r="B285" s="215" t="s">
        <v>483</v>
      </c>
      <c r="C285" s="235" t="s">
        <v>34</v>
      </c>
      <c r="D285" s="223" t="s">
        <v>4</v>
      </c>
      <c r="E285" s="235"/>
      <c r="F285" s="223">
        <v>3500</v>
      </c>
      <c r="G285" s="215">
        <f t="shared" si="4"/>
        <v>25059914</v>
      </c>
      <c r="H285" s="157" t="s">
        <v>424</v>
      </c>
      <c r="I285" s="275" t="s">
        <v>304</v>
      </c>
      <c r="J285" s="223" t="s">
        <v>288</v>
      </c>
      <c r="K285" s="223" t="s">
        <v>198</v>
      </c>
      <c r="L285" s="223" t="s">
        <v>330</v>
      </c>
      <c r="N285" s="235"/>
      <c r="P285" s="355"/>
      <c r="Q285" s="235"/>
      <c r="R285" s="235"/>
    </row>
    <row r="286" spans="1:18" s="223" customFormat="1" ht="13.8" x14ac:dyDescent="0.25">
      <c r="A286" s="234">
        <v>45136</v>
      </c>
      <c r="B286" s="223" t="s">
        <v>486</v>
      </c>
      <c r="C286" s="235" t="s">
        <v>307</v>
      </c>
      <c r="D286" s="223" t="s">
        <v>306</v>
      </c>
      <c r="E286" s="247"/>
      <c r="F286" s="247">
        <v>15000</v>
      </c>
      <c r="G286" s="215">
        <f t="shared" si="4"/>
        <v>25044914</v>
      </c>
      <c r="H286" s="223" t="s">
        <v>93</v>
      </c>
      <c r="I286" s="275" t="s">
        <v>304</v>
      </c>
      <c r="J286" s="223" t="s">
        <v>288</v>
      </c>
      <c r="K286" s="223" t="s">
        <v>198</v>
      </c>
      <c r="L286" s="223" t="s">
        <v>330</v>
      </c>
      <c r="N286" s="235"/>
      <c r="O286" s="235"/>
      <c r="P286" s="355"/>
      <c r="Q286" s="235"/>
      <c r="R286" s="235"/>
    </row>
    <row r="287" spans="1:18" s="223" customFormat="1" ht="13.8" x14ac:dyDescent="0.25">
      <c r="A287" s="246">
        <v>45136</v>
      </c>
      <c r="B287" s="223" t="s">
        <v>487</v>
      </c>
      <c r="C287" s="235" t="s">
        <v>34</v>
      </c>
      <c r="D287" s="223" t="s">
        <v>300</v>
      </c>
      <c r="E287" s="247"/>
      <c r="F287" s="279">
        <v>34000</v>
      </c>
      <c r="G287" s="215">
        <f t="shared" si="4"/>
        <v>25010914</v>
      </c>
      <c r="H287" s="223" t="s">
        <v>93</v>
      </c>
      <c r="I287" s="235" t="s">
        <v>368</v>
      </c>
      <c r="J287" s="223" t="s">
        <v>288</v>
      </c>
      <c r="K287" s="235" t="s">
        <v>199</v>
      </c>
      <c r="L287" s="235" t="s">
        <v>330</v>
      </c>
      <c r="M287" s="223" t="s">
        <v>664</v>
      </c>
      <c r="N287" s="235" t="s">
        <v>342</v>
      </c>
      <c r="P287" s="355"/>
      <c r="Q287" s="235"/>
      <c r="R287" s="235"/>
    </row>
    <row r="288" spans="1:18" s="223" customFormat="1" ht="13.8" x14ac:dyDescent="0.25">
      <c r="A288" s="234">
        <v>45136</v>
      </c>
      <c r="B288" s="223" t="s">
        <v>519</v>
      </c>
      <c r="C288" s="235" t="s">
        <v>307</v>
      </c>
      <c r="D288" s="223" t="s">
        <v>154</v>
      </c>
      <c r="F288" s="275">
        <v>30000</v>
      </c>
      <c r="G288" s="215">
        <f t="shared" si="4"/>
        <v>24980914</v>
      </c>
      <c r="H288" s="223" t="s">
        <v>301</v>
      </c>
      <c r="I288" s="275" t="s">
        <v>304</v>
      </c>
      <c r="J288" s="223" t="s">
        <v>288</v>
      </c>
      <c r="K288" s="223" t="s">
        <v>199</v>
      </c>
      <c r="L288" s="223" t="s">
        <v>330</v>
      </c>
      <c r="M288" s="223" t="s">
        <v>665</v>
      </c>
      <c r="N288" s="223" t="s">
        <v>343</v>
      </c>
      <c r="P288" s="355"/>
      <c r="Q288" s="235"/>
      <c r="R288" s="235"/>
    </row>
    <row r="289" spans="1:18" s="223" customFormat="1" ht="13.8" x14ac:dyDescent="0.25">
      <c r="A289" s="246">
        <v>45136</v>
      </c>
      <c r="B289" s="223" t="s">
        <v>520</v>
      </c>
      <c r="C289" s="235" t="s">
        <v>517</v>
      </c>
      <c r="D289" s="223" t="s">
        <v>154</v>
      </c>
      <c r="F289" s="223">
        <v>5000</v>
      </c>
      <c r="G289" s="215">
        <f t="shared" si="4"/>
        <v>24975914</v>
      </c>
      <c r="H289" s="223" t="s">
        <v>301</v>
      </c>
      <c r="I289" s="275" t="s">
        <v>304</v>
      </c>
      <c r="J289" s="223" t="s">
        <v>288</v>
      </c>
      <c r="K289" s="235" t="s">
        <v>199</v>
      </c>
      <c r="L289" s="235" t="s">
        <v>330</v>
      </c>
      <c r="M289" s="223" t="s">
        <v>666</v>
      </c>
      <c r="N289" s="235" t="s">
        <v>342</v>
      </c>
      <c r="P289" s="355"/>
      <c r="Q289" s="235"/>
      <c r="R289" s="235"/>
    </row>
    <row r="290" spans="1:18" s="223" customFormat="1" ht="13.8" x14ac:dyDescent="0.25">
      <c r="A290" s="234">
        <v>45136</v>
      </c>
      <c r="B290" s="223" t="s">
        <v>521</v>
      </c>
      <c r="C290" s="235" t="s">
        <v>517</v>
      </c>
      <c r="D290" s="223" t="s">
        <v>154</v>
      </c>
      <c r="F290" s="275">
        <v>8000</v>
      </c>
      <c r="G290" s="215">
        <f t="shared" si="4"/>
        <v>24967914</v>
      </c>
      <c r="H290" s="223" t="s">
        <v>301</v>
      </c>
      <c r="I290" s="275" t="s">
        <v>304</v>
      </c>
      <c r="J290" s="223" t="s">
        <v>288</v>
      </c>
      <c r="K290" s="235" t="s">
        <v>199</v>
      </c>
      <c r="L290" s="235" t="s">
        <v>330</v>
      </c>
      <c r="M290" s="223" t="s">
        <v>667</v>
      </c>
      <c r="N290" s="235" t="s">
        <v>342</v>
      </c>
      <c r="O290" s="235"/>
      <c r="P290" s="355"/>
      <c r="Q290" s="235"/>
      <c r="R290" s="235"/>
    </row>
    <row r="291" spans="1:18" s="223" customFormat="1" ht="13.8" x14ac:dyDescent="0.25">
      <c r="A291" s="234">
        <v>45136</v>
      </c>
      <c r="B291" s="223" t="s">
        <v>526</v>
      </c>
      <c r="C291" s="235" t="s">
        <v>34</v>
      </c>
      <c r="D291" s="223" t="s">
        <v>306</v>
      </c>
      <c r="F291" s="251">
        <v>25000</v>
      </c>
      <c r="G291" s="215">
        <f t="shared" si="4"/>
        <v>24942914</v>
      </c>
      <c r="H291" s="235" t="s">
        <v>31</v>
      </c>
      <c r="I291" s="275" t="s">
        <v>304</v>
      </c>
      <c r="J291" s="223" t="s">
        <v>288</v>
      </c>
      <c r="K291" s="223" t="s">
        <v>198</v>
      </c>
      <c r="L291" s="223" t="s">
        <v>330</v>
      </c>
      <c r="P291" s="355"/>
      <c r="Q291" s="235"/>
      <c r="R291" s="235"/>
    </row>
    <row r="292" spans="1:18" s="223" customFormat="1" ht="13.8" x14ac:dyDescent="0.25">
      <c r="A292" s="234">
        <v>45136</v>
      </c>
      <c r="B292" s="223" t="s">
        <v>527</v>
      </c>
      <c r="C292" s="235" t="s">
        <v>307</v>
      </c>
      <c r="D292" s="223" t="s">
        <v>306</v>
      </c>
      <c r="E292" s="215"/>
      <c r="F292" s="215">
        <v>10000</v>
      </c>
      <c r="G292" s="215">
        <f t="shared" si="4"/>
        <v>24932914</v>
      </c>
      <c r="H292" s="235" t="s">
        <v>31</v>
      </c>
      <c r="I292" s="235" t="s">
        <v>368</v>
      </c>
      <c r="J292" s="223" t="s">
        <v>288</v>
      </c>
      <c r="K292" s="223" t="s">
        <v>198</v>
      </c>
      <c r="L292" s="223" t="s">
        <v>330</v>
      </c>
      <c r="P292" s="355"/>
      <c r="Q292" s="235"/>
      <c r="R292" s="235"/>
    </row>
    <row r="293" spans="1:18" s="223" customFormat="1" ht="13.8" x14ac:dyDescent="0.25">
      <c r="A293" s="234">
        <v>45136</v>
      </c>
      <c r="B293" s="223" t="s">
        <v>539</v>
      </c>
      <c r="C293" s="230" t="s">
        <v>307</v>
      </c>
      <c r="D293" s="223" t="s">
        <v>306</v>
      </c>
      <c r="E293" s="215"/>
      <c r="F293" s="215">
        <v>1000</v>
      </c>
      <c r="G293" s="215">
        <f t="shared" si="4"/>
        <v>24931914</v>
      </c>
      <c r="H293" s="223" t="s">
        <v>302</v>
      </c>
      <c r="I293" s="275" t="s">
        <v>304</v>
      </c>
      <c r="J293" s="223" t="s">
        <v>288</v>
      </c>
      <c r="K293" s="223" t="s">
        <v>198</v>
      </c>
      <c r="L293" s="223" t="s">
        <v>330</v>
      </c>
      <c r="N293" s="235"/>
      <c r="P293" s="355"/>
      <c r="Q293" s="235"/>
      <c r="R293" s="235"/>
    </row>
    <row r="294" spans="1:18" s="223" customFormat="1" ht="13.8" x14ac:dyDescent="0.25">
      <c r="A294" s="241">
        <v>45136</v>
      </c>
      <c r="B294" s="223" t="s">
        <v>540</v>
      </c>
      <c r="C294" s="235" t="s">
        <v>34</v>
      </c>
      <c r="D294" s="223" t="s">
        <v>306</v>
      </c>
      <c r="F294" s="223">
        <v>5000</v>
      </c>
      <c r="G294" s="215">
        <f t="shared" si="4"/>
        <v>24926914</v>
      </c>
      <c r="H294" s="235" t="s">
        <v>302</v>
      </c>
      <c r="I294" s="275" t="s">
        <v>304</v>
      </c>
      <c r="J294" s="223" t="s">
        <v>288</v>
      </c>
      <c r="K294" s="223" t="s">
        <v>198</v>
      </c>
      <c r="L294" s="223" t="s">
        <v>330</v>
      </c>
      <c r="N294" s="235"/>
      <c r="P294" s="355"/>
      <c r="Q294" s="235"/>
      <c r="R294" s="235"/>
    </row>
    <row r="295" spans="1:18" s="223" customFormat="1" ht="13.8" x14ac:dyDescent="0.25">
      <c r="A295" s="241">
        <v>45136</v>
      </c>
      <c r="B295" s="223" t="s">
        <v>541</v>
      </c>
      <c r="C295" s="223" t="s">
        <v>34</v>
      </c>
      <c r="D295" s="223" t="s">
        <v>306</v>
      </c>
      <c r="E295" s="215"/>
      <c r="F295" s="215">
        <v>8000</v>
      </c>
      <c r="G295" s="215">
        <f t="shared" si="4"/>
        <v>24918914</v>
      </c>
      <c r="H295" s="235" t="s">
        <v>302</v>
      </c>
      <c r="I295" s="275" t="s">
        <v>304</v>
      </c>
      <c r="J295" s="223" t="s">
        <v>288</v>
      </c>
      <c r="K295" s="223" t="s">
        <v>198</v>
      </c>
      <c r="L295" s="223" t="s">
        <v>330</v>
      </c>
      <c r="N295" s="235"/>
      <c r="P295" s="355"/>
      <c r="Q295" s="235"/>
      <c r="R295" s="235"/>
    </row>
    <row r="296" spans="1:18" s="223" customFormat="1" ht="13.8" x14ac:dyDescent="0.25">
      <c r="A296" s="234">
        <v>45136</v>
      </c>
      <c r="B296" s="223" t="s">
        <v>556</v>
      </c>
      <c r="C296" s="235" t="s">
        <v>323</v>
      </c>
      <c r="D296" s="223" t="s">
        <v>4</v>
      </c>
      <c r="E296" s="215"/>
      <c r="F296" s="274">
        <v>43500</v>
      </c>
      <c r="G296" s="215">
        <f t="shared" si="4"/>
        <v>24875414</v>
      </c>
      <c r="H296" s="223" t="s">
        <v>29</v>
      </c>
      <c r="I296" s="235" t="s">
        <v>368</v>
      </c>
      <c r="J296" s="223" t="s">
        <v>288</v>
      </c>
      <c r="K296" s="223" t="s">
        <v>198</v>
      </c>
      <c r="L296" s="223" t="s">
        <v>330</v>
      </c>
      <c r="P296" s="355"/>
      <c r="Q296" s="235"/>
      <c r="R296" s="235"/>
    </row>
    <row r="297" spans="1:18" s="223" customFormat="1" ht="13.8" x14ac:dyDescent="0.25">
      <c r="A297" s="237">
        <v>45136</v>
      </c>
      <c r="B297" s="223" t="s">
        <v>557</v>
      </c>
      <c r="C297" s="235" t="s">
        <v>34</v>
      </c>
      <c r="D297" s="223" t="s">
        <v>4</v>
      </c>
      <c r="F297" s="275">
        <v>75500</v>
      </c>
      <c r="G297" s="215">
        <f t="shared" si="4"/>
        <v>24799914</v>
      </c>
      <c r="H297" s="235" t="s">
        <v>29</v>
      </c>
      <c r="I297" s="235" t="s">
        <v>368</v>
      </c>
      <c r="J297" s="223" t="s">
        <v>288</v>
      </c>
      <c r="K297" s="235" t="s">
        <v>199</v>
      </c>
      <c r="L297" s="235" t="s">
        <v>330</v>
      </c>
      <c r="M297" s="223" t="s">
        <v>668</v>
      </c>
      <c r="N297" s="235" t="s">
        <v>342</v>
      </c>
      <c r="P297" s="355"/>
      <c r="Q297" s="235"/>
      <c r="R297" s="235"/>
    </row>
    <row r="298" spans="1:18" s="223" customFormat="1" ht="13.8" x14ac:dyDescent="0.25">
      <c r="A298" s="396">
        <v>45137</v>
      </c>
      <c r="B298" s="405" t="s">
        <v>425</v>
      </c>
      <c r="C298" s="314" t="s">
        <v>75</v>
      </c>
      <c r="D298" s="315"/>
      <c r="E298" s="315">
        <v>60000</v>
      </c>
      <c r="F298" s="337"/>
      <c r="G298" s="316">
        <f t="shared" si="4"/>
        <v>24859914</v>
      </c>
      <c r="H298" s="398" t="s">
        <v>25</v>
      </c>
      <c r="I298" s="337"/>
      <c r="J298" s="314"/>
      <c r="K298" s="346"/>
      <c r="L298" s="346"/>
      <c r="M298" s="315"/>
      <c r="N298" s="314"/>
      <c r="O298" s="426"/>
      <c r="P298" s="253"/>
      <c r="Q298" s="235"/>
      <c r="R298" s="235"/>
    </row>
    <row r="299" spans="1:18" s="223" customFormat="1" ht="13.8" x14ac:dyDescent="0.25">
      <c r="A299" s="364">
        <v>45138</v>
      </c>
      <c r="B299" s="310" t="s">
        <v>302</v>
      </c>
      <c r="C299" s="313" t="s">
        <v>75</v>
      </c>
      <c r="D299" s="368"/>
      <c r="E299" s="311"/>
      <c r="F299" s="311">
        <v>88000</v>
      </c>
      <c r="G299" s="311">
        <f t="shared" si="4"/>
        <v>24771914</v>
      </c>
      <c r="H299" s="310" t="s">
        <v>25</v>
      </c>
      <c r="I299" s="363"/>
      <c r="J299" s="310"/>
      <c r="K299" s="370"/>
      <c r="L299" s="310"/>
      <c r="M299" s="310"/>
      <c r="N299" s="310"/>
      <c r="O299" s="310"/>
      <c r="P299" s="253"/>
      <c r="Q299" s="235"/>
      <c r="R299" s="235"/>
    </row>
    <row r="300" spans="1:18" s="223" customFormat="1" ht="13.8" x14ac:dyDescent="0.25">
      <c r="A300" s="234">
        <v>45138</v>
      </c>
      <c r="B300" s="235" t="s">
        <v>426</v>
      </c>
      <c r="C300" s="235" t="s">
        <v>3</v>
      </c>
      <c r="D300" s="223" t="s">
        <v>300</v>
      </c>
      <c r="E300" s="235"/>
      <c r="F300" s="235">
        <v>20000</v>
      </c>
      <c r="G300" s="215">
        <f t="shared" si="4"/>
        <v>24751914</v>
      </c>
      <c r="H300" s="235" t="s">
        <v>25</v>
      </c>
      <c r="I300" s="275" t="s">
        <v>304</v>
      </c>
      <c r="J300" s="223" t="s">
        <v>288</v>
      </c>
      <c r="K300" s="223" t="s">
        <v>198</v>
      </c>
      <c r="L300" s="223" t="s">
        <v>330</v>
      </c>
      <c r="O300" s="235"/>
      <c r="P300" s="355"/>
      <c r="Q300" s="235"/>
      <c r="R300" s="235"/>
    </row>
    <row r="301" spans="1:18" s="223" customFormat="1" ht="13.8" x14ac:dyDescent="0.25">
      <c r="A301" s="396">
        <v>45138</v>
      </c>
      <c r="B301" s="314" t="s">
        <v>31</v>
      </c>
      <c r="C301" s="314" t="s">
        <v>75</v>
      </c>
      <c r="D301" s="315"/>
      <c r="E301" s="315"/>
      <c r="F301" s="315">
        <v>20000</v>
      </c>
      <c r="G301" s="316">
        <f t="shared" si="4"/>
        <v>24731914</v>
      </c>
      <c r="H301" s="415" t="s">
        <v>25</v>
      </c>
      <c r="I301" s="337"/>
      <c r="J301" s="314"/>
      <c r="K301" s="314"/>
      <c r="L301" s="314"/>
      <c r="M301" s="315"/>
      <c r="N301" s="314"/>
      <c r="O301" s="314"/>
      <c r="P301" s="253"/>
      <c r="Q301" s="235"/>
      <c r="R301" s="235"/>
    </row>
    <row r="302" spans="1:18" s="223" customFormat="1" ht="13.8" x14ac:dyDescent="0.25">
      <c r="A302" s="234">
        <v>45138</v>
      </c>
      <c r="B302" s="230" t="s">
        <v>427</v>
      </c>
      <c r="C302" s="235" t="s">
        <v>75</v>
      </c>
      <c r="E302" s="244">
        <v>300000</v>
      </c>
      <c r="G302" s="215">
        <f t="shared" si="4"/>
        <v>25031914</v>
      </c>
      <c r="H302" s="157" t="s">
        <v>25</v>
      </c>
      <c r="I302" s="235"/>
      <c r="P302" s="253"/>
      <c r="Q302" s="235"/>
      <c r="R302" s="235"/>
    </row>
    <row r="303" spans="1:18" s="223" customFormat="1" ht="13.8" x14ac:dyDescent="0.25">
      <c r="A303" s="340">
        <v>45138</v>
      </c>
      <c r="B303" s="363" t="s">
        <v>423</v>
      </c>
      <c r="C303" s="313" t="s">
        <v>75</v>
      </c>
      <c r="D303" s="310"/>
      <c r="E303" s="310"/>
      <c r="F303" s="310">
        <v>20000</v>
      </c>
      <c r="G303" s="311">
        <f t="shared" si="4"/>
        <v>25011914</v>
      </c>
      <c r="H303" s="310" t="s">
        <v>25</v>
      </c>
      <c r="I303" s="363"/>
      <c r="J303" s="313"/>
      <c r="K303" s="313"/>
      <c r="L303" s="313"/>
      <c r="M303" s="310"/>
      <c r="N303" s="313"/>
      <c r="O303" s="310"/>
      <c r="P303" s="253"/>
      <c r="Q303" s="235"/>
      <c r="R303" s="235"/>
    </row>
    <row r="304" spans="1:18" s="223" customFormat="1" ht="13.8" x14ac:dyDescent="0.25">
      <c r="A304" s="241">
        <v>45138</v>
      </c>
      <c r="B304" s="223" t="s">
        <v>452</v>
      </c>
      <c r="C304" s="223" t="s">
        <v>170</v>
      </c>
      <c r="D304" s="223" t="s">
        <v>4</v>
      </c>
      <c r="F304" s="223">
        <v>385000</v>
      </c>
      <c r="G304" s="215">
        <f t="shared" si="4"/>
        <v>24626914</v>
      </c>
      <c r="H304" s="300" t="s">
        <v>148</v>
      </c>
      <c r="I304" s="221">
        <v>3667372</v>
      </c>
      <c r="J304" s="223" t="s">
        <v>102</v>
      </c>
      <c r="K304" s="223" t="s">
        <v>199</v>
      </c>
      <c r="L304" s="223" t="s">
        <v>330</v>
      </c>
      <c r="M304" s="223" t="s">
        <v>669</v>
      </c>
      <c r="N304" s="235" t="s">
        <v>335</v>
      </c>
      <c r="O304" s="231"/>
      <c r="P304" s="355"/>
      <c r="Q304" s="235"/>
      <c r="R304" s="235"/>
    </row>
    <row r="305" spans="1:18" s="223" customFormat="1" ht="17.25" customHeight="1" x14ac:dyDescent="0.25">
      <c r="A305" s="246">
        <v>45138</v>
      </c>
      <c r="B305" s="223" t="s">
        <v>453</v>
      </c>
      <c r="C305" s="223" t="s">
        <v>170</v>
      </c>
      <c r="D305" s="223" t="s">
        <v>4</v>
      </c>
      <c r="E305" s="240"/>
      <c r="F305" s="223">
        <v>225000</v>
      </c>
      <c r="G305" s="215">
        <f t="shared" si="4"/>
        <v>24401914</v>
      </c>
      <c r="H305" s="300" t="s">
        <v>148</v>
      </c>
      <c r="I305" s="242">
        <v>3667373</v>
      </c>
      <c r="J305" s="223" t="s">
        <v>102</v>
      </c>
      <c r="K305" s="223" t="s">
        <v>199</v>
      </c>
      <c r="L305" s="223" t="s">
        <v>330</v>
      </c>
      <c r="M305" s="223" t="s">
        <v>670</v>
      </c>
      <c r="N305" s="235" t="s">
        <v>335</v>
      </c>
      <c r="P305" s="355"/>
      <c r="Q305" s="235"/>
      <c r="R305" s="235"/>
    </row>
    <row r="306" spans="1:18" s="223" customFormat="1" ht="17.25" customHeight="1" x14ac:dyDescent="0.25">
      <c r="A306" s="234">
        <v>45138</v>
      </c>
      <c r="B306" s="223" t="s">
        <v>454</v>
      </c>
      <c r="C306" s="223" t="s">
        <v>170</v>
      </c>
      <c r="D306" s="223" t="s">
        <v>4</v>
      </c>
      <c r="F306" s="223">
        <v>245000</v>
      </c>
      <c r="G306" s="215">
        <f t="shared" si="4"/>
        <v>24156914</v>
      </c>
      <c r="H306" s="300" t="s">
        <v>148</v>
      </c>
      <c r="I306" s="221">
        <v>3667374</v>
      </c>
      <c r="J306" s="223" t="s">
        <v>102</v>
      </c>
      <c r="K306" s="223" t="s">
        <v>199</v>
      </c>
      <c r="L306" s="223" t="s">
        <v>330</v>
      </c>
      <c r="M306" s="223" t="s">
        <v>671</v>
      </c>
      <c r="N306" s="235" t="s">
        <v>335</v>
      </c>
      <c r="O306" s="235"/>
      <c r="P306" s="351"/>
    </row>
    <row r="307" spans="1:18" s="223" customFormat="1" ht="17.25" customHeight="1" x14ac:dyDescent="0.25">
      <c r="A307" s="234">
        <v>45138</v>
      </c>
      <c r="B307" s="223" t="s">
        <v>465</v>
      </c>
      <c r="C307" s="235" t="s">
        <v>34</v>
      </c>
      <c r="D307" s="223" t="s">
        <v>2</v>
      </c>
      <c r="E307" s="215"/>
      <c r="F307" s="274">
        <v>29900</v>
      </c>
      <c r="G307" s="215">
        <f t="shared" si="4"/>
        <v>24127014</v>
      </c>
      <c r="H307" s="223" t="s">
        <v>47</v>
      </c>
      <c r="I307" s="235" t="s">
        <v>368</v>
      </c>
      <c r="J307" s="223" t="s">
        <v>102</v>
      </c>
      <c r="K307" s="235" t="s">
        <v>199</v>
      </c>
      <c r="L307" s="235" t="s">
        <v>330</v>
      </c>
      <c r="M307" s="223" t="s">
        <v>672</v>
      </c>
      <c r="N307" s="235" t="s">
        <v>342</v>
      </c>
      <c r="P307" s="351"/>
    </row>
    <row r="308" spans="1:18" s="223" customFormat="1" ht="17.25" customHeight="1" x14ac:dyDescent="0.25">
      <c r="A308" s="234">
        <v>45138</v>
      </c>
      <c r="B308" s="223" t="s">
        <v>484</v>
      </c>
      <c r="C308" s="223" t="s">
        <v>307</v>
      </c>
      <c r="D308" s="223" t="s">
        <v>4</v>
      </c>
      <c r="E308" s="215"/>
      <c r="F308" s="274">
        <v>6000</v>
      </c>
      <c r="G308" s="215">
        <f t="shared" si="4"/>
        <v>24121014</v>
      </c>
      <c r="H308" s="223" t="s">
        <v>424</v>
      </c>
      <c r="I308" s="235" t="s">
        <v>368</v>
      </c>
      <c r="J308" s="223" t="s">
        <v>288</v>
      </c>
      <c r="K308" s="223" t="s">
        <v>198</v>
      </c>
      <c r="L308" s="223" t="s">
        <v>330</v>
      </c>
      <c r="N308" s="235"/>
      <c r="P308" s="351"/>
    </row>
    <row r="309" spans="1:18" s="190" customFormat="1" ht="17.25" customHeight="1" x14ac:dyDescent="0.25">
      <c r="A309" s="234">
        <v>45138</v>
      </c>
      <c r="B309" s="235" t="s">
        <v>485</v>
      </c>
      <c r="C309" s="235" t="s">
        <v>34</v>
      </c>
      <c r="D309" s="223" t="s">
        <v>4</v>
      </c>
      <c r="E309" s="235"/>
      <c r="F309" s="244">
        <v>22500</v>
      </c>
      <c r="G309" s="215">
        <f t="shared" si="4"/>
        <v>24098514</v>
      </c>
      <c r="H309" s="235" t="s">
        <v>424</v>
      </c>
      <c r="I309" s="235" t="s">
        <v>368</v>
      </c>
      <c r="J309" s="223" t="s">
        <v>288</v>
      </c>
      <c r="K309" s="223" t="s">
        <v>198</v>
      </c>
      <c r="L309" s="223" t="s">
        <v>330</v>
      </c>
      <c r="M309" s="223"/>
      <c r="N309" s="235"/>
      <c r="O309" s="235"/>
      <c r="P309" s="357"/>
    </row>
    <row r="310" spans="1:18" s="223" customFormat="1" ht="13.8" x14ac:dyDescent="0.25">
      <c r="A310" s="234">
        <v>45138</v>
      </c>
      <c r="B310" s="242" t="s">
        <v>522</v>
      </c>
      <c r="C310" s="235" t="s">
        <v>517</v>
      </c>
      <c r="D310" s="223" t="s">
        <v>154</v>
      </c>
      <c r="F310" s="215">
        <v>96800</v>
      </c>
      <c r="G310" s="215">
        <f t="shared" si="4"/>
        <v>24001714</v>
      </c>
      <c r="H310" s="240" t="s">
        <v>301</v>
      </c>
      <c r="I310" s="235" t="s">
        <v>368</v>
      </c>
      <c r="J310" s="223" t="s">
        <v>288</v>
      </c>
      <c r="K310" s="235" t="s">
        <v>199</v>
      </c>
      <c r="L310" s="235" t="s">
        <v>330</v>
      </c>
      <c r="M310" s="223" t="s">
        <v>673</v>
      </c>
      <c r="N310" s="235" t="s">
        <v>342</v>
      </c>
      <c r="P310" s="353"/>
      <c r="Q310" s="240"/>
      <c r="R310" s="240"/>
    </row>
    <row r="311" spans="1:18" s="190" customFormat="1" ht="17.25" customHeight="1" x14ac:dyDescent="0.25">
      <c r="A311" s="443">
        <v>45138</v>
      </c>
      <c r="B311" s="385" t="s">
        <v>525</v>
      </c>
      <c r="C311" s="389" t="s">
        <v>75</v>
      </c>
      <c r="D311" s="385"/>
      <c r="E311" s="385">
        <v>20000</v>
      </c>
      <c r="F311" s="388"/>
      <c r="G311" s="387">
        <f t="shared" si="4"/>
        <v>24021714</v>
      </c>
      <c r="H311" s="385" t="s">
        <v>31</v>
      </c>
      <c r="I311" s="388"/>
      <c r="J311" s="390"/>
      <c r="K311" s="390"/>
      <c r="L311" s="390"/>
      <c r="M311" s="411"/>
      <c r="N311" s="389"/>
      <c r="O311" s="385"/>
    </row>
    <row r="312" spans="1:18" s="190" customFormat="1" ht="17.25" customHeight="1" x14ac:dyDescent="0.25">
      <c r="A312" s="234">
        <v>45138</v>
      </c>
      <c r="B312" s="223" t="s">
        <v>528</v>
      </c>
      <c r="C312" s="235" t="s">
        <v>34</v>
      </c>
      <c r="D312" s="223" t="s">
        <v>155</v>
      </c>
      <c r="E312" s="215"/>
      <c r="F312" s="243">
        <v>46000</v>
      </c>
      <c r="G312" s="215">
        <f t="shared" si="4"/>
        <v>23975714</v>
      </c>
      <c r="H312" s="223" t="s">
        <v>31</v>
      </c>
      <c r="I312" s="235" t="s">
        <v>368</v>
      </c>
      <c r="J312" s="223" t="s">
        <v>288</v>
      </c>
      <c r="K312" s="235" t="s">
        <v>199</v>
      </c>
      <c r="L312" s="235" t="s">
        <v>330</v>
      </c>
      <c r="M312" s="223" t="s">
        <v>674</v>
      </c>
      <c r="N312" s="235" t="s">
        <v>342</v>
      </c>
      <c r="O312" s="223"/>
      <c r="P312" s="358"/>
    </row>
    <row r="313" spans="1:18" s="190" customFormat="1" ht="17.25" customHeight="1" x14ac:dyDescent="0.25">
      <c r="A313" s="234">
        <v>45138</v>
      </c>
      <c r="B313" s="223" t="s">
        <v>530</v>
      </c>
      <c r="C313" s="235" t="s">
        <v>34</v>
      </c>
      <c r="D313" s="223" t="s">
        <v>2</v>
      </c>
      <c r="E313" s="215"/>
      <c r="F313" s="215">
        <v>25500</v>
      </c>
      <c r="G313" s="215">
        <f t="shared" si="4"/>
        <v>23950214</v>
      </c>
      <c r="H313" s="223" t="s">
        <v>143</v>
      </c>
      <c r="I313" s="235" t="s">
        <v>368</v>
      </c>
      <c r="J313" s="223" t="s">
        <v>102</v>
      </c>
      <c r="K313" s="235" t="s">
        <v>199</v>
      </c>
      <c r="L313" s="235" t="s">
        <v>330</v>
      </c>
      <c r="M313" s="223" t="s">
        <v>675</v>
      </c>
      <c r="N313" s="235" t="s">
        <v>342</v>
      </c>
      <c r="O313" s="223"/>
      <c r="P313" s="358"/>
    </row>
    <row r="314" spans="1:18" s="190" customFormat="1" ht="17.25" customHeight="1" x14ac:dyDescent="0.25">
      <c r="A314" s="241">
        <v>45138</v>
      </c>
      <c r="B314" s="235" t="s">
        <v>542</v>
      </c>
      <c r="C314" s="235" t="s">
        <v>461</v>
      </c>
      <c r="D314" s="223" t="s">
        <v>154</v>
      </c>
      <c r="E314" s="235"/>
      <c r="F314" s="235">
        <v>27000</v>
      </c>
      <c r="G314" s="215">
        <f t="shared" si="4"/>
        <v>23923214</v>
      </c>
      <c r="H314" s="235" t="s">
        <v>302</v>
      </c>
      <c r="I314" s="235" t="s">
        <v>368</v>
      </c>
      <c r="J314" s="223" t="s">
        <v>288</v>
      </c>
      <c r="K314" s="223" t="s">
        <v>198</v>
      </c>
      <c r="L314" s="223" t="s">
        <v>330</v>
      </c>
      <c r="M314" s="223"/>
      <c r="N314" s="235"/>
      <c r="O314" s="235"/>
      <c r="P314" s="358"/>
    </row>
    <row r="315" spans="1:18" s="190" customFormat="1" ht="17.25" customHeight="1" x14ac:dyDescent="0.25">
      <c r="A315" s="237">
        <v>45138</v>
      </c>
      <c r="B315" s="235" t="s">
        <v>543</v>
      </c>
      <c r="C315" s="235" t="s">
        <v>307</v>
      </c>
      <c r="D315" s="223" t="s">
        <v>154</v>
      </c>
      <c r="E315" s="235"/>
      <c r="F315" s="244">
        <v>13000</v>
      </c>
      <c r="G315" s="215">
        <f t="shared" si="4"/>
        <v>23910214</v>
      </c>
      <c r="H315" s="235" t="s">
        <v>302</v>
      </c>
      <c r="I315" s="235" t="s">
        <v>368</v>
      </c>
      <c r="J315" s="223" t="s">
        <v>288</v>
      </c>
      <c r="K315" s="223" t="s">
        <v>198</v>
      </c>
      <c r="L315" s="223" t="s">
        <v>330</v>
      </c>
      <c r="M315" s="223"/>
      <c r="N315" s="235"/>
      <c r="O315" s="235"/>
      <c r="P315" s="358"/>
    </row>
    <row r="316" spans="1:18" s="305" customFormat="1" ht="17.25" customHeight="1" x14ac:dyDescent="0.25">
      <c r="A316" s="384">
        <v>45138</v>
      </c>
      <c r="B316" s="385" t="s">
        <v>327</v>
      </c>
      <c r="C316" s="389" t="s">
        <v>75</v>
      </c>
      <c r="D316" s="385"/>
      <c r="E316" s="386">
        <v>88000</v>
      </c>
      <c r="F316" s="387"/>
      <c r="G316" s="387">
        <f t="shared" si="4"/>
        <v>23998214</v>
      </c>
      <c r="H316" s="387" t="s">
        <v>302</v>
      </c>
      <c r="I316" s="388"/>
      <c r="J316" s="389"/>
      <c r="K316" s="390"/>
      <c r="L316" s="390"/>
      <c r="M316" s="385"/>
      <c r="N316" s="389"/>
      <c r="O316" s="299"/>
    </row>
    <row r="317" spans="1:18" s="305" customFormat="1" ht="17.25" customHeight="1" x14ac:dyDescent="0.25">
      <c r="A317" s="246">
        <v>45138</v>
      </c>
      <c r="B317" s="223" t="s">
        <v>328</v>
      </c>
      <c r="C317" s="283" t="s">
        <v>34</v>
      </c>
      <c r="D317" s="223" t="s">
        <v>154</v>
      </c>
      <c r="E317" s="223"/>
      <c r="F317" s="251">
        <v>9000</v>
      </c>
      <c r="G317" s="215">
        <f t="shared" si="4"/>
        <v>23989214</v>
      </c>
      <c r="H317" s="252" t="s">
        <v>302</v>
      </c>
      <c r="I317" s="275" t="s">
        <v>304</v>
      </c>
      <c r="J317" s="223" t="s">
        <v>288</v>
      </c>
      <c r="K317" s="223" t="s">
        <v>198</v>
      </c>
      <c r="L317" s="223" t="s">
        <v>330</v>
      </c>
      <c r="M317" s="223"/>
      <c r="N317" s="235"/>
      <c r="O317" s="223"/>
    </row>
    <row r="318" spans="1:18" s="305" customFormat="1" ht="17.25" customHeight="1" x14ac:dyDescent="0.25">
      <c r="A318" s="234">
        <v>45138</v>
      </c>
      <c r="B318" s="300" t="s">
        <v>544</v>
      </c>
      <c r="C318" s="301" t="s">
        <v>34</v>
      </c>
      <c r="D318" s="223" t="s">
        <v>154</v>
      </c>
      <c r="E318" s="302"/>
      <c r="F318" s="302">
        <v>80000</v>
      </c>
      <c r="G318" s="215">
        <f t="shared" si="4"/>
        <v>23909214</v>
      </c>
      <c r="H318" s="300" t="s">
        <v>302</v>
      </c>
      <c r="I318" s="235" t="s">
        <v>368</v>
      </c>
      <c r="J318" s="223" t="s">
        <v>288</v>
      </c>
      <c r="K318" s="223" t="s">
        <v>198</v>
      </c>
      <c r="L318" s="223" t="s">
        <v>330</v>
      </c>
      <c r="M318" s="300"/>
      <c r="N318" s="300"/>
      <c r="O318" s="190"/>
    </row>
    <row r="319" spans="1:18" s="305" customFormat="1" ht="17.25" customHeight="1" x14ac:dyDescent="0.25">
      <c r="A319" s="396">
        <v>45138</v>
      </c>
      <c r="B319" s="315" t="s">
        <v>324</v>
      </c>
      <c r="C319" s="314" t="s">
        <v>75</v>
      </c>
      <c r="D319" s="316"/>
      <c r="E319" s="315"/>
      <c r="F319" s="397">
        <v>300000</v>
      </c>
      <c r="G319" s="316">
        <f t="shared" ref="G319:G320" si="5">+G318+E319-F319</f>
        <v>23609214</v>
      </c>
      <c r="H319" s="398" t="s">
        <v>29</v>
      </c>
      <c r="I319" s="337"/>
      <c r="J319" s="448"/>
      <c r="K319" s="315"/>
      <c r="L319" s="315"/>
      <c r="M319" s="315"/>
      <c r="N319" s="315"/>
      <c r="O319" s="299"/>
    </row>
    <row r="320" spans="1:18" s="305" customFormat="1" ht="17.25" customHeight="1" x14ac:dyDescent="0.25">
      <c r="A320" s="340">
        <v>45138</v>
      </c>
      <c r="B320" s="312" t="s">
        <v>324</v>
      </c>
      <c r="C320" s="313" t="s">
        <v>75</v>
      </c>
      <c r="D320" s="341"/>
      <c r="E320" s="342"/>
      <c r="F320" s="312">
        <v>60000</v>
      </c>
      <c r="G320" s="311">
        <f t="shared" si="5"/>
        <v>23549214</v>
      </c>
      <c r="H320" s="310" t="s">
        <v>29</v>
      </c>
      <c r="I320" s="312"/>
      <c r="J320" s="310"/>
      <c r="K320" s="310"/>
      <c r="L320" s="310"/>
      <c r="M320" s="343"/>
      <c r="N320" s="313"/>
      <c r="O320" s="299"/>
    </row>
    <row r="321" spans="1:16" s="58" customFormat="1" ht="17.25" customHeight="1" x14ac:dyDescent="0.25">
      <c r="A321" s="232"/>
      <c r="B321" s="307"/>
      <c r="C321" s="226"/>
      <c r="D321" s="214"/>
      <c r="E321" s="308"/>
      <c r="F321" s="233"/>
      <c r="G321" s="215"/>
      <c r="H321" s="225"/>
      <c r="I321" s="226"/>
      <c r="J321" s="226"/>
      <c r="K321" s="225"/>
      <c r="L321" s="226"/>
      <c r="M321" s="225"/>
      <c r="N321" s="226"/>
      <c r="O321" s="225"/>
    </row>
    <row r="322" spans="1:16" s="190" customFormat="1" ht="17.25" customHeight="1" x14ac:dyDescent="0.25">
      <c r="A322" s="250"/>
      <c r="B322" s="223"/>
      <c r="C322" s="235"/>
      <c r="D322" s="223"/>
      <c r="E322" s="223"/>
      <c r="F322" s="275"/>
      <c r="G322" s="215"/>
      <c r="H322" s="223"/>
      <c r="I322" s="235"/>
      <c r="J322" s="223"/>
      <c r="K322" s="223"/>
      <c r="L322" s="223"/>
      <c r="M322" s="238"/>
      <c r="N322" s="235"/>
      <c r="O322" s="223"/>
    </row>
    <row r="323" spans="1:16" s="58" customFormat="1" ht="17.25" customHeight="1" x14ac:dyDescent="0.25">
      <c r="A323" s="220"/>
      <c r="B323" s="225"/>
      <c r="C323" s="226"/>
      <c r="D323" s="225"/>
      <c r="E323" s="196"/>
      <c r="F323" s="213"/>
      <c r="G323" s="215"/>
      <c r="H323" s="225"/>
      <c r="I323" s="319"/>
      <c r="J323" s="225"/>
      <c r="K323" s="228"/>
      <c r="L323" s="225"/>
      <c r="M323" s="309"/>
      <c r="N323" s="226"/>
      <c r="O323" s="225"/>
    </row>
    <row r="324" spans="1:16" s="190" customFormat="1" ht="17.25" customHeight="1" x14ac:dyDescent="0.25">
      <c r="A324" s="234"/>
      <c r="B324" s="223"/>
      <c r="C324" s="235"/>
      <c r="D324" s="223"/>
      <c r="E324" s="223"/>
      <c r="F324" s="278"/>
      <c r="G324" s="215"/>
      <c r="H324" s="240"/>
      <c r="I324" s="275"/>
      <c r="J324" s="223"/>
      <c r="K324" s="223"/>
      <c r="L324" s="223"/>
      <c r="M324" s="238"/>
      <c r="N324" s="235"/>
      <c r="O324" s="223"/>
    </row>
    <row r="325" spans="1:16" s="190" customFormat="1" ht="17.25" customHeight="1" x14ac:dyDescent="0.25">
      <c r="A325" s="237"/>
      <c r="B325" s="223"/>
      <c r="C325" s="235"/>
      <c r="D325" s="223"/>
      <c r="E325" s="215"/>
      <c r="F325" s="243"/>
      <c r="G325" s="215"/>
      <c r="H325" s="223"/>
      <c r="I325" s="275"/>
      <c r="J325" s="223"/>
      <c r="K325" s="223"/>
      <c r="L325" s="223"/>
      <c r="M325" s="238"/>
      <c r="N325" s="235"/>
      <c r="O325" s="223"/>
    </row>
    <row r="326" spans="1:16" s="190" customFormat="1" ht="17.25" customHeight="1" x14ac:dyDescent="0.25">
      <c r="A326" s="220"/>
      <c r="B326" s="225"/>
      <c r="C326" s="235"/>
      <c r="D326" s="225"/>
      <c r="E326" s="196"/>
      <c r="F326" s="196"/>
      <c r="G326" s="215"/>
      <c r="H326" s="235"/>
      <c r="I326" s="319"/>
      <c r="J326" s="225"/>
      <c r="K326" s="225"/>
      <c r="L326" s="225"/>
      <c r="M326" s="225"/>
      <c r="N326" s="225"/>
      <c r="O326" s="225"/>
    </row>
    <row r="327" spans="1:16" s="190" customFormat="1" ht="17.25" customHeight="1" x14ac:dyDescent="0.25">
      <c r="A327" s="220"/>
      <c r="B327" s="225"/>
      <c r="C327" s="235"/>
      <c r="D327" s="225"/>
      <c r="E327" s="196"/>
      <c r="F327" s="196"/>
      <c r="G327" s="215"/>
      <c r="H327" s="225"/>
      <c r="I327" s="319"/>
      <c r="J327" s="225"/>
      <c r="K327" s="225"/>
      <c r="L327" s="225"/>
      <c r="M327" s="225"/>
      <c r="N327" s="225"/>
      <c r="O327" s="225"/>
    </row>
    <row r="328" spans="1:16" s="190" customFormat="1" ht="17.25" customHeight="1" x14ac:dyDescent="0.25">
      <c r="A328" s="224"/>
      <c r="B328" s="226"/>
      <c r="C328" s="235"/>
      <c r="D328" s="225"/>
      <c r="E328" s="226"/>
      <c r="F328" s="226"/>
      <c r="G328" s="215"/>
      <c r="H328" s="226"/>
      <c r="I328" s="319"/>
      <c r="J328" s="225"/>
      <c r="K328" s="225"/>
      <c r="L328" s="225"/>
      <c r="M328" s="225"/>
      <c r="N328" s="225"/>
      <c r="O328" s="226"/>
    </row>
    <row r="329" spans="1:16" s="190" customFormat="1" ht="17.25" customHeight="1" x14ac:dyDescent="0.25">
      <c r="A329" s="234"/>
      <c r="B329" s="300"/>
      <c r="C329" s="301"/>
      <c r="D329" s="223"/>
      <c r="E329" s="302"/>
      <c r="F329" s="302"/>
      <c r="G329" s="215"/>
      <c r="H329" s="300"/>
      <c r="I329" s="275"/>
      <c r="J329" s="300"/>
      <c r="K329" s="300"/>
      <c r="L329" s="300"/>
      <c r="M329" s="300"/>
      <c r="N329" s="300"/>
    </row>
    <row r="330" spans="1:16" s="190" customFormat="1" ht="17.25" customHeight="1" x14ac:dyDescent="0.25">
      <c r="A330" s="234"/>
      <c r="B330" s="300"/>
      <c r="C330" s="300"/>
      <c r="D330" s="223"/>
      <c r="E330" s="302"/>
      <c r="F330" s="302"/>
      <c r="G330" s="215"/>
      <c r="H330" s="300"/>
      <c r="I330" s="275"/>
      <c r="J330" s="300"/>
      <c r="K330" s="300"/>
      <c r="L330" s="300"/>
      <c r="M330" s="300"/>
      <c r="N330" s="300"/>
    </row>
    <row r="331" spans="1:16" s="190" customFormat="1" ht="17.25" customHeight="1" x14ac:dyDescent="0.25">
      <c r="A331" s="220"/>
      <c r="B331" s="300"/>
      <c r="C331" s="235"/>
      <c r="D331" s="301"/>
      <c r="E331" s="302"/>
      <c r="F331" s="306"/>
      <c r="G331" s="215"/>
      <c r="H331" s="300"/>
      <c r="I331" s="300"/>
      <c r="J331" s="300"/>
      <c r="K331" s="300"/>
      <c r="L331" s="300"/>
      <c r="M331" s="300"/>
      <c r="N331" s="300"/>
    </row>
    <row r="332" spans="1:16" s="190" customFormat="1" ht="13.8" x14ac:dyDescent="0.25">
      <c r="A332" s="234"/>
      <c r="G332" s="215"/>
      <c r="I332" s="336"/>
      <c r="M332" s="223"/>
      <c r="N332" s="235"/>
      <c r="P332" s="99"/>
    </row>
    <row r="333" spans="1:16" s="190" customFormat="1" ht="13.8" x14ac:dyDescent="0.25">
      <c r="A333" s="246"/>
      <c r="C333" s="221"/>
      <c r="D333" s="235"/>
      <c r="E333" s="215"/>
      <c r="F333" s="215"/>
      <c r="G333" s="215"/>
      <c r="H333" s="223"/>
      <c r="I333" s="275"/>
      <c r="J333" s="235"/>
      <c r="K333" s="235"/>
      <c r="L333" s="235"/>
      <c r="M333" s="223"/>
      <c r="N333" s="235"/>
      <c r="P333" s="99"/>
    </row>
    <row r="334" spans="1:16" s="190" customFormat="1" ht="13.8" x14ac:dyDescent="0.25">
      <c r="I334" s="336"/>
      <c r="P334" s="99"/>
    </row>
    <row r="335" spans="1:16" s="190" customFormat="1" ht="13.8" x14ac:dyDescent="0.25">
      <c r="I335" s="336"/>
      <c r="P335" s="99"/>
    </row>
    <row r="336" spans="1:16" s="190" customFormat="1" ht="13.8" x14ac:dyDescent="0.25">
      <c r="I336" s="336"/>
      <c r="P336" s="99"/>
    </row>
    <row r="337" spans="9:16" s="190" customFormat="1" ht="13.8" x14ac:dyDescent="0.25">
      <c r="I337" s="336"/>
      <c r="P337" s="99"/>
    </row>
    <row r="338" spans="9:16" s="190" customFormat="1" ht="13.8" x14ac:dyDescent="0.25">
      <c r="I338" s="336"/>
      <c r="P338" s="99"/>
    </row>
    <row r="339" spans="9:16" s="190" customFormat="1" ht="13.8" x14ac:dyDescent="0.25">
      <c r="I339" s="336"/>
      <c r="P339" s="99"/>
    </row>
    <row r="340" spans="9:16" s="190" customFormat="1" ht="13.8" x14ac:dyDescent="0.25">
      <c r="I340" s="336"/>
      <c r="P340" s="99"/>
    </row>
    <row r="341" spans="9:16" s="190" customFormat="1" ht="13.8" x14ac:dyDescent="0.25">
      <c r="I341" s="336"/>
      <c r="P341" s="99"/>
    </row>
    <row r="342" spans="9:16" s="190" customFormat="1" ht="13.8" x14ac:dyDescent="0.25">
      <c r="I342" s="336"/>
      <c r="P342" s="99"/>
    </row>
    <row r="343" spans="9:16" s="190" customFormat="1" ht="13.8" x14ac:dyDescent="0.25">
      <c r="I343" s="336"/>
      <c r="P343" s="99"/>
    </row>
    <row r="344" spans="9:16" s="190" customFormat="1" ht="13.8" x14ac:dyDescent="0.25">
      <c r="I344" s="336"/>
      <c r="P344" s="99"/>
    </row>
    <row r="345" spans="9:16" s="190" customFormat="1" ht="13.8" x14ac:dyDescent="0.25">
      <c r="I345" s="336"/>
      <c r="P345" s="99"/>
    </row>
    <row r="346" spans="9:16" s="190" customFormat="1" ht="13.8" x14ac:dyDescent="0.25">
      <c r="I346" s="336"/>
      <c r="P346" s="99"/>
    </row>
    <row r="347" spans="9:16" s="190" customFormat="1" ht="13.8" x14ac:dyDescent="0.25">
      <c r="I347" s="336"/>
      <c r="P347" s="99"/>
    </row>
    <row r="348" spans="9:16" s="190" customFormat="1" ht="13.8" x14ac:dyDescent="0.25">
      <c r="I348" s="336"/>
      <c r="P348" s="99"/>
    </row>
    <row r="349" spans="9:16" s="190" customFormat="1" ht="13.8" x14ac:dyDescent="0.25">
      <c r="I349" s="336"/>
      <c r="P349" s="99"/>
    </row>
    <row r="350" spans="9:16" s="190" customFormat="1" ht="13.8" x14ac:dyDescent="0.25">
      <c r="I350" s="336"/>
      <c r="P350" s="99"/>
    </row>
    <row r="351" spans="9:16" s="190" customFormat="1" ht="13.8" x14ac:dyDescent="0.25">
      <c r="I351" s="336"/>
      <c r="P351" s="99"/>
    </row>
    <row r="352" spans="9:16" s="190" customFormat="1" ht="13.8" x14ac:dyDescent="0.25">
      <c r="I352" s="336"/>
      <c r="P352" s="99"/>
    </row>
    <row r="353" spans="9:16" s="190" customFormat="1" ht="13.8" x14ac:dyDescent="0.25">
      <c r="I353" s="336"/>
      <c r="P353" s="99"/>
    </row>
    <row r="354" spans="9:16" s="190" customFormat="1" ht="13.8" x14ac:dyDescent="0.25">
      <c r="I354" s="336"/>
      <c r="P354" s="99"/>
    </row>
    <row r="355" spans="9:16" s="190" customFormat="1" ht="13.8" x14ac:dyDescent="0.25">
      <c r="I355" s="336"/>
      <c r="P355" s="99"/>
    </row>
    <row r="356" spans="9:16" s="190" customFormat="1" ht="13.8" x14ac:dyDescent="0.25">
      <c r="I356" s="336"/>
      <c r="P356" s="99"/>
    </row>
    <row r="357" spans="9:16" s="190" customFormat="1" ht="13.8" x14ac:dyDescent="0.25">
      <c r="I357" s="336"/>
      <c r="P357" s="99"/>
    </row>
    <row r="358" spans="9:16" s="190" customFormat="1" ht="13.8" x14ac:dyDescent="0.25">
      <c r="I358" s="336"/>
      <c r="P358" s="99"/>
    </row>
    <row r="359" spans="9:16" s="190" customFormat="1" ht="13.8" x14ac:dyDescent="0.25">
      <c r="I359" s="336"/>
      <c r="P359" s="99"/>
    </row>
    <row r="360" spans="9:16" s="190" customFormat="1" ht="13.8" x14ac:dyDescent="0.25">
      <c r="I360" s="336"/>
      <c r="P360" s="99"/>
    </row>
    <row r="361" spans="9:16" s="190" customFormat="1" ht="13.8" x14ac:dyDescent="0.25">
      <c r="I361" s="336"/>
      <c r="P361" s="99"/>
    </row>
    <row r="362" spans="9:16" s="190" customFormat="1" ht="13.8" x14ac:dyDescent="0.25">
      <c r="I362" s="336"/>
      <c r="P362" s="99"/>
    </row>
    <row r="363" spans="9:16" s="190" customFormat="1" ht="13.8" x14ac:dyDescent="0.25">
      <c r="I363" s="336"/>
      <c r="P363" s="99"/>
    </row>
    <row r="364" spans="9:16" s="190" customFormat="1" ht="13.8" x14ac:dyDescent="0.25">
      <c r="I364" s="336"/>
      <c r="P364" s="99"/>
    </row>
    <row r="365" spans="9:16" s="190" customFormat="1" ht="13.8" x14ac:dyDescent="0.25">
      <c r="I365" s="336"/>
      <c r="P365" s="99"/>
    </row>
    <row r="366" spans="9:16" s="190" customFormat="1" ht="13.8" x14ac:dyDescent="0.25">
      <c r="I366" s="336"/>
      <c r="P366" s="99"/>
    </row>
    <row r="367" spans="9:16" s="190" customFormat="1" ht="13.8" x14ac:dyDescent="0.25">
      <c r="I367" s="336"/>
      <c r="P367" s="99"/>
    </row>
    <row r="368" spans="9:16" s="190" customFormat="1" ht="13.8" x14ac:dyDescent="0.25">
      <c r="I368" s="336"/>
      <c r="P368" s="99"/>
    </row>
    <row r="369" spans="9:16" s="190" customFormat="1" ht="13.8" x14ac:dyDescent="0.25">
      <c r="I369" s="336"/>
      <c r="P369" s="99"/>
    </row>
    <row r="370" spans="9:16" s="190" customFormat="1" ht="13.8" x14ac:dyDescent="0.25">
      <c r="I370" s="336"/>
      <c r="P370" s="99"/>
    </row>
    <row r="371" spans="9:16" s="190" customFormat="1" ht="13.8" x14ac:dyDescent="0.25">
      <c r="I371" s="336"/>
      <c r="P371" s="99"/>
    </row>
    <row r="372" spans="9:16" s="190" customFormat="1" ht="13.8" x14ac:dyDescent="0.25">
      <c r="I372" s="336"/>
      <c r="P372" s="99"/>
    </row>
    <row r="373" spans="9:16" s="190" customFormat="1" ht="13.8" x14ac:dyDescent="0.25">
      <c r="I373" s="336"/>
      <c r="P373" s="99"/>
    </row>
    <row r="374" spans="9:16" s="190" customFormat="1" ht="13.8" x14ac:dyDescent="0.25">
      <c r="I374" s="336"/>
      <c r="P374" s="99"/>
    </row>
    <row r="375" spans="9:16" s="190" customFormat="1" ht="13.8" x14ac:dyDescent="0.25">
      <c r="I375" s="336"/>
      <c r="P375" s="99"/>
    </row>
    <row r="376" spans="9:16" s="190" customFormat="1" ht="13.8" x14ac:dyDescent="0.25">
      <c r="I376" s="336"/>
      <c r="P376" s="99"/>
    </row>
    <row r="377" spans="9:16" s="190" customFormat="1" ht="13.8" x14ac:dyDescent="0.25">
      <c r="I377" s="336"/>
      <c r="P377" s="99"/>
    </row>
    <row r="378" spans="9:16" s="190" customFormat="1" ht="13.8" x14ac:dyDescent="0.25">
      <c r="I378" s="336"/>
      <c r="P378" s="99"/>
    </row>
    <row r="379" spans="9:16" s="190" customFormat="1" ht="13.8" x14ac:dyDescent="0.25">
      <c r="I379" s="336"/>
      <c r="P379" s="99"/>
    </row>
    <row r="380" spans="9:16" s="190" customFormat="1" ht="13.8" x14ac:dyDescent="0.25">
      <c r="I380" s="336"/>
      <c r="P380" s="99"/>
    </row>
    <row r="381" spans="9:16" s="190" customFormat="1" ht="13.8" x14ac:dyDescent="0.25">
      <c r="I381" s="336"/>
      <c r="P381" s="99"/>
    </row>
    <row r="382" spans="9:16" s="190" customFormat="1" ht="13.8" x14ac:dyDescent="0.25">
      <c r="I382" s="336"/>
      <c r="P382" s="99"/>
    </row>
    <row r="383" spans="9:16" s="190" customFormat="1" ht="13.8" x14ac:dyDescent="0.25">
      <c r="I383" s="336"/>
      <c r="P383" s="99"/>
    </row>
    <row r="384" spans="9:16" s="190" customFormat="1" ht="13.8" x14ac:dyDescent="0.25">
      <c r="I384" s="336"/>
      <c r="P384" s="99"/>
    </row>
    <row r="385" spans="9:16" s="190" customFormat="1" ht="13.8" x14ac:dyDescent="0.25">
      <c r="I385" s="336"/>
      <c r="P385" s="99"/>
    </row>
    <row r="386" spans="9:16" s="190" customFormat="1" ht="13.8" x14ac:dyDescent="0.25">
      <c r="I386" s="336"/>
      <c r="P386" s="99"/>
    </row>
    <row r="387" spans="9:16" s="190" customFormat="1" ht="13.8" x14ac:dyDescent="0.25">
      <c r="I387" s="336"/>
      <c r="P387" s="99"/>
    </row>
    <row r="388" spans="9:16" s="190" customFormat="1" ht="13.8" x14ac:dyDescent="0.25">
      <c r="I388" s="336"/>
      <c r="P388" s="99"/>
    </row>
    <row r="389" spans="9:16" s="190" customFormat="1" ht="13.8" x14ac:dyDescent="0.25">
      <c r="I389" s="336"/>
      <c r="P389" s="99"/>
    </row>
    <row r="390" spans="9:16" s="190" customFormat="1" ht="13.8" x14ac:dyDescent="0.25">
      <c r="I390" s="336"/>
      <c r="P390" s="99"/>
    </row>
    <row r="391" spans="9:16" s="190" customFormat="1" ht="13.8" x14ac:dyDescent="0.25">
      <c r="I391" s="336"/>
      <c r="P391" s="99"/>
    </row>
    <row r="392" spans="9:16" s="190" customFormat="1" ht="13.8" x14ac:dyDescent="0.25">
      <c r="I392" s="336"/>
      <c r="P392" s="99"/>
    </row>
    <row r="393" spans="9:16" s="190" customFormat="1" ht="13.8" x14ac:dyDescent="0.25">
      <c r="I393" s="336"/>
      <c r="P393" s="99"/>
    </row>
    <row r="394" spans="9:16" s="190" customFormat="1" ht="13.8" x14ac:dyDescent="0.25">
      <c r="I394" s="336"/>
      <c r="P394" s="99"/>
    </row>
    <row r="395" spans="9:16" s="190" customFormat="1" ht="13.8" x14ac:dyDescent="0.25">
      <c r="I395" s="336"/>
      <c r="P395" s="99"/>
    </row>
    <row r="396" spans="9:16" s="190" customFormat="1" ht="13.8" x14ac:dyDescent="0.25">
      <c r="I396" s="336"/>
      <c r="P396" s="99"/>
    </row>
    <row r="397" spans="9:16" s="190" customFormat="1" ht="13.8" x14ac:dyDescent="0.25">
      <c r="I397" s="336"/>
      <c r="P397" s="99"/>
    </row>
    <row r="398" spans="9:16" s="190" customFormat="1" ht="13.8" x14ac:dyDescent="0.25">
      <c r="I398" s="336"/>
      <c r="P398" s="99"/>
    </row>
    <row r="399" spans="9:16" s="190" customFormat="1" ht="13.8" x14ac:dyDescent="0.25">
      <c r="I399" s="336"/>
      <c r="P399" s="99"/>
    </row>
    <row r="400" spans="9:16" s="190" customFormat="1" ht="13.8" x14ac:dyDescent="0.25">
      <c r="I400" s="336"/>
      <c r="P400" s="99"/>
    </row>
    <row r="401" spans="9:16" s="190" customFormat="1" ht="13.8" x14ac:dyDescent="0.25">
      <c r="I401" s="336"/>
      <c r="P401" s="99"/>
    </row>
    <row r="402" spans="9:16" s="190" customFormat="1" ht="13.8" x14ac:dyDescent="0.25">
      <c r="I402" s="336"/>
      <c r="P402" s="99"/>
    </row>
    <row r="403" spans="9:16" s="190" customFormat="1" ht="13.8" x14ac:dyDescent="0.25">
      <c r="I403" s="336"/>
      <c r="P403" s="99"/>
    </row>
    <row r="404" spans="9:16" s="190" customFormat="1" ht="13.8" x14ac:dyDescent="0.25">
      <c r="I404" s="336"/>
      <c r="P404" s="99"/>
    </row>
    <row r="405" spans="9:16" s="190" customFormat="1" ht="13.8" x14ac:dyDescent="0.25">
      <c r="I405" s="336"/>
      <c r="P405" s="99"/>
    </row>
    <row r="406" spans="9:16" s="190" customFormat="1" ht="13.8" x14ac:dyDescent="0.25">
      <c r="I406" s="336"/>
      <c r="P406" s="99"/>
    </row>
    <row r="407" spans="9:16" s="190" customFormat="1" ht="13.8" x14ac:dyDescent="0.25">
      <c r="I407" s="336"/>
      <c r="P407" s="99"/>
    </row>
    <row r="408" spans="9:16" s="190" customFormat="1" ht="13.8" x14ac:dyDescent="0.25">
      <c r="I408" s="336"/>
      <c r="P408" s="99"/>
    </row>
    <row r="409" spans="9:16" s="190" customFormat="1" ht="13.8" x14ac:dyDescent="0.25">
      <c r="I409" s="336"/>
      <c r="P409" s="99"/>
    </row>
    <row r="410" spans="9:16" s="190" customFormat="1" ht="13.8" x14ac:dyDescent="0.25">
      <c r="I410" s="336"/>
      <c r="P410" s="99"/>
    </row>
    <row r="411" spans="9:16" s="190" customFormat="1" ht="13.8" x14ac:dyDescent="0.25">
      <c r="I411" s="336"/>
      <c r="P411" s="99"/>
    </row>
    <row r="412" spans="9:16" s="190" customFormat="1" ht="13.8" x14ac:dyDescent="0.25">
      <c r="I412" s="336"/>
      <c r="P412" s="99"/>
    </row>
    <row r="413" spans="9:16" s="190" customFormat="1" ht="13.8" x14ac:dyDescent="0.25">
      <c r="I413" s="336"/>
      <c r="P413" s="99"/>
    </row>
    <row r="414" spans="9:16" s="190" customFormat="1" ht="13.8" x14ac:dyDescent="0.25">
      <c r="I414" s="336"/>
      <c r="P414" s="99"/>
    </row>
    <row r="415" spans="9:16" s="190" customFormat="1" ht="13.8" x14ac:dyDescent="0.25">
      <c r="I415" s="336"/>
      <c r="P415" s="99"/>
    </row>
    <row r="416" spans="9:16" s="190" customFormat="1" ht="13.8" x14ac:dyDescent="0.25">
      <c r="I416" s="336"/>
      <c r="P416" s="99"/>
    </row>
    <row r="417" spans="9:16" s="190" customFormat="1" ht="13.8" x14ac:dyDescent="0.25">
      <c r="I417" s="336"/>
      <c r="P417" s="99"/>
    </row>
    <row r="418" spans="9:16" s="190" customFormat="1" ht="13.8" x14ac:dyDescent="0.25">
      <c r="I418" s="336"/>
      <c r="P418" s="99"/>
    </row>
    <row r="419" spans="9:16" s="190" customFormat="1" ht="13.8" x14ac:dyDescent="0.25">
      <c r="I419" s="336"/>
      <c r="P419" s="99"/>
    </row>
    <row r="420" spans="9:16" s="190" customFormat="1" ht="13.8" x14ac:dyDescent="0.25">
      <c r="I420" s="336"/>
      <c r="P420" s="99"/>
    </row>
    <row r="421" spans="9:16" s="190" customFormat="1" ht="13.8" x14ac:dyDescent="0.25">
      <c r="I421" s="336"/>
      <c r="P421" s="99"/>
    </row>
    <row r="422" spans="9:16" s="190" customFormat="1" ht="13.8" x14ac:dyDescent="0.25">
      <c r="I422" s="336"/>
      <c r="P422" s="99"/>
    </row>
    <row r="423" spans="9:16" s="190" customFormat="1" ht="13.8" x14ac:dyDescent="0.25">
      <c r="I423" s="336"/>
      <c r="P423" s="99"/>
    </row>
    <row r="424" spans="9:16" s="190" customFormat="1" ht="13.8" x14ac:dyDescent="0.25">
      <c r="I424" s="336"/>
      <c r="P424" s="99"/>
    </row>
    <row r="425" spans="9:16" s="190" customFormat="1" ht="13.8" x14ac:dyDescent="0.25">
      <c r="I425" s="336"/>
      <c r="P425" s="99"/>
    </row>
    <row r="426" spans="9:16" s="190" customFormat="1" ht="13.8" x14ac:dyDescent="0.25">
      <c r="I426" s="336"/>
      <c r="P426" s="99"/>
    </row>
    <row r="427" spans="9:16" s="190" customFormat="1" ht="13.8" x14ac:dyDescent="0.25">
      <c r="I427" s="336"/>
      <c r="P427" s="99"/>
    </row>
    <row r="428" spans="9:16" s="190" customFormat="1" ht="13.8" x14ac:dyDescent="0.25">
      <c r="I428" s="336"/>
      <c r="P428" s="99"/>
    </row>
    <row r="429" spans="9:16" s="190" customFormat="1" ht="13.8" x14ac:dyDescent="0.25">
      <c r="I429" s="336"/>
      <c r="P429" s="99"/>
    </row>
    <row r="430" spans="9:16" s="190" customFormat="1" ht="13.8" x14ac:dyDescent="0.25">
      <c r="I430" s="336"/>
      <c r="P430" s="99"/>
    </row>
    <row r="431" spans="9:16" s="190" customFormat="1" ht="13.8" x14ac:dyDescent="0.25">
      <c r="I431" s="336"/>
      <c r="P431" s="99"/>
    </row>
    <row r="432" spans="9:16" s="190" customFormat="1" ht="13.8" x14ac:dyDescent="0.25">
      <c r="I432" s="336"/>
      <c r="P432" s="99"/>
    </row>
    <row r="433" spans="9:16" s="190" customFormat="1" ht="13.8" x14ac:dyDescent="0.25">
      <c r="I433" s="336"/>
      <c r="P433" s="99"/>
    </row>
    <row r="434" spans="9:16" s="190" customFormat="1" ht="13.8" x14ac:dyDescent="0.25">
      <c r="I434" s="336"/>
      <c r="P434" s="99"/>
    </row>
    <row r="435" spans="9:16" s="190" customFormat="1" ht="13.8" x14ac:dyDescent="0.25">
      <c r="I435" s="336"/>
      <c r="P435" s="99"/>
    </row>
    <row r="436" spans="9:16" s="190" customFormat="1" ht="13.8" x14ac:dyDescent="0.25">
      <c r="I436" s="336"/>
      <c r="P436" s="99"/>
    </row>
    <row r="437" spans="9:16" s="190" customFormat="1" ht="13.8" x14ac:dyDescent="0.25">
      <c r="I437" s="336"/>
      <c r="P437" s="99"/>
    </row>
    <row r="438" spans="9:16" s="190" customFormat="1" ht="13.8" x14ac:dyDescent="0.25">
      <c r="I438" s="336"/>
      <c r="P438" s="99"/>
    </row>
    <row r="439" spans="9:16" s="190" customFormat="1" ht="13.8" x14ac:dyDescent="0.25">
      <c r="I439" s="336"/>
      <c r="P439" s="99"/>
    </row>
    <row r="440" spans="9:16" s="190" customFormat="1" ht="13.8" x14ac:dyDescent="0.25">
      <c r="I440" s="336"/>
      <c r="P440" s="99"/>
    </row>
    <row r="441" spans="9:16" s="190" customFormat="1" ht="13.8" x14ac:dyDescent="0.25">
      <c r="I441" s="336"/>
      <c r="P441" s="99"/>
    </row>
    <row r="442" spans="9:16" s="190" customFormat="1" ht="13.8" x14ac:dyDescent="0.25">
      <c r="I442" s="336"/>
      <c r="P442" s="99"/>
    </row>
    <row r="443" spans="9:16" s="190" customFormat="1" ht="13.8" x14ac:dyDescent="0.25">
      <c r="I443" s="336"/>
      <c r="P443" s="99"/>
    </row>
    <row r="444" spans="9:16" s="190" customFormat="1" ht="13.8" x14ac:dyDescent="0.25">
      <c r="I444" s="336"/>
      <c r="P444" s="99"/>
    </row>
    <row r="445" spans="9:16" s="190" customFormat="1" ht="13.8" x14ac:dyDescent="0.25">
      <c r="I445" s="336"/>
      <c r="P445" s="99"/>
    </row>
    <row r="446" spans="9:16" s="190" customFormat="1" ht="13.8" x14ac:dyDescent="0.25">
      <c r="I446" s="336"/>
      <c r="P446" s="99"/>
    </row>
    <row r="447" spans="9:16" s="190" customFormat="1" ht="13.8" x14ac:dyDescent="0.25">
      <c r="I447" s="336"/>
      <c r="P447" s="99"/>
    </row>
    <row r="448" spans="9:16" s="190" customFormat="1" ht="13.8" x14ac:dyDescent="0.25">
      <c r="I448" s="336"/>
      <c r="P448" s="99"/>
    </row>
    <row r="449" spans="9:16" s="190" customFormat="1" ht="13.8" x14ac:dyDescent="0.25">
      <c r="I449" s="336"/>
      <c r="P449" s="219"/>
    </row>
    <row r="450" spans="9:16" s="190" customFormat="1" ht="13.8" x14ac:dyDescent="0.25">
      <c r="I450" s="336"/>
      <c r="P450" s="219"/>
    </row>
    <row r="451" spans="9:16" s="190" customFormat="1" ht="13.8" x14ac:dyDescent="0.25">
      <c r="I451" s="336"/>
      <c r="P451" s="219"/>
    </row>
    <row r="452" spans="9:16" s="190" customFormat="1" ht="13.8" x14ac:dyDescent="0.25">
      <c r="I452" s="336"/>
      <c r="P452" s="219"/>
    </row>
    <row r="453" spans="9:16" s="190" customFormat="1" ht="13.8" x14ac:dyDescent="0.25">
      <c r="I453" s="336"/>
      <c r="P453" s="219"/>
    </row>
    <row r="454" spans="9:16" s="190" customFormat="1" ht="13.8" x14ac:dyDescent="0.25">
      <c r="I454" s="336"/>
      <c r="P454" s="219"/>
    </row>
    <row r="455" spans="9:16" s="190" customFormat="1" ht="13.8" x14ac:dyDescent="0.25">
      <c r="I455" s="336"/>
      <c r="P455" s="219"/>
    </row>
    <row r="456" spans="9:16" s="190" customFormat="1" ht="13.8" x14ac:dyDescent="0.25">
      <c r="I456" s="336"/>
      <c r="P456" s="219"/>
    </row>
    <row r="457" spans="9:16" s="190" customFormat="1" ht="13.8" x14ac:dyDescent="0.25">
      <c r="I457" s="336"/>
      <c r="P457" s="219"/>
    </row>
    <row r="458" spans="9:16" s="190" customFormat="1" ht="13.8" x14ac:dyDescent="0.25">
      <c r="I458" s="336"/>
      <c r="P458" s="219"/>
    </row>
    <row r="459" spans="9:16" s="190" customFormat="1" ht="13.8" x14ac:dyDescent="0.25">
      <c r="I459" s="336"/>
      <c r="P459" s="219"/>
    </row>
    <row r="460" spans="9:16" s="190" customFormat="1" ht="13.8" x14ac:dyDescent="0.25">
      <c r="I460" s="336"/>
      <c r="P460" s="219"/>
    </row>
    <row r="461" spans="9:16" s="190" customFormat="1" ht="13.8" x14ac:dyDescent="0.25">
      <c r="I461" s="336"/>
      <c r="P461" s="219"/>
    </row>
    <row r="462" spans="9:16" s="190" customFormat="1" ht="13.8" x14ac:dyDescent="0.25">
      <c r="I462" s="336"/>
      <c r="P462" s="219"/>
    </row>
    <row r="463" spans="9:16" s="190" customFormat="1" ht="13.8" x14ac:dyDescent="0.25">
      <c r="I463" s="336"/>
      <c r="P463" s="219"/>
    </row>
    <row r="464" spans="9:16" s="190" customFormat="1" ht="13.8" x14ac:dyDescent="0.25">
      <c r="I464" s="336"/>
      <c r="P464" s="219"/>
    </row>
    <row r="465" spans="9:16" s="190" customFormat="1" ht="13.8" x14ac:dyDescent="0.25">
      <c r="I465" s="336"/>
      <c r="P465" s="219"/>
    </row>
    <row r="466" spans="9:16" s="190" customFormat="1" ht="13.8" x14ac:dyDescent="0.25">
      <c r="I466" s="336"/>
      <c r="P466" s="219"/>
    </row>
    <row r="467" spans="9:16" s="190" customFormat="1" ht="13.8" x14ac:dyDescent="0.25">
      <c r="I467" s="336"/>
      <c r="P467" s="219"/>
    </row>
    <row r="468" spans="9:16" s="190" customFormat="1" ht="13.8" x14ac:dyDescent="0.25">
      <c r="I468" s="336"/>
      <c r="P468" s="219"/>
    </row>
    <row r="469" spans="9:16" s="190" customFormat="1" ht="13.8" x14ac:dyDescent="0.25">
      <c r="I469" s="336"/>
      <c r="P469" s="219"/>
    </row>
    <row r="470" spans="9:16" s="190" customFormat="1" ht="13.8" x14ac:dyDescent="0.25">
      <c r="I470" s="336"/>
      <c r="P470" s="219"/>
    </row>
    <row r="471" spans="9:16" s="190" customFormat="1" ht="13.8" x14ac:dyDescent="0.25">
      <c r="I471" s="336"/>
      <c r="P471" s="219"/>
    </row>
    <row r="472" spans="9:16" s="190" customFormat="1" ht="13.8" x14ac:dyDescent="0.25">
      <c r="I472" s="336"/>
      <c r="P472" s="219"/>
    </row>
    <row r="473" spans="9:16" s="190" customFormat="1" ht="13.8" x14ac:dyDescent="0.25">
      <c r="I473" s="336"/>
      <c r="P473" s="219"/>
    </row>
    <row r="474" spans="9:16" s="190" customFormat="1" ht="13.8" x14ac:dyDescent="0.25">
      <c r="I474" s="336"/>
      <c r="P474" s="219"/>
    </row>
    <row r="475" spans="9:16" s="190" customFormat="1" ht="13.8" x14ac:dyDescent="0.25">
      <c r="I475" s="336"/>
      <c r="P475" s="219"/>
    </row>
    <row r="476" spans="9:16" s="190" customFormat="1" ht="13.8" x14ac:dyDescent="0.25">
      <c r="I476" s="336"/>
      <c r="P476" s="219"/>
    </row>
    <row r="477" spans="9:16" s="190" customFormat="1" ht="13.8" x14ac:dyDescent="0.25">
      <c r="I477" s="336"/>
      <c r="P477" s="219"/>
    </row>
    <row r="478" spans="9:16" s="190" customFormat="1" ht="13.8" x14ac:dyDescent="0.25">
      <c r="I478" s="336"/>
      <c r="P478" s="219"/>
    </row>
    <row r="479" spans="9:16" s="190" customFormat="1" ht="13.8" x14ac:dyDescent="0.25">
      <c r="I479" s="336"/>
      <c r="P479" s="219"/>
    </row>
    <row r="480" spans="9:16" s="190" customFormat="1" ht="13.8" x14ac:dyDescent="0.25">
      <c r="I480" s="336"/>
      <c r="P480" s="219"/>
    </row>
    <row r="481" spans="9:16" s="190" customFormat="1" ht="13.8" x14ac:dyDescent="0.25">
      <c r="I481" s="336"/>
      <c r="P481" s="219"/>
    </row>
    <row r="482" spans="9:16" s="190" customFormat="1" ht="13.8" x14ac:dyDescent="0.25">
      <c r="I482" s="336"/>
      <c r="P482" s="219"/>
    </row>
    <row r="483" spans="9:16" s="190" customFormat="1" ht="13.8" x14ac:dyDescent="0.25">
      <c r="I483" s="336"/>
      <c r="P483" s="219"/>
    </row>
    <row r="484" spans="9:16" s="190" customFormat="1" ht="13.8" x14ac:dyDescent="0.25">
      <c r="I484" s="336"/>
      <c r="P484" s="219"/>
    </row>
    <row r="485" spans="9:16" s="190" customFormat="1" ht="13.8" x14ac:dyDescent="0.25">
      <c r="I485" s="336"/>
      <c r="P485" s="219"/>
    </row>
    <row r="486" spans="9:16" s="190" customFormat="1" ht="13.8" x14ac:dyDescent="0.25">
      <c r="I486" s="336"/>
      <c r="P486" s="219"/>
    </row>
    <row r="487" spans="9:16" s="190" customFormat="1" ht="13.8" x14ac:dyDescent="0.25">
      <c r="I487" s="336"/>
      <c r="P487" s="219"/>
    </row>
    <row r="488" spans="9:16" s="190" customFormat="1" ht="13.8" x14ac:dyDescent="0.25">
      <c r="I488" s="336"/>
      <c r="P488" s="219"/>
    </row>
    <row r="489" spans="9:16" s="190" customFormat="1" ht="13.8" x14ac:dyDescent="0.25">
      <c r="I489" s="336"/>
      <c r="P489" s="219"/>
    </row>
    <row r="490" spans="9:16" s="190" customFormat="1" ht="13.8" x14ac:dyDescent="0.25">
      <c r="I490" s="336"/>
      <c r="P490" s="219"/>
    </row>
    <row r="491" spans="9:16" s="190" customFormat="1" ht="13.8" x14ac:dyDescent="0.25">
      <c r="I491" s="336"/>
      <c r="P491" s="219"/>
    </row>
    <row r="492" spans="9:16" s="190" customFormat="1" ht="13.8" x14ac:dyDescent="0.25">
      <c r="I492" s="336"/>
      <c r="P492" s="219"/>
    </row>
    <row r="493" spans="9:16" s="190" customFormat="1" ht="13.8" x14ac:dyDescent="0.25">
      <c r="I493" s="336"/>
      <c r="P493" s="219"/>
    </row>
    <row r="494" spans="9:16" s="190" customFormat="1" ht="13.8" x14ac:dyDescent="0.25">
      <c r="I494" s="336"/>
      <c r="P494" s="219"/>
    </row>
    <row r="495" spans="9:16" s="190" customFormat="1" ht="13.8" x14ac:dyDescent="0.25">
      <c r="I495" s="336"/>
      <c r="P495" s="219"/>
    </row>
    <row r="496" spans="9:16" s="190" customFormat="1" ht="13.8" x14ac:dyDescent="0.25">
      <c r="I496" s="336"/>
      <c r="P496" s="219"/>
    </row>
    <row r="497" spans="9:16" s="190" customFormat="1" ht="13.8" x14ac:dyDescent="0.25">
      <c r="I497" s="336"/>
      <c r="P497" s="219"/>
    </row>
    <row r="498" spans="9:16" s="190" customFormat="1" ht="13.8" x14ac:dyDescent="0.25">
      <c r="I498" s="336"/>
      <c r="P498" s="219"/>
    </row>
    <row r="499" spans="9:16" s="190" customFormat="1" ht="13.8" x14ac:dyDescent="0.25">
      <c r="I499" s="336"/>
      <c r="P499" s="219"/>
    </row>
    <row r="500" spans="9:16" s="190" customFormat="1" ht="13.8" x14ac:dyDescent="0.25">
      <c r="I500" s="336"/>
      <c r="P500" s="219"/>
    </row>
    <row r="501" spans="9:16" s="190" customFormat="1" ht="13.8" x14ac:dyDescent="0.25">
      <c r="I501" s="336"/>
      <c r="P501" s="219"/>
    </row>
    <row r="502" spans="9:16" s="190" customFormat="1" ht="13.8" x14ac:dyDescent="0.25">
      <c r="I502" s="336"/>
      <c r="P502" s="219"/>
    </row>
    <row r="503" spans="9:16" s="190" customFormat="1" ht="13.8" x14ac:dyDescent="0.25">
      <c r="I503" s="336"/>
      <c r="P503" s="219"/>
    </row>
    <row r="504" spans="9:16" s="190" customFormat="1" ht="13.8" x14ac:dyDescent="0.25">
      <c r="I504" s="336"/>
      <c r="P504" s="219"/>
    </row>
    <row r="505" spans="9:16" s="190" customFormat="1" ht="13.8" x14ac:dyDescent="0.25">
      <c r="I505" s="336"/>
      <c r="P505" s="219"/>
    </row>
    <row r="506" spans="9:16" s="190" customFormat="1" ht="13.8" x14ac:dyDescent="0.25">
      <c r="I506" s="336"/>
      <c r="P506" s="219"/>
    </row>
    <row r="507" spans="9:16" s="190" customFormat="1" ht="13.8" x14ac:dyDescent="0.25">
      <c r="I507" s="336"/>
      <c r="P507" s="219"/>
    </row>
    <row r="508" spans="9:16" s="190" customFormat="1" ht="13.8" x14ac:dyDescent="0.25">
      <c r="I508" s="336"/>
      <c r="P508" s="219"/>
    </row>
    <row r="509" spans="9:16" s="190" customFormat="1" ht="13.8" x14ac:dyDescent="0.25">
      <c r="I509" s="336"/>
      <c r="P509" s="219"/>
    </row>
    <row r="510" spans="9:16" s="190" customFormat="1" ht="13.8" x14ac:dyDescent="0.25">
      <c r="I510" s="336"/>
      <c r="P510" s="219"/>
    </row>
    <row r="511" spans="9:16" s="190" customFormat="1" ht="13.8" x14ac:dyDescent="0.25">
      <c r="I511" s="336"/>
      <c r="P511" s="219"/>
    </row>
    <row r="512" spans="9:16" s="190" customFormat="1" ht="13.8" x14ac:dyDescent="0.25">
      <c r="I512" s="336"/>
      <c r="P512" s="219"/>
    </row>
    <row r="513" spans="9:16" s="190" customFormat="1" ht="13.8" x14ac:dyDescent="0.25">
      <c r="I513" s="336"/>
      <c r="P513" s="219"/>
    </row>
    <row r="514" spans="9:16" s="190" customFormat="1" ht="13.8" x14ac:dyDescent="0.25">
      <c r="I514" s="336"/>
      <c r="P514" s="219"/>
    </row>
    <row r="515" spans="9:16" s="190" customFormat="1" ht="13.8" x14ac:dyDescent="0.25">
      <c r="I515" s="336"/>
      <c r="P515" s="219"/>
    </row>
    <row r="516" spans="9:16" s="190" customFormat="1" ht="13.8" x14ac:dyDescent="0.25">
      <c r="I516" s="336"/>
      <c r="P516" s="219"/>
    </row>
    <row r="517" spans="9:16" s="190" customFormat="1" ht="13.8" x14ac:dyDescent="0.25">
      <c r="I517" s="336"/>
      <c r="P517" s="219"/>
    </row>
    <row r="518" spans="9:16" s="190" customFormat="1" ht="13.8" x14ac:dyDescent="0.25">
      <c r="I518" s="336"/>
      <c r="P518" s="219"/>
    </row>
    <row r="519" spans="9:16" s="190" customFormat="1" ht="13.8" x14ac:dyDescent="0.25">
      <c r="I519" s="336"/>
      <c r="P519" s="219"/>
    </row>
    <row r="520" spans="9:16" s="190" customFormat="1" ht="13.8" x14ac:dyDescent="0.25">
      <c r="I520" s="336"/>
      <c r="P520" s="219"/>
    </row>
    <row r="521" spans="9:16" s="190" customFormat="1" ht="13.8" x14ac:dyDescent="0.25">
      <c r="I521" s="336"/>
      <c r="P521" s="219"/>
    </row>
    <row r="522" spans="9:16" s="190" customFormat="1" ht="13.8" x14ac:dyDescent="0.25">
      <c r="I522" s="336"/>
      <c r="P522" s="219"/>
    </row>
    <row r="523" spans="9:16" s="190" customFormat="1" ht="13.8" x14ac:dyDescent="0.25">
      <c r="I523" s="336"/>
      <c r="P523" s="219"/>
    </row>
    <row r="524" spans="9:16" s="190" customFormat="1" ht="13.8" x14ac:dyDescent="0.25">
      <c r="I524" s="336"/>
      <c r="P524" s="219"/>
    </row>
    <row r="525" spans="9:16" s="190" customFormat="1" ht="13.8" x14ac:dyDescent="0.25">
      <c r="I525" s="336"/>
      <c r="P525" s="219"/>
    </row>
    <row r="526" spans="9:16" s="190" customFormat="1" ht="13.8" x14ac:dyDescent="0.25">
      <c r="I526" s="336"/>
      <c r="P526" s="219"/>
    </row>
    <row r="527" spans="9:16" s="190" customFormat="1" ht="13.8" x14ac:dyDescent="0.25">
      <c r="I527" s="336"/>
      <c r="P527" s="219"/>
    </row>
    <row r="528" spans="9:16" s="190" customFormat="1" ht="13.8" x14ac:dyDescent="0.25">
      <c r="I528" s="336"/>
      <c r="P528" s="219"/>
    </row>
    <row r="529" spans="9:16" s="190" customFormat="1" ht="13.8" x14ac:dyDescent="0.25">
      <c r="I529" s="336"/>
      <c r="P529" s="219"/>
    </row>
    <row r="530" spans="9:16" s="190" customFormat="1" ht="13.8" x14ac:dyDescent="0.25">
      <c r="I530" s="336"/>
      <c r="P530" s="219"/>
    </row>
    <row r="531" spans="9:16" s="190" customFormat="1" ht="13.8" x14ac:dyDescent="0.25">
      <c r="I531" s="336"/>
      <c r="P531" s="219"/>
    </row>
    <row r="532" spans="9:16" s="190" customFormat="1" ht="13.8" x14ac:dyDescent="0.25">
      <c r="I532" s="336"/>
      <c r="P532" s="219"/>
    </row>
    <row r="533" spans="9:16" s="190" customFormat="1" ht="13.8" x14ac:dyDescent="0.25">
      <c r="I533" s="336"/>
      <c r="P533" s="219"/>
    </row>
    <row r="534" spans="9:16" s="190" customFormat="1" ht="13.8" x14ac:dyDescent="0.25">
      <c r="I534" s="336"/>
      <c r="P534" s="219"/>
    </row>
    <row r="535" spans="9:16" s="190" customFormat="1" ht="13.8" x14ac:dyDescent="0.25">
      <c r="I535" s="336"/>
      <c r="P535" s="219"/>
    </row>
    <row r="536" spans="9:16" s="190" customFormat="1" ht="13.8" x14ac:dyDescent="0.25">
      <c r="I536" s="336"/>
      <c r="P536" s="219"/>
    </row>
    <row r="537" spans="9:16" s="190" customFormat="1" ht="13.8" x14ac:dyDescent="0.25">
      <c r="I537" s="336"/>
      <c r="P537" s="219"/>
    </row>
    <row r="538" spans="9:16" s="190" customFormat="1" ht="13.8" x14ac:dyDescent="0.25">
      <c r="I538" s="336"/>
      <c r="P538" s="219"/>
    </row>
    <row r="539" spans="9:16" s="190" customFormat="1" ht="13.8" x14ac:dyDescent="0.25">
      <c r="I539" s="336"/>
      <c r="P539" s="219"/>
    </row>
    <row r="540" spans="9:16" s="190" customFormat="1" ht="13.8" x14ac:dyDescent="0.25">
      <c r="I540" s="336"/>
      <c r="P540" s="219"/>
    </row>
    <row r="541" spans="9:16" s="190" customFormat="1" ht="13.8" x14ac:dyDescent="0.25">
      <c r="I541" s="336"/>
      <c r="P541" s="219"/>
    </row>
    <row r="542" spans="9:16" s="190" customFormat="1" ht="13.8" x14ac:dyDescent="0.25">
      <c r="I542" s="336"/>
      <c r="P542" s="219"/>
    </row>
    <row r="543" spans="9:16" s="190" customFormat="1" ht="13.8" x14ac:dyDescent="0.25">
      <c r="I543" s="336"/>
      <c r="P543" s="219"/>
    </row>
    <row r="544" spans="9:16" s="190" customFormat="1" ht="13.8" x14ac:dyDescent="0.25">
      <c r="I544" s="336"/>
      <c r="P544" s="219"/>
    </row>
    <row r="545" spans="9:16" s="190" customFormat="1" ht="13.8" x14ac:dyDescent="0.25">
      <c r="I545" s="336"/>
      <c r="P545" s="219"/>
    </row>
    <row r="546" spans="9:16" s="190" customFormat="1" ht="13.8" x14ac:dyDescent="0.25">
      <c r="I546" s="336"/>
      <c r="P546" s="219"/>
    </row>
    <row r="547" spans="9:16" s="190" customFormat="1" ht="13.8" x14ac:dyDescent="0.25">
      <c r="I547" s="336"/>
      <c r="P547" s="219"/>
    </row>
    <row r="548" spans="9:16" s="190" customFormat="1" ht="13.8" x14ac:dyDescent="0.25">
      <c r="I548" s="336"/>
      <c r="P548" s="219"/>
    </row>
    <row r="549" spans="9:16" s="190" customFormat="1" ht="13.8" x14ac:dyDescent="0.25">
      <c r="I549" s="336"/>
      <c r="P549" s="219"/>
    </row>
    <row r="550" spans="9:16" s="190" customFormat="1" ht="13.8" x14ac:dyDescent="0.25">
      <c r="I550" s="336"/>
      <c r="P550" s="219"/>
    </row>
    <row r="551" spans="9:16" s="190" customFormat="1" ht="13.8" x14ac:dyDescent="0.25">
      <c r="I551" s="336"/>
      <c r="P551" s="219"/>
    </row>
    <row r="552" spans="9:16" s="190" customFormat="1" ht="13.8" x14ac:dyDescent="0.25">
      <c r="I552" s="336"/>
      <c r="P552" s="219"/>
    </row>
    <row r="553" spans="9:16" s="190" customFormat="1" ht="13.8" x14ac:dyDescent="0.25">
      <c r="I553" s="336"/>
      <c r="P553" s="219"/>
    </row>
    <row r="554" spans="9:16" s="190" customFormat="1" ht="13.8" x14ac:dyDescent="0.25">
      <c r="I554" s="336"/>
      <c r="P554" s="219"/>
    </row>
    <row r="555" spans="9:16" s="190" customFormat="1" ht="13.8" x14ac:dyDescent="0.25">
      <c r="I555" s="336"/>
      <c r="P555" s="219"/>
    </row>
    <row r="556" spans="9:16" s="190" customFormat="1" ht="13.8" x14ac:dyDescent="0.25">
      <c r="I556" s="336"/>
      <c r="P556" s="219"/>
    </row>
    <row r="557" spans="9:16" s="190" customFormat="1" ht="13.8" x14ac:dyDescent="0.25">
      <c r="I557" s="336"/>
      <c r="P557" s="219"/>
    </row>
    <row r="558" spans="9:16" s="190" customFormat="1" ht="13.8" x14ac:dyDescent="0.25">
      <c r="I558" s="336"/>
      <c r="P558" s="219"/>
    </row>
    <row r="559" spans="9:16" s="190" customFormat="1" ht="13.8" x14ac:dyDescent="0.25">
      <c r="I559" s="336"/>
      <c r="P559" s="219"/>
    </row>
    <row r="560" spans="9:16" s="190" customFormat="1" ht="13.8" x14ac:dyDescent="0.25">
      <c r="I560" s="336"/>
      <c r="P560" s="219"/>
    </row>
    <row r="561" spans="9:16" s="190" customFormat="1" ht="13.8" x14ac:dyDescent="0.25">
      <c r="I561" s="336"/>
      <c r="P561" s="219"/>
    </row>
    <row r="562" spans="9:16" s="190" customFormat="1" ht="13.8" x14ac:dyDescent="0.25">
      <c r="I562" s="336"/>
      <c r="P562" s="219"/>
    </row>
    <row r="563" spans="9:16" s="190" customFormat="1" ht="13.8" x14ac:dyDescent="0.25">
      <c r="I563" s="336"/>
      <c r="P563" s="219"/>
    </row>
    <row r="564" spans="9:16" s="190" customFormat="1" ht="13.8" x14ac:dyDescent="0.25">
      <c r="I564" s="336"/>
      <c r="P564" s="219"/>
    </row>
    <row r="565" spans="9:16" s="190" customFormat="1" ht="13.8" x14ac:dyDescent="0.25">
      <c r="I565" s="336"/>
      <c r="P565" s="219"/>
    </row>
    <row r="566" spans="9:16" s="190" customFormat="1" ht="13.8" x14ac:dyDescent="0.25">
      <c r="I566" s="336"/>
      <c r="P566" s="219"/>
    </row>
    <row r="567" spans="9:16" s="190" customFormat="1" ht="13.8" x14ac:dyDescent="0.25">
      <c r="I567" s="336"/>
      <c r="P567" s="219"/>
    </row>
    <row r="568" spans="9:16" s="190" customFormat="1" ht="13.8" x14ac:dyDescent="0.25">
      <c r="I568" s="336"/>
      <c r="P568" s="219"/>
    </row>
    <row r="569" spans="9:16" s="190" customFormat="1" ht="13.8" x14ac:dyDescent="0.25">
      <c r="I569" s="336"/>
      <c r="P569" s="219"/>
    </row>
    <row r="570" spans="9:16" s="190" customFormat="1" ht="13.8" x14ac:dyDescent="0.25">
      <c r="I570" s="336"/>
      <c r="P570" s="219"/>
    </row>
    <row r="571" spans="9:16" s="190" customFormat="1" ht="13.8" x14ac:dyDescent="0.25">
      <c r="I571" s="336"/>
      <c r="P571" s="219"/>
    </row>
    <row r="572" spans="9:16" s="190" customFormat="1" ht="13.8" x14ac:dyDescent="0.25">
      <c r="I572" s="336"/>
      <c r="P572" s="219"/>
    </row>
    <row r="573" spans="9:16" s="190" customFormat="1" ht="13.8" x14ac:dyDescent="0.25">
      <c r="I573" s="336"/>
      <c r="P573" s="219"/>
    </row>
    <row r="574" spans="9:16" s="190" customFormat="1" ht="13.8" x14ac:dyDescent="0.25">
      <c r="I574" s="336"/>
      <c r="P574" s="219"/>
    </row>
    <row r="575" spans="9:16" s="190" customFormat="1" ht="13.8" x14ac:dyDescent="0.25">
      <c r="I575" s="336"/>
      <c r="P575" s="219"/>
    </row>
    <row r="576" spans="9:16" s="190" customFormat="1" ht="13.8" x14ac:dyDescent="0.25">
      <c r="I576" s="336"/>
      <c r="P576" s="219"/>
    </row>
    <row r="577" spans="9:16" s="190" customFormat="1" ht="13.8" x14ac:dyDescent="0.25">
      <c r="I577" s="336"/>
      <c r="P577" s="219"/>
    </row>
    <row r="578" spans="9:16" s="190" customFormat="1" ht="13.8" x14ac:dyDescent="0.25">
      <c r="I578" s="336"/>
      <c r="P578" s="219"/>
    </row>
    <row r="579" spans="9:16" s="190" customFormat="1" ht="13.8" x14ac:dyDescent="0.25">
      <c r="I579" s="336"/>
      <c r="P579" s="219"/>
    </row>
    <row r="580" spans="9:16" s="190" customFormat="1" ht="13.8" x14ac:dyDescent="0.25">
      <c r="I580" s="336"/>
      <c r="P580" s="219"/>
    </row>
    <row r="581" spans="9:16" s="190" customFormat="1" ht="13.8" x14ac:dyDescent="0.25">
      <c r="I581" s="336"/>
      <c r="P581" s="219"/>
    </row>
    <row r="582" spans="9:16" s="190" customFormat="1" ht="13.8" x14ac:dyDescent="0.25">
      <c r="I582" s="336"/>
      <c r="P582" s="219"/>
    </row>
    <row r="583" spans="9:16" s="190" customFormat="1" ht="13.8" x14ac:dyDescent="0.25">
      <c r="I583" s="336"/>
      <c r="P583" s="219"/>
    </row>
    <row r="584" spans="9:16" s="190" customFormat="1" ht="13.8" x14ac:dyDescent="0.25">
      <c r="I584" s="336"/>
      <c r="P584" s="219"/>
    </row>
    <row r="585" spans="9:16" s="190" customFormat="1" ht="13.8" x14ac:dyDescent="0.25">
      <c r="I585" s="336"/>
      <c r="P585" s="219"/>
    </row>
    <row r="586" spans="9:16" s="190" customFormat="1" ht="13.8" x14ac:dyDescent="0.25">
      <c r="I586" s="336"/>
      <c r="P586" s="219"/>
    </row>
    <row r="587" spans="9:16" s="190" customFormat="1" ht="13.8" x14ac:dyDescent="0.25">
      <c r="I587" s="336"/>
      <c r="P587" s="219"/>
    </row>
    <row r="588" spans="9:16" s="190" customFormat="1" ht="13.8" x14ac:dyDescent="0.25">
      <c r="I588" s="336"/>
      <c r="P588" s="219"/>
    </row>
    <row r="589" spans="9:16" s="190" customFormat="1" ht="13.8" x14ac:dyDescent="0.25">
      <c r="I589" s="336"/>
      <c r="P589" s="219"/>
    </row>
    <row r="590" spans="9:16" s="190" customFormat="1" ht="13.8" x14ac:dyDescent="0.25">
      <c r="I590" s="336"/>
      <c r="P590" s="219"/>
    </row>
    <row r="591" spans="9:16" s="190" customFormat="1" ht="13.8" x14ac:dyDescent="0.25">
      <c r="I591" s="336"/>
      <c r="P591" s="219"/>
    </row>
    <row r="592" spans="9:16" s="190" customFormat="1" ht="13.8" x14ac:dyDescent="0.25">
      <c r="I592" s="336"/>
      <c r="P592" s="219"/>
    </row>
    <row r="593" spans="9:16" s="190" customFormat="1" ht="13.8" x14ac:dyDescent="0.25">
      <c r="I593" s="336"/>
      <c r="P593" s="219"/>
    </row>
    <row r="594" spans="9:16" s="190" customFormat="1" ht="13.8" x14ac:dyDescent="0.25">
      <c r="I594" s="336"/>
      <c r="P594" s="219"/>
    </row>
    <row r="595" spans="9:16" s="190" customFormat="1" ht="13.8" x14ac:dyDescent="0.25">
      <c r="I595" s="336"/>
      <c r="P595" s="219"/>
    </row>
    <row r="596" spans="9:16" s="190" customFormat="1" ht="13.8" x14ac:dyDescent="0.25">
      <c r="I596" s="336"/>
      <c r="P596" s="219"/>
    </row>
    <row r="597" spans="9:16" s="190" customFormat="1" ht="13.8" x14ac:dyDescent="0.25">
      <c r="I597" s="336"/>
      <c r="P597" s="219"/>
    </row>
    <row r="598" spans="9:16" s="190" customFormat="1" ht="13.8" x14ac:dyDescent="0.25">
      <c r="I598" s="336"/>
      <c r="P598" s="219"/>
    </row>
    <row r="599" spans="9:16" s="190" customFormat="1" ht="13.8" x14ac:dyDescent="0.25">
      <c r="I599" s="336"/>
      <c r="P599" s="219"/>
    </row>
    <row r="600" spans="9:16" s="190" customFormat="1" ht="13.8" x14ac:dyDescent="0.25">
      <c r="I600" s="336"/>
      <c r="P600" s="219"/>
    </row>
    <row r="601" spans="9:16" s="190" customFormat="1" ht="13.8" x14ac:dyDescent="0.25">
      <c r="I601" s="336"/>
      <c r="P601" s="219"/>
    </row>
    <row r="602" spans="9:16" s="190" customFormat="1" ht="13.8" x14ac:dyDescent="0.25">
      <c r="I602" s="336"/>
      <c r="P602" s="219"/>
    </row>
    <row r="603" spans="9:16" s="190" customFormat="1" ht="13.8" x14ac:dyDescent="0.25">
      <c r="I603" s="336"/>
      <c r="P603" s="219"/>
    </row>
    <row r="604" spans="9:16" s="190" customFormat="1" ht="13.8" x14ac:dyDescent="0.25">
      <c r="I604" s="336"/>
      <c r="P604" s="219"/>
    </row>
    <row r="605" spans="9:16" s="190" customFormat="1" ht="13.8" x14ac:dyDescent="0.25">
      <c r="I605" s="336"/>
      <c r="P605" s="219"/>
    </row>
    <row r="606" spans="9:16" s="190" customFormat="1" ht="13.8" x14ac:dyDescent="0.25">
      <c r="I606" s="336"/>
      <c r="P606" s="219"/>
    </row>
    <row r="607" spans="9:16" s="190" customFormat="1" ht="13.8" x14ac:dyDescent="0.25">
      <c r="I607" s="336"/>
      <c r="P607" s="219"/>
    </row>
    <row r="608" spans="9:16" s="190" customFormat="1" ht="13.8" x14ac:dyDescent="0.25">
      <c r="I608" s="336"/>
      <c r="P608" s="219"/>
    </row>
    <row r="609" spans="9:16" s="190" customFormat="1" ht="13.8" x14ac:dyDescent="0.25">
      <c r="I609" s="336"/>
      <c r="P609" s="219"/>
    </row>
    <row r="610" spans="9:16" s="190" customFormat="1" ht="13.8" x14ac:dyDescent="0.25">
      <c r="I610" s="336"/>
      <c r="P610" s="219"/>
    </row>
    <row r="611" spans="9:16" s="190" customFormat="1" ht="13.8" x14ac:dyDescent="0.25">
      <c r="I611" s="336"/>
      <c r="P611" s="219"/>
    </row>
    <row r="612" spans="9:16" s="190" customFormat="1" ht="13.8" x14ac:dyDescent="0.25">
      <c r="I612" s="336"/>
      <c r="P612" s="219"/>
    </row>
    <row r="613" spans="9:16" s="190" customFormat="1" ht="13.8" x14ac:dyDescent="0.25">
      <c r="I613" s="336"/>
      <c r="P613" s="219"/>
    </row>
    <row r="614" spans="9:16" s="190" customFormat="1" ht="13.8" x14ac:dyDescent="0.25">
      <c r="I614" s="336"/>
      <c r="P614" s="219"/>
    </row>
    <row r="615" spans="9:16" s="190" customFormat="1" ht="13.8" x14ac:dyDescent="0.25">
      <c r="I615" s="336"/>
      <c r="P615" s="219"/>
    </row>
    <row r="616" spans="9:16" s="190" customFormat="1" ht="13.8" x14ac:dyDescent="0.25">
      <c r="I616" s="336"/>
      <c r="P616" s="219"/>
    </row>
    <row r="617" spans="9:16" s="190" customFormat="1" ht="13.8" x14ac:dyDescent="0.25">
      <c r="I617" s="336"/>
      <c r="P617" s="219"/>
    </row>
    <row r="618" spans="9:16" s="190" customFormat="1" ht="13.8" x14ac:dyDescent="0.25">
      <c r="I618" s="336"/>
      <c r="P618" s="219"/>
    </row>
    <row r="619" spans="9:16" s="190" customFormat="1" ht="13.8" x14ac:dyDescent="0.25">
      <c r="I619" s="336"/>
      <c r="P619" s="219"/>
    </row>
    <row r="620" spans="9:16" s="190" customFormat="1" ht="13.8" x14ac:dyDescent="0.25">
      <c r="I620" s="336"/>
      <c r="P620" s="219"/>
    </row>
    <row r="621" spans="9:16" s="190" customFormat="1" ht="13.8" x14ac:dyDescent="0.25">
      <c r="I621" s="336"/>
      <c r="P621" s="219"/>
    </row>
    <row r="622" spans="9:16" s="190" customFormat="1" ht="13.8" x14ac:dyDescent="0.25">
      <c r="I622" s="336"/>
      <c r="P622" s="219"/>
    </row>
    <row r="623" spans="9:16" s="190" customFormat="1" ht="13.8" x14ac:dyDescent="0.25">
      <c r="I623" s="336"/>
      <c r="P623" s="219"/>
    </row>
    <row r="624" spans="9:16" s="190" customFormat="1" ht="13.8" x14ac:dyDescent="0.25">
      <c r="I624" s="336"/>
      <c r="P624" s="219"/>
    </row>
    <row r="625" spans="9:16" s="190" customFormat="1" ht="13.8" x14ac:dyDescent="0.25">
      <c r="I625" s="336"/>
      <c r="P625" s="219"/>
    </row>
    <row r="626" spans="9:16" s="190" customFormat="1" ht="13.8" x14ac:dyDescent="0.25">
      <c r="I626" s="336"/>
      <c r="P626" s="219"/>
    </row>
    <row r="627" spans="9:16" s="190" customFormat="1" ht="13.8" x14ac:dyDescent="0.25">
      <c r="I627" s="336"/>
      <c r="P627" s="219"/>
    </row>
    <row r="628" spans="9:16" s="190" customFormat="1" ht="13.8" x14ac:dyDescent="0.25">
      <c r="I628" s="336"/>
      <c r="P628" s="219"/>
    </row>
    <row r="629" spans="9:16" s="190" customFormat="1" ht="13.8" x14ac:dyDescent="0.25">
      <c r="I629" s="336"/>
      <c r="P629" s="219"/>
    </row>
    <row r="630" spans="9:16" s="190" customFormat="1" ht="13.8" x14ac:dyDescent="0.25">
      <c r="I630" s="336"/>
      <c r="P630" s="219"/>
    </row>
    <row r="631" spans="9:16" s="190" customFormat="1" ht="13.8" x14ac:dyDescent="0.25">
      <c r="I631" s="336"/>
      <c r="P631" s="219"/>
    </row>
    <row r="632" spans="9:16" s="190" customFormat="1" ht="13.8" x14ac:dyDescent="0.25">
      <c r="I632" s="336"/>
      <c r="P632" s="219"/>
    </row>
    <row r="633" spans="9:16" s="190" customFormat="1" ht="13.8" x14ac:dyDescent="0.25">
      <c r="I633" s="336"/>
      <c r="P633" s="219"/>
    </row>
    <row r="634" spans="9:16" s="190" customFormat="1" ht="13.8" x14ac:dyDescent="0.25">
      <c r="I634" s="336"/>
      <c r="P634" s="219"/>
    </row>
    <row r="635" spans="9:16" s="190" customFormat="1" ht="13.8" x14ac:dyDescent="0.25">
      <c r="I635" s="336"/>
      <c r="P635" s="219"/>
    </row>
    <row r="636" spans="9:16" s="190" customFormat="1" ht="13.8" x14ac:dyDescent="0.25">
      <c r="I636" s="336"/>
      <c r="P636" s="219"/>
    </row>
    <row r="637" spans="9:16" s="190" customFormat="1" ht="13.8" x14ac:dyDescent="0.25">
      <c r="I637" s="336"/>
      <c r="P637" s="219"/>
    </row>
    <row r="638" spans="9:16" s="190" customFormat="1" ht="13.8" x14ac:dyDescent="0.25">
      <c r="I638" s="336"/>
      <c r="P638" s="219"/>
    </row>
    <row r="639" spans="9:16" s="190" customFormat="1" ht="13.8" x14ac:dyDescent="0.25">
      <c r="I639" s="336"/>
      <c r="P639" s="219"/>
    </row>
    <row r="640" spans="9:16" s="190" customFormat="1" ht="13.8" x14ac:dyDescent="0.25">
      <c r="I640" s="336"/>
      <c r="P640" s="219"/>
    </row>
    <row r="641" spans="9:16" s="190" customFormat="1" ht="13.8" x14ac:dyDescent="0.25">
      <c r="I641" s="336"/>
      <c r="P641" s="219"/>
    </row>
    <row r="642" spans="9:16" s="190" customFormat="1" ht="13.8" x14ac:dyDescent="0.25">
      <c r="I642" s="336"/>
      <c r="P642" s="219"/>
    </row>
    <row r="643" spans="9:16" s="190" customFormat="1" ht="13.8" x14ac:dyDescent="0.25">
      <c r="I643" s="336"/>
      <c r="P643" s="219"/>
    </row>
    <row r="644" spans="9:16" s="190" customFormat="1" ht="13.8" x14ac:dyDescent="0.25">
      <c r="I644" s="336"/>
      <c r="P644" s="219"/>
    </row>
    <row r="645" spans="9:16" s="190" customFormat="1" ht="13.8" x14ac:dyDescent="0.25">
      <c r="I645" s="336"/>
      <c r="P645" s="219"/>
    </row>
    <row r="646" spans="9:16" s="190" customFormat="1" ht="13.8" x14ac:dyDescent="0.25">
      <c r="I646" s="336"/>
      <c r="P646" s="219"/>
    </row>
    <row r="647" spans="9:16" s="190" customFormat="1" ht="13.8" x14ac:dyDescent="0.25">
      <c r="I647" s="336"/>
      <c r="P647" s="219"/>
    </row>
    <row r="648" spans="9:16" s="190" customFormat="1" ht="13.8" x14ac:dyDescent="0.25">
      <c r="I648" s="336"/>
      <c r="P648" s="219"/>
    </row>
    <row r="649" spans="9:16" s="190" customFormat="1" ht="13.8" x14ac:dyDescent="0.25">
      <c r="I649" s="336"/>
      <c r="P649" s="219"/>
    </row>
    <row r="650" spans="9:16" s="190" customFormat="1" ht="13.8" x14ac:dyDescent="0.25">
      <c r="I650" s="336"/>
      <c r="P650" s="219"/>
    </row>
    <row r="651" spans="9:16" s="190" customFormat="1" ht="13.8" x14ac:dyDescent="0.25">
      <c r="I651" s="336"/>
      <c r="P651" s="219"/>
    </row>
    <row r="652" spans="9:16" s="190" customFormat="1" ht="13.8" x14ac:dyDescent="0.25">
      <c r="I652" s="336"/>
      <c r="P652" s="219"/>
    </row>
    <row r="653" spans="9:16" s="190" customFormat="1" ht="13.8" x14ac:dyDescent="0.25">
      <c r="I653" s="336"/>
      <c r="P653" s="219"/>
    </row>
    <row r="654" spans="9:16" s="190" customFormat="1" ht="13.8" x14ac:dyDescent="0.25">
      <c r="I654" s="336"/>
      <c r="P654" s="219"/>
    </row>
    <row r="655" spans="9:16" s="190" customFormat="1" ht="13.8" x14ac:dyDescent="0.25">
      <c r="I655" s="336"/>
      <c r="P655" s="219"/>
    </row>
    <row r="656" spans="9:16" s="190" customFormat="1" ht="13.8" x14ac:dyDescent="0.25">
      <c r="I656" s="336"/>
      <c r="P656" s="219"/>
    </row>
    <row r="657" spans="9:16" s="190" customFormat="1" ht="13.8" x14ac:dyDescent="0.25">
      <c r="I657" s="336"/>
      <c r="P657" s="219"/>
    </row>
    <row r="658" spans="9:16" s="190" customFormat="1" ht="13.8" x14ac:dyDescent="0.25">
      <c r="I658" s="336"/>
      <c r="P658" s="219"/>
    </row>
    <row r="659" spans="9:16" s="190" customFormat="1" ht="13.8" x14ac:dyDescent="0.25">
      <c r="I659" s="336"/>
      <c r="P659" s="219"/>
    </row>
    <row r="660" spans="9:16" s="190" customFormat="1" ht="13.8" x14ac:dyDescent="0.25">
      <c r="I660" s="336"/>
      <c r="P660" s="219"/>
    </row>
    <row r="661" spans="9:16" s="190" customFormat="1" ht="13.8" x14ac:dyDescent="0.25">
      <c r="I661" s="336"/>
      <c r="P661" s="219"/>
    </row>
    <row r="662" spans="9:16" s="190" customFormat="1" ht="13.8" x14ac:dyDescent="0.25">
      <c r="I662" s="336"/>
      <c r="P662" s="219"/>
    </row>
    <row r="663" spans="9:16" s="190" customFormat="1" ht="13.8" x14ac:dyDescent="0.25">
      <c r="I663" s="336"/>
      <c r="P663" s="219"/>
    </row>
    <row r="664" spans="9:16" s="190" customFormat="1" ht="13.8" x14ac:dyDescent="0.25">
      <c r="I664" s="336"/>
      <c r="P664" s="219"/>
    </row>
    <row r="665" spans="9:16" s="190" customFormat="1" ht="13.8" x14ac:dyDescent="0.25">
      <c r="I665" s="336"/>
      <c r="P665" s="219"/>
    </row>
    <row r="666" spans="9:16" s="190" customFormat="1" ht="13.8" x14ac:dyDescent="0.25">
      <c r="I666" s="336"/>
      <c r="P666" s="219"/>
    </row>
    <row r="667" spans="9:16" s="190" customFormat="1" ht="13.8" x14ac:dyDescent="0.25">
      <c r="I667" s="336"/>
      <c r="P667" s="219"/>
    </row>
    <row r="668" spans="9:16" s="190" customFormat="1" ht="13.8" x14ac:dyDescent="0.25">
      <c r="I668" s="336"/>
      <c r="P668" s="219"/>
    </row>
    <row r="669" spans="9:16" s="190" customFormat="1" ht="13.8" x14ac:dyDescent="0.25">
      <c r="I669" s="336"/>
      <c r="P669" s="219"/>
    </row>
    <row r="670" spans="9:16" s="190" customFormat="1" ht="13.8" x14ac:dyDescent="0.25">
      <c r="I670" s="336"/>
      <c r="P670" s="219"/>
    </row>
    <row r="671" spans="9:16" s="190" customFormat="1" ht="13.8" x14ac:dyDescent="0.25">
      <c r="I671" s="336"/>
      <c r="P671" s="219"/>
    </row>
    <row r="672" spans="9:16" s="190" customFormat="1" ht="13.8" x14ac:dyDescent="0.25">
      <c r="I672" s="336"/>
      <c r="P672" s="219"/>
    </row>
    <row r="673" spans="9:16" s="190" customFormat="1" ht="13.8" x14ac:dyDescent="0.25">
      <c r="I673" s="336"/>
      <c r="P673" s="219"/>
    </row>
    <row r="674" spans="9:16" s="190" customFormat="1" ht="13.8" x14ac:dyDescent="0.25">
      <c r="I674" s="336"/>
      <c r="P674" s="219"/>
    </row>
    <row r="675" spans="9:16" s="190" customFormat="1" ht="13.8" x14ac:dyDescent="0.25">
      <c r="I675" s="336"/>
      <c r="P675" s="219"/>
    </row>
    <row r="676" spans="9:16" s="190" customFormat="1" ht="13.8" x14ac:dyDescent="0.25">
      <c r="I676" s="336"/>
      <c r="P676" s="219"/>
    </row>
    <row r="677" spans="9:16" s="190" customFormat="1" ht="13.8" x14ac:dyDescent="0.25">
      <c r="I677" s="336"/>
      <c r="P677" s="219"/>
    </row>
    <row r="678" spans="9:16" s="190" customFormat="1" ht="13.8" x14ac:dyDescent="0.25">
      <c r="I678" s="336"/>
      <c r="P678" s="219"/>
    </row>
    <row r="679" spans="9:16" s="190" customFormat="1" ht="13.8" x14ac:dyDescent="0.25">
      <c r="I679" s="336"/>
      <c r="P679" s="219"/>
    </row>
    <row r="680" spans="9:16" s="190" customFormat="1" ht="13.8" x14ac:dyDescent="0.25">
      <c r="I680" s="336"/>
      <c r="P680" s="219"/>
    </row>
    <row r="681" spans="9:16" s="190" customFormat="1" ht="13.8" x14ac:dyDescent="0.25">
      <c r="I681" s="336"/>
      <c r="P681" s="219"/>
    </row>
    <row r="682" spans="9:16" s="190" customFormat="1" ht="13.8" x14ac:dyDescent="0.25">
      <c r="I682" s="336"/>
      <c r="P682" s="219"/>
    </row>
    <row r="683" spans="9:16" s="190" customFormat="1" ht="13.8" x14ac:dyDescent="0.25">
      <c r="I683" s="336"/>
      <c r="P683" s="219"/>
    </row>
    <row r="684" spans="9:16" s="190" customFormat="1" ht="13.8" x14ac:dyDescent="0.25">
      <c r="I684" s="336"/>
      <c r="P684" s="219"/>
    </row>
    <row r="685" spans="9:16" s="190" customFormat="1" ht="13.8" x14ac:dyDescent="0.25">
      <c r="I685" s="336"/>
      <c r="P685" s="219"/>
    </row>
    <row r="686" spans="9:16" s="190" customFormat="1" ht="13.8" x14ac:dyDescent="0.25">
      <c r="I686" s="336"/>
      <c r="P686" s="219"/>
    </row>
    <row r="687" spans="9:16" s="190" customFormat="1" ht="13.8" x14ac:dyDescent="0.25">
      <c r="I687" s="336"/>
      <c r="P687" s="219"/>
    </row>
    <row r="688" spans="9:16" s="190" customFormat="1" ht="13.8" x14ac:dyDescent="0.25">
      <c r="I688" s="336"/>
      <c r="P688" s="219"/>
    </row>
    <row r="689" spans="9:16" s="190" customFormat="1" ht="13.8" x14ac:dyDescent="0.25">
      <c r="I689" s="336"/>
      <c r="P689" s="219"/>
    </row>
    <row r="690" spans="9:16" s="190" customFormat="1" ht="13.8" x14ac:dyDescent="0.25">
      <c r="I690" s="336"/>
      <c r="P690" s="219"/>
    </row>
    <row r="691" spans="9:16" s="190" customFormat="1" ht="13.8" x14ac:dyDescent="0.25">
      <c r="I691" s="336"/>
      <c r="P691" s="219"/>
    </row>
    <row r="692" spans="9:16" s="190" customFormat="1" ht="13.8" x14ac:dyDescent="0.25">
      <c r="I692" s="336"/>
      <c r="P692" s="219"/>
    </row>
    <row r="693" spans="9:16" s="190" customFormat="1" ht="13.8" x14ac:dyDescent="0.25">
      <c r="I693" s="336"/>
      <c r="P693" s="219"/>
    </row>
    <row r="694" spans="9:16" s="190" customFormat="1" ht="13.8" x14ac:dyDescent="0.25">
      <c r="I694" s="336"/>
      <c r="P694" s="219"/>
    </row>
    <row r="695" spans="9:16" s="190" customFormat="1" ht="13.8" x14ac:dyDescent="0.25">
      <c r="I695" s="336"/>
      <c r="P695" s="219"/>
    </row>
    <row r="696" spans="9:16" s="190" customFormat="1" ht="13.8" x14ac:dyDescent="0.25">
      <c r="I696" s="336"/>
      <c r="P696" s="219"/>
    </row>
    <row r="697" spans="9:16" s="190" customFormat="1" ht="13.8" x14ac:dyDescent="0.25">
      <c r="I697" s="336"/>
      <c r="P697" s="219"/>
    </row>
    <row r="698" spans="9:16" s="190" customFormat="1" ht="13.8" x14ac:dyDescent="0.25">
      <c r="I698" s="336"/>
      <c r="P698" s="219"/>
    </row>
    <row r="699" spans="9:16" s="190" customFormat="1" ht="13.8" x14ac:dyDescent="0.25">
      <c r="I699" s="336"/>
      <c r="P699" s="219"/>
    </row>
    <row r="700" spans="9:16" s="190" customFormat="1" ht="13.8" x14ac:dyDescent="0.25">
      <c r="I700" s="336"/>
      <c r="P700" s="219"/>
    </row>
    <row r="701" spans="9:16" s="190" customFormat="1" ht="13.8" x14ac:dyDescent="0.25">
      <c r="I701" s="336"/>
      <c r="P701" s="219"/>
    </row>
    <row r="702" spans="9:16" s="190" customFormat="1" ht="13.8" x14ac:dyDescent="0.25">
      <c r="I702" s="336"/>
      <c r="P702" s="219"/>
    </row>
    <row r="703" spans="9:16" s="190" customFormat="1" ht="13.8" x14ac:dyDescent="0.25">
      <c r="I703" s="336"/>
      <c r="P703" s="219"/>
    </row>
    <row r="704" spans="9:16" s="190" customFormat="1" ht="13.8" x14ac:dyDescent="0.25">
      <c r="I704" s="336"/>
      <c r="P704" s="219"/>
    </row>
    <row r="705" spans="9:16" s="190" customFormat="1" ht="13.8" x14ac:dyDescent="0.25">
      <c r="I705" s="336"/>
      <c r="P705" s="219"/>
    </row>
    <row r="706" spans="9:16" s="190" customFormat="1" ht="13.8" x14ac:dyDescent="0.25">
      <c r="I706" s="336"/>
      <c r="P706" s="219"/>
    </row>
    <row r="707" spans="9:16" s="190" customFormat="1" ht="13.8" x14ac:dyDescent="0.25">
      <c r="I707" s="336"/>
      <c r="P707" s="219"/>
    </row>
    <row r="708" spans="9:16" s="190" customFormat="1" ht="13.8" x14ac:dyDescent="0.25">
      <c r="I708" s="336"/>
      <c r="P708" s="219"/>
    </row>
    <row r="709" spans="9:16" s="190" customFormat="1" ht="13.8" x14ac:dyDescent="0.25">
      <c r="I709" s="336"/>
      <c r="P709" s="219"/>
    </row>
    <row r="710" spans="9:16" s="190" customFormat="1" ht="13.8" x14ac:dyDescent="0.25">
      <c r="I710" s="336"/>
      <c r="P710" s="219"/>
    </row>
    <row r="711" spans="9:16" s="190" customFormat="1" ht="13.8" x14ac:dyDescent="0.25">
      <c r="I711" s="336"/>
      <c r="P711" s="219"/>
    </row>
    <row r="712" spans="9:16" s="190" customFormat="1" ht="13.8" x14ac:dyDescent="0.25">
      <c r="I712" s="336"/>
      <c r="P712" s="219"/>
    </row>
    <row r="713" spans="9:16" s="190" customFormat="1" ht="13.8" x14ac:dyDescent="0.25">
      <c r="I713" s="336"/>
      <c r="P713" s="219"/>
    </row>
    <row r="714" spans="9:16" s="190" customFormat="1" ht="13.8" x14ac:dyDescent="0.25">
      <c r="I714" s="336"/>
      <c r="P714" s="219"/>
    </row>
    <row r="715" spans="9:16" s="190" customFormat="1" ht="13.8" x14ac:dyDescent="0.25">
      <c r="I715" s="336"/>
      <c r="P715" s="219"/>
    </row>
    <row r="716" spans="9:16" s="190" customFormat="1" ht="13.8" x14ac:dyDescent="0.25">
      <c r="I716" s="336"/>
      <c r="P716" s="219"/>
    </row>
    <row r="717" spans="9:16" s="190" customFormat="1" ht="13.8" x14ac:dyDescent="0.25">
      <c r="I717" s="336"/>
      <c r="P717" s="219"/>
    </row>
    <row r="718" spans="9:16" s="190" customFormat="1" ht="13.8" x14ac:dyDescent="0.25">
      <c r="I718" s="336"/>
      <c r="P718" s="219"/>
    </row>
    <row r="719" spans="9:16" s="190" customFormat="1" ht="13.8" x14ac:dyDescent="0.25">
      <c r="I719" s="336"/>
      <c r="P719" s="219"/>
    </row>
    <row r="720" spans="9:16" s="190" customFormat="1" ht="13.8" x14ac:dyDescent="0.25">
      <c r="I720" s="336"/>
      <c r="P720" s="219"/>
    </row>
    <row r="721" spans="9:16" s="190" customFormat="1" ht="13.8" x14ac:dyDescent="0.25">
      <c r="I721" s="336"/>
      <c r="P721" s="219"/>
    </row>
    <row r="722" spans="9:16" s="190" customFormat="1" ht="13.8" x14ac:dyDescent="0.25">
      <c r="I722" s="336"/>
      <c r="P722" s="219"/>
    </row>
    <row r="723" spans="9:16" s="190" customFormat="1" ht="13.8" x14ac:dyDescent="0.25">
      <c r="I723" s="336"/>
      <c r="P723" s="219"/>
    </row>
    <row r="724" spans="9:16" s="190" customFormat="1" ht="13.8" x14ac:dyDescent="0.25">
      <c r="I724" s="336"/>
      <c r="P724" s="219"/>
    </row>
    <row r="725" spans="9:16" s="190" customFormat="1" ht="13.8" x14ac:dyDescent="0.25">
      <c r="I725" s="336"/>
      <c r="P725" s="219"/>
    </row>
    <row r="726" spans="9:16" s="190" customFormat="1" ht="13.8" x14ac:dyDescent="0.25">
      <c r="I726" s="336"/>
      <c r="P726" s="219"/>
    </row>
    <row r="727" spans="9:16" s="190" customFormat="1" ht="13.8" x14ac:dyDescent="0.25">
      <c r="I727" s="336"/>
      <c r="P727" s="219"/>
    </row>
    <row r="728" spans="9:16" s="190" customFormat="1" ht="13.8" x14ac:dyDescent="0.25">
      <c r="I728" s="336"/>
      <c r="P728" s="219"/>
    </row>
    <row r="729" spans="9:16" s="190" customFormat="1" ht="13.8" x14ac:dyDescent="0.25">
      <c r="I729" s="336"/>
      <c r="P729" s="219"/>
    </row>
    <row r="730" spans="9:16" s="190" customFormat="1" ht="13.8" x14ac:dyDescent="0.25">
      <c r="I730" s="336"/>
      <c r="P730" s="219"/>
    </row>
    <row r="731" spans="9:16" s="190" customFormat="1" ht="13.8" x14ac:dyDescent="0.25">
      <c r="I731" s="336"/>
      <c r="P731" s="219"/>
    </row>
    <row r="732" spans="9:16" s="190" customFormat="1" ht="13.8" x14ac:dyDescent="0.25">
      <c r="I732" s="336"/>
      <c r="P732" s="219"/>
    </row>
    <row r="733" spans="9:16" s="190" customFormat="1" ht="13.8" x14ac:dyDescent="0.25">
      <c r="I733" s="336"/>
      <c r="P733" s="219"/>
    </row>
    <row r="734" spans="9:16" s="190" customFormat="1" ht="13.8" x14ac:dyDescent="0.25">
      <c r="I734" s="336"/>
      <c r="P734" s="219"/>
    </row>
    <row r="735" spans="9:16" s="190" customFormat="1" ht="13.8" x14ac:dyDescent="0.25">
      <c r="I735" s="336"/>
      <c r="P735" s="219"/>
    </row>
    <row r="736" spans="9:16" s="190" customFormat="1" ht="13.8" x14ac:dyDescent="0.25">
      <c r="I736" s="336"/>
      <c r="P736" s="219"/>
    </row>
    <row r="737" spans="9:16" s="190" customFormat="1" ht="13.8" x14ac:dyDescent="0.25">
      <c r="I737" s="336"/>
      <c r="P737" s="219"/>
    </row>
    <row r="738" spans="9:16" s="190" customFormat="1" ht="13.8" x14ac:dyDescent="0.25">
      <c r="I738" s="336"/>
      <c r="P738" s="219"/>
    </row>
    <row r="739" spans="9:16" s="190" customFormat="1" ht="13.8" x14ac:dyDescent="0.25">
      <c r="I739" s="336"/>
      <c r="P739" s="219"/>
    </row>
    <row r="740" spans="9:16" s="190" customFormat="1" ht="13.8" x14ac:dyDescent="0.25">
      <c r="I740" s="336"/>
      <c r="P740" s="219"/>
    </row>
    <row r="741" spans="9:16" s="190" customFormat="1" ht="13.8" x14ac:dyDescent="0.25">
      <c r="I741" s="336"/>
      <c r="P741" s="219"/>
    </row>
    <row r="742" spans="9:16" s="190" customFormat="1" ht="13.8" x14ac:dyDescent="0.25">
      <c r="I742" s="336"/>
      <c r="P742" s="219"/>
    </row>
    <row r="743" spans="9:16" s="190" customFormat="1" ht="13.8" x14ac:dyDescent="0.25">
      <c r="I743" s="336"/>
      <c r="P743" s="219"/>
    </row>
    <row r="744" spans="9:16" s="190" customFormat="1" ht="13.8" x14ac:dyDescent="0.25">
      <c r="I744" s="336"/>
      <c r="P744" s="219"/>
    </row>
    <row r="745" spans="9:16" s="190" customFormat="1" ht="13.8" x14ac:dyDescent="0.25">
      <c r="I745" s="336"/>
      <c r="P745" s="219"/>
    </row>
    <row r="746" spans="9:16" s="190" customFormat="1" ht="13.8" x14ac:dyDescent="0.25">
      <c r="I746" s="336"/>
      <c r="P746" s="219"/>
    </row>
    <row r="747" spans="9:16" s="190" customFormat="1" ht="13.8" x14ac:dyDescent="0.25">
      <c r="I747" s="336"/>
      <c r="P747" s="219"/>
    </row>
    <row r="748" spans="9:16" s="190" customFormat="1" ht="13.8" x14ac:dyDescent="0.25">
      <c r="I748" s="336"/>
      <c r="P748" s="219"/>
    </row>
    <row r="749" spans="9:16" s="190" customFormat="1" ht="13.8" x14ac:dyDescent="0.25">
      <c r="I749" s="336"/>
      <c r="P749" s="219"/>
    </row>
    <row r="750" spans="9:16" s="190" customFormat="1" ht="13.8" x14ac:dyDescent="0.25">
      <c r="I750" s="336"/>
      <c r="P750" s="219"/>
    </row>
    <row r="751" spans="9:16" s="190" customFormat="1" ht="13.8" x14ac:dyDescent="0.25">
      <c r="I751" s="336"/>
      <c r="P751" s="219"/>
    </row>
    <row r="752" spans="9:16" s="190" customFormat="1" ht="13.8" x14ac:dyDescent="0.25">
      <c r="I752" s="336"/>
      <c r="P752" s="219"/>
    </row>
    <row r="753" spans="9:16" s="190" customFormat="1" ht="13.8" x14ac:dyDescent="0.25">
      <c r="I753" s="336"/>
      <c r="P753" s="219"/>
    </row>
    <row r="754" spans="9:16" s="190" customFormat="1" ht="13.8" x14ac:dyDescent="0.25">
      <c r="I754" s="336"/>
      <c r="P754" s="219"/>
    </row>
    <row r="755" spans="9:16" s="190" customFormat="1" ht="13.8" x14ac:dyDescent="0.25">
      <c r="I755" s="336"/>
      <c r="P755" s="219"/>
    </row>
    <row r="756" spans="9:16" s="190" customFormat="1" ht="13.8" x14ac:dyDescent="0.25">
      <c r="I756" s="336"/>
      <c r="P756" s="219"/>
    </row>
    <row r="757" spans="9:16" s="190" customFormat="1" ht="13.8" x14ac:dyDescent="0.25">
      <c r="I757" s="336"/>
      <c r="P757" s="219"/>
    </row>
    <row r="758" spans="9:16" s="190" customFormat="1" ht="13.8" x14ac:dyDescent="0.25">
      <c r="I758" s="336"/>
      <c r="P758" s="219"/>
    </row>
    <row r="759" spans="9:16" s="190" customFormat="1" ht="13.8" x14ac:dyDescent="0.25">
      <c r="I759" s="336"/>
      <c r="P759" s="219"/>
    </row>
    <row r="760" spans="9:16" s="190" customFormat="1" ht="13.8" x14ac:dyDescent="0.25">
      <c r="I760" s="336"/>
      <c r="P760" s="219"/>
    </row>
    <row r="761" spans="9:16" s="190" customFormat="1" ht="13.8" x14ac:dyDescent="0.25">
      <c r="I761" s="336"/>
      <c r="P761" s="219"/>
    </row>
    <row r="762" spans="9:16" s="190" customFormat="1" ht="13.8" x14ac:dyDescent="0.25">
      <c r="I762" s="336"/>
      <c r="P762" s="219"/>
    </row>
    <row r="763" spans="9:16" s="190" customFormat="1" ht="13.8" x14ac:dyDescent="0.25">
      <c r="I763" s="336"/>
      <c r="P763" s="219"/>
    </row>
    <row r="764" spans="9:16" s="190" customFormat="1" ht="13.8" x14ac:dyDescent="0.25">
      <c r="I764" s="336"/>
      <c r="P764" s="219"/>
    </row>
    <row r="765" spans="9:16" s="190" customFormat="1" ht="13.8" x14ac:dyDescent="0.25">
      <c r="I765" s="336"/>
      <c r="P765" s="219"/>
    </row>
    <row r="766" spans="9:16" s="190" customFormat="1" ht="13.8" x14ac:dyDescent="0.25">
      <c r="I766" s="336"/>
      <c r="P766" s="219"/>
    </row>
    <row r="767" spans="9:16" s="190" customFormat="1" ht="13.8" x14ac:dyDescent="0.25">
      <c r="I767" s="336"/>
      <c r="P767" s="219"/>
    </row>
    <row r="768" spans="9:16" s="190" customFormat="1" ht="13.8" x14ac:dyDescent="0.25">
      <c r="I768" s="336"/>
      <c r="P768" s="219"/>
    </row>
    <row r="769" spans="9:16" s="190" customFormat="1" ht="13.8" x14ac:dyDescent="0.25">
      <c r="I769" s="336"/>
      <c r="P769" s="219"/>
    </row>
    <row r="770" spans="9:16" s="190" customFormat="1" ht="13.8" x14ac:dyDescent="0.25">
      <c r="I770" s="336"/>
      <c r="P770" s="219"/>
    </row>
    <row r="771" spans="9:16" s="190" customFormat="1" ht="13.8" x14ac:dyDescent="0.25">
      <c r="I771" s="336"/>
      <c r="P771" s="219"/>
    </row>
    <row r="772" spans="9:16" s="190" customFormat="1" ht="13.8" x14ac:dyDescent="0.25">
      <c r="I772" s="336"/>
      <c r="P772" s="219"/>
    </row>
    <row r="773" spans="9:16" s="190" customFormat="1" ht="13.8" x14ac:dyDescent="0.25">
      <c r="I773" s="336"/>
      <c r="P773" s="219"/>
    </row>
    <row r="774" spans="9:16" s="190" customFormat="1" ht="13.8" x14ac:dyDescent="0.25">
      <c r="I774" s="336"/>
      <c r="P774" s="219"/>
    </row>
    <row r="775" spans="9:16" s="190" customFormat="1" ht="13.8" x14ac:dyDescent="0.25">
      <c r="I775" s="336"/>
      <c r="P775" s="219"/>
    </row>
    <row r="776" spans="9:16" s="190" customFormat="1" ht="13.8" x14ac:dyDescent="0.25">
      <c r="I776" s="336"/>
      <c r="P776" s="219"/>
    </row>
    <row r="777" spans="9:16" s="190" customFormat="1" ht="13.8" x14ac:dyDescent="0.25">
      <c r="I777" s="336"/>
      <c r="P777" s="219"/>
    </row>
    <row r="778" spans="9:16" s="190" customFormat="1" ht="13.8" x14ac:dyDescent="0.25">
      <c r="I778" s="336"/>
      <c r="P778" s="219"/>
    </row>
    <row r="779" spans="9:16" s="190" customFormat="1" ht="13.8" x14ac:dyDescent="0.25">
      <c r="I779" s="336"/>
      <c r="P779" s="219"/>
    </row>
    <row r="780" spans="9:16" s="190" customFormat="1" ht="13.8" x14ac:dyDescent="0.25">
      <c r="I780" s="336"/>
      <c r="P780" s="219"/>
    </row>
    <row r="781" spans="9:16" s="190" customFormat="1" ht="13.8" x14ac:dyDescent="0.25">
      <c r="I781" s="336"/>
      <c r="P781" s="219"/>
    </row>
    <row r="782" spans="9:16" s="190" customFormat="1" ht="13.8" x14ac:dyDescent="0.25">
      <c r="I782" s="336"/>
      <c r="P782" s="219"/>
    </row>
    <row r="783" spans="9:16" s="190" customFormat="1" ht="13.8" x14ac:dyDescent="0.25">
      <c r="I783" s="336"/>
      <c r="P783" s="219"/>
    </row>
    <row r="784" spans="9:16" s="190" customFormat="1" ht="13.8" x14ac:dyDescent="0.25">
      <c r="I784" s="336"/>
      <c r="P784" s="219"/>
    </row>
    <row r="785" spans="9:16" s="190" customFormat="1" ht="13.8" x14ac:dyDescent="0.25">
      <c r="I785" s="336"/>
      <c r="P785" s="219"/>
    </row>
    <row r="786" spans="9:16" s="190" customFormat="1" ht="13.8" x14ac:dyDescent="0.25">
      <c r="I786" s="336"/>
      <c r="P786" s="219"/>
    </row>
    <row r="787" spans="9:16" s="190" customFormat="1" ht="13.8" x14ac:dyDescent="0.25">
      <c r="I787" s="336"/>
      <c r="P787" s="219"/>
    </row>
    <row r="788" spans="9:16" s="190" customFormat="1" ht="13.8" x14ac:dyDescent="0.25">
      <c r="I788" s="336"/>
      <c r="P788" s="219"/>
    </row>
    <row r="789" spans="9:16" s="190" customFormat="1" ht="13.8" x14ac:dyDescent="0.25">
      <c r="I789" s="336"/>
      <c r="P789" s="219"/>
    </row>
    <row r="790" spans="9:16" s="190" customFormat="1" ht="13.8" x14ac:dyDescent="0.25">
      <c r="I790" s="336"/>
      <c r="P790" s="219"/>
    </row>
    <row r="791" spans="9:16" s="190" customFormat="1" ht="13.8" x14ac:dyDescent="0.25">
      <c r="I791" s="336"/>
      <c r="P791" s="219"/>
    </row>
    <row r="792" spans="9:16" s="190" customFormat="1" ht="13.8" x14ac:dyDescent="0.25">
      <c r="I792" s="336"/>
      <c r="P792" s="219"/>
    </row>
    <row r="793" spans="9:16" s="190" customFormat="1" ht="13.8" x14ac:dyDescent="0.25">
      <c r="I793" s="336"/>
      <c r="P793" s="219"/>
    </row>
    <row r="794" spans="9:16" s="190" customFormat="1" ht="13.8" x14ac:dyDescent="0.25">
      <c r="I794" s="336"/>
      <c r="P794" s="219"/>
    </row>
    <row r="795" spans="9:16" s="190" customFormat="1" ht="13.8" x14ac:dyDescent="0.25">
      <c r="I795" s="336"/>
      <c r="P795" s="219"/>
    </row>
    <row r="796" spans="9:16" s="190" customFormat="1" ht="13.8" x14ac:dyDescent="0.25">
      <c r="I796" s="336"/>
      <c r="P796" s="219"/>
    </row>
    <row r="797" spans="9:16" s="190" customFormat="1" ht="13.8" x14ac:dyDescent="0.25">
      <c r="I797" s="336"/>
      <c r="P797" s="219"/>
    </row>
    <row r="798" spans="9:16" s="190" customFormat="1" ht="13.8" x14ac:dyDescent="0.25">
      <c r="I798" s="336"/>
      <c r="P798" s="219"/>
    </row>
    <row r="799" spans="9:16" s="190" customFormat="1" ht="13.8" x14ac:dyDescent="0.25">
      <c r="I799" s="336"/>
      <c r="P799" s="219"/>
    </row>
    <row r="800" spans="9:16" s="190" customFormat="1" ht="13.8" x14ac:dyDescent="0.25">
      <c r="I800" s="336"/>
      <c r="P800" s="219"/>
    </row>
    <row r="801" spans="9:16" s="190" customFormat="1" ht="13.8" x14ac:dyDescent="0.25">
      <c r="I801" s="336"/>
      <c r="P801" s="219"/>
    </row>
    <row r="802" spans="9:16" s="190" customFormat="1" ht="13.8" x14ac:dyDescent="0.25">
      <c r="I802" s="336"/>
      <c r="P802" s="219"/>
    </row>
    <row r="803" spans="9:16" s="190" customFormat="1" ht="13.8" x14ac:dyDescent="0.25">
      <c r="I803" s="336"/>
      <c r="P803" s="219"/>
    </row>
    <row r="804" spans="9:16" s="190" customFormat="1" ht="13.8" x14ac:dyDescent="0.25">
      <c r="I804" s="336"/>
      <c r="P804" s="219"/>
    </row>
    <row r="805" spans="9:16" s="190" customFormat="1" ht="13.8" x14ac:dyDescent="0.25">
      <c r="I805" s="336"/>
      <c r="P805" s="219"/>
    </row>
    <row r="806" spans="9:16" s="190" customFormat="1" ht="13.8" x14ac:dyDescent="0.25">
      <c r="I806" s="336"/>
      <c r="P806" s="219"/>
    </row>
    <row r="807" spans="9:16" s="190" customFormat="1" ht="13.8" x14ac:dyDescent="0.25">
      <c r="I807" s="336"/>
      <c r="P807" s="219"/>
    </row>
    <row r="808" spans="9:16" s="190" customFormat="1" ht="13.8" x14ac:dyDescent="0.25">
      <c r="I808" s="336"/>
      <c r="P808" s="219"/>
    </row>
    <row r="809" spans="9:16" s="190" customFormat="1" ht="13.8" x14ac:dyDescent="0.25">
      <c r="I809" s="336"/>
      <c r="P809" s="219"/>
    </row>
    <row r="810" spans="9:16" s="190" customFormat="1" ht="13.8" x14ac:dyDescent="0.25">
      <c r="I810" s="336"/>
      <c r="P810" s="219"/>
    </row>
    <row r="811" spans="9:16" s="190" customFormat="1" ht="13.8" x14ac:dyDescent="0.25">
      <c r="I811" s="336"/>
      <c r="P811" s="219"/>
    </row>
    <row r="812" spans="9:16" s="190" customFormat="1" ht="13.8" x14ac:dyDescent="0.25">
      <c r="I812" s="336"/>
      <c r="P812" s="219"/>
    </row>
    <row r="813" spans="9:16" s="190" customFormat="1" ht="13.8" x14ac:dyDescent="0.25">
      <c r="I813" s="336"/>
      <c r="P813" s="219"/>
    </row>
    <row r="814" spans="9:16" s="190" customFormat="1" ht="13.8" x14ac:dyDescent="0.25">
      <c r="I814" s="336"/>
      <c r="P814" s="219"/>
    </row>
    <row r="815" spans="9:16" s="190" customFormat="1" ht="13.8" x14ac:dyDescent="0.25">
      <c r="I815" s="336"/>
      <c r="P815" s="219"/>
    </row>
    <row r="816" spans="9:16" s="190" customFormat="1" ht="13.8" x14ac:dyDescent="0.25">
      <c r="I816" s="336"/>
      <c r="P816" s="219"/>
    </row>
    <row r="817" spans="9:16" s="190" customFormat="1" ht="13.8" x14ac:dyDescent="0.25">
      <c r="I817" s="336"/>
      <c r="P817" s="219"/>
    </row>
    <row r="818" spans="9:16" s="190" customFormat="1" ht="13.8" x14ac:dyDescent="0.25">
      <c r="I818" s="336"/>
      <c r="P818" s="219"/>
    </row>
    <row r="819" spans="9:16" s="190" customFormat="1" ht="13.8" x14ac:dyDescent="0.25">
      <c r="I819" s="336"/>
      <c r="P819" s="219"/>
    </row>
    <row r="820" spans="9:16" s="190" customFormat="1" ht="13.8" x14ac:dyDescent="0.25">
      <c r="I820" s="336"/>
      <c r="P820" s="219"/>
    </row>
    <row r="821" spans="9:16" s="190" customFormat="1" ht="13.8" x14ac:dyDescent="0.25">
      <c r="I821" s="336"/>
      <c r="P821" s="219"/>
    </row>
    <row r="822" spans="9:16" s="190" customFormat="1" ht="13.8" x14ac:dyDescent="0.25">
      <c r="I822" s="336"/>
      <c r="P822" s="219"/>
    </row>
    <row r="823" spans="9:16" s="190" customFormat="1" ht="13.8" x14ac:dyDescent="0.25">
      <c r="I823" s="336"/>
      <c r="P823" s="219"/>
    </row>
    <row r="824" spans="9:16" s="190" customFormat="1" ht="13.8" x14ac:dyDescent="0.25">
      <c r="I824" s="336"/>
      <c r="P824" s="219"/>
    </row>
    <row r="825" spans="9:16" s="190" customFormat="1" ht="13.8" x14ac:dyDescent="0.25">
      <c r="I825" s="336"/>
      <c r="P825" s="219"/>
    </row>
    <row r="826" spans="9:16" s="190" customFormat="1" ht="13.8" x14ac:dyDescent="0.25">
      <c r="I826" s="336"/>
      <c r="P826" s="219"/>
    </row>
    <row r="827" spans="9:16" s="190" customFormat="1" ht="13.8" x14ac:dyDescent="0.25">
      <c r="I827" s="336"/>
      <c r="P827" s="219"/>
    </row>
    <row r="828" spans="9:16" s="190" customFormat="1" ht="13.8" x14ac:dyDescent="0.25">
      <c r="I828" s="336"/>
      <c r="P828" s="219"/>
    </row>
    <row r="829" spans="9:16" s="190" customFormat="1" ht="13.8" x14ac:dyDescent="0.25">
      <c r="I829" s="336"/>
      <c r="P829" s="219"/>
    </row>
    <row r="830" spans="9:16" s="190" customFormat="1" ht="13.8" x14ac:dyDescent="0.25">
      <c r="I830" s="336"/>
      <c r="P830" s="219"/>
    </row>
    <row r="831" spans="9:16" s="190" customFormat="1" ht="13.8" x14ac:dyDescent="0.25">
      <c r="I831" s="336"/>
      <c r="P831" s="219"/>
    </row>
    <row r="832" spans="9:16" s="190" customFormat="1" ht="13.8" x14ac:dyDescent="0.25">
      <c r="I832" s="336"/>
      <c r="P832" s="219"/>
    </row>
    <row r="833" spans="9:16" s="190" customFormat="1" ht="13.8" x14ac:dyDescent="0.25">
      <c r="I833" s="336"/>
      <c r="P833" s="219"/>
    </row>
    <row r="834" spans="9:16" s="190" customFormat="1" ht="13.8" x14ac:dyDescent="0.25">
      <c r="I834" s="336"/>
      <c r="P834" s="219"/>
    </row>
    <row r="835" spans="9:16" s="190" customFormat="1" ht="13.8" x14ac:dyDescent="0.25">
      <c r="I835" s="336"/>
      <c r="P835" s="219"/>
    </row>
    <row r="836" spans="9:16" s="190" customFormat="1" ht="13.8" x14ac:dyDescent="0.25">
      <c r="I836" s="336"/>
      <c r="P836" s="219"/>
    </row>
    <row r="837" spans="9:16" s="190" customFormat="1" ht="13.8" x14ac:dyDescent="0.25">
      <c r="I837" s="336"/>
      <c r="P837" s="219"/>
    </row>
    <row r="838" spans="9:16" s="190" customFormat="1" ht="13.8" x14ac:dyDescent="0.25">
      <c r="I838" s="336"/>
      <c r="P838" s="219"/>
    </row>
    <row r="839" spans="9:16" s="190" customFormat="1" ht="13.8" x14ac:dyDescent="0.25">
      <c r="I839" s="336"/>
      <c r="P839" s="219"/>
    </row>
    <row r="840" spans="9:16" s="190" customFormat="1" ht="13.8" x14ac:dyDescent="0.25">
      <c r="I840" s="336"/>
      <c r="P840" s="219"/>
    </row>
    <row r="841" spans="9:16" s="190" customFormat="1" ht="13.8" x14ac:dyDescent="0.25">
      <c r="I841" s="336"/>
      <c r="P841" s="219"/>
    </row>
    <row r="842" spans="9:16" s="190" customFormat="1" ht="13.8" x14ac:dyDescent="0.25">
      <c r="I842" s="336"/>
      <c r="P842" s="219"/>
    </row>
    <row r="843" spans="9:16" s="190" customFormat="1" ht="13.8" x14ac:dyDescent="0.25">
      <c r="I843" s="336"/>
      <c r="P843" s="219"/>
    </row>
    <row r="844" spans="9:16" s="190" customFormat="1" ht="13.8" x14ac:dyDescent="0.25">
      <c r="I844" s="336"/>
      <c r="P844" s="219"/>
    </row>
    <row r="845" spans="9:16" s="190" customFormat="1" ht="13.8" x14ac:dyDescent="0.25">
      <c r="I845" s="336"/>
      <c r="P845" s="219"/>
    </row>
    <row r="846" spans="9:16" s="190" customFormat="1" ht="13.8" x14ac:dyDescent="0.25">
      <c r="I846" s="336"/>
      <c r="P846" s="219"/>
    </row>
    <row r="847" spans="9:16" s="190" customFormat="1" ht="13.8" x14ac:dyDescent="0.25">
      <c r="I847" s="336"/>
      <c r="P847" s="219"/>
    </row>
    <row r="848" spans="9:16" s="190" customFormat="1" ht="13.8" x14ac:dyDescent="0.25">
      <c r="I848" s="336"/>
      <c r="P848" s="219"/>
    </row>
    <row r="849" spans="9:16" s="190" customFormat="1" ht="13.8" x14ac:dyDescent="0.25">
      <c r="I849" s="336"/>
      <c r="P849" s="219"/>
    </row>
    <row r="850" spans="9:16" s="190" customFormat="1" ht="13.8" x14ac:dyDescent="0.25">
      <c r="I850" s="336"/>
      <c r="P850" s="219"/>
    </row>
    <row r="851" spans="9:16" s="190" customFormat="1" ht="13.8" x14ac:dyDescent="0.25">
      <c r="I851" s="336"/>
      <c r="P851" s="219"/>
    </row>
    <row r="852" spans="9:16" s="190" customFormat="1" ht="13.8" x14ac:dyDescent="0.25">
      <c r="I852" s="336"/>
      <c r="P852" s="219"/>
    </row>
    <row r="853" spans="9:16" s="190" customFormat="1" ht="13.8" x14ac:dyDescent="0.25">
      <c r="I853" s="336"/>
      <c r="P853" s="219"/>
    </row>
    <row r="854" spans="9:16" s="190" customFormat="1" ht="13.8" x14ac:dyDescent="0.25">
      <c r="I854" s="336"/>
      <c r="P854" s="219"/>
    </row>
    <row r="855" spans="9:16" s="190" customFormat="1" ht="13.8" x14ac:dyDescent="0.25">
      <c r="I855" s="336"/>
      <c r="P855" s="219"/>
    </row>
    <row r="856" spans="9:16" s="190" customFormat="1" ht="13.8" x14ac:dyDescent="0.25">
      <c r="I856" s="336"/>
      <c r="P856" s="219"/>
    </row>
    <row r="857" spans="9:16" s="190" customFormat="1" ht="13.8" x14ac:dyDescent="0.25">
      <c r="I857" s="336"/>
      <c r="P857" s="219"/>
    </row>
    <row r="858" spans="9:16" s="190" customFormat="1" ht="13.8" x14ac:dyDescent="0.25">
      <c r="I858" s="336"/>
      <c r="P858" s="219"/>
    </row>
    <row r="859" spans="9:16" s="190" customFormat="1" ht="13.8" x14ac:dyDescent="0.25">
      <c r="I859" s="336"/>
      <c r="P859" s="219"/>
    </row>
    <row r="860" spans="9:16" s="190" customFormat="1" ht="13.8" x14ac:dyDescent="0.25">
      <c r="I860" s="336"/>
      <c r="P860" s="219"/>
    </row>
    <row r="861" spans="9:16" s="190" customFormat="1" ht="13.8" x14ac:dyDescent="0.25">
      <c r="I861" s="336"/>
      <c r="P861" s="219"/>
    </row>
    <row r="862" spans="9:16" s="190" customFormat="1" ht="13.8" x14ac:dyDescent="0.25">
      <c r="I862" s="336"/>
      <c r="P862" s="219"/>
    </row>
    <row r="863" spans="9:16" s="190" customFormat="1" ht="13.8" x14ac:dyDescent="0.25">
      <c r="I863" s="336"/>
      <c r="P863" s="219"/>
    </row>
    <row r="864" spans="9:16" s="190" customFormat="1" ht="13.8" x14ac:dyDescent="0.25">
      <c r="I864" s="336"/>
      <c r="P864" s="219"/>
    </row>
    <row r="865" spans="9:16" s="190" customFormat="1" ht="13.8" x14ac:dyDescent="0.25">
      <c r="I865" s="336"/>
      <c r="P865" s="219"/>
    </row>
    <row r="866" spans="9:16" s="190" customFormat="1" ht="13.8" x14ac:dyDescent="0.25">
      <c r="I866" s="336"/>
      <c r="P866" s="219"/>
    </row>
    <row r="867" spans="9:16" s="190" customFormat="1" ht="13.8" x14ac:dyDescent="0.25">
      <c r="I867" s="336"/>
      <c r="P867" s="219"/>
    </row>
    <row r="868" spans="9:16" s="190" customFormat="1" ht="13.8" x14ac:dyDescent="0.25">
      <c r="I868" s="336"/>
      <c r="P868" s="219"/>
    </row>
    <row r="869" spans="9:16" s="190" customFormat="1" ht="13.8" x14ac:dyDescent="0.25">
      <c r="I869" s="336"/>
      <c r="P869" s="219"/>
    </row>
    <row r="870" spans="9:16" s="190" customFormat="1" ht="13.8" x14ac:dyDescent="0.25">
      <c r="I870" s="336"/>
      <c r="P870" s="219"/>
    </row>
    <row r="871" spans="9:16" s="190" customFormat="1" ht="13.8" x14ac:dyDescent="0.25">
      <c r="I871" s="336"/>
      <c r="P871" s="219"/>
    </row>
    <row r="872" spans="9:16" s="190" customFormat="1" ht="13.8" x14ac:dyDescent="0.25">
      <c r="I872" s="336"/>
      <c r="P872" s="219"/>
    </row>
    <row r="873" spans="9:16" s="190" customFormat="1" ht="13.8" x14ac:dyDescent="0.25">
      <c r="I873" s="336"/>
      <c r="P873" s="219"/>
    </row>
    <row r="874" spans="9:16" s="190" customFormat="1" ht="13.8" x14ac:dyDescent="0.25">
      <c r="I874" s="336"/>
      <c r="P874" s="219"/>
    </row>
    <row r="875" spans="9:16" s="190" customFormat="1" ht="13.8" x14ac:dyDescent="0.25">
      <c r="I875" s="336"/>
      <c r="P875" s="219"/>
    </row>
    <row r="876" spans="9:16" s="190" customFormat="1" ht="13.8" x14ac:dyDescent="0.25">
      <c r="I876" s="336"/>
      <c r="P876" s="219"/>
    </row>
    <row r="877" spans="9:16" s="190" customFormat="1" ht="13.8" x14ac:dyDescent="0.25">
      <c r="I877" s="336"/>
      <c r="P877" s="219"/>
    </row>
    <row r="878" spans="9:16" s="190" customFormat="1" ht="13.8" x14ac:dyDescent="0.25">
      <c r="I878" s="336"/>
      <c r="P878" s="219"/>
    </row>
    <row r="879" spans="9:16" s="190" customFormat="1" ht="13.8" x14ac:dyDescent="0.25">
      <c r="I879" s="336"/>
      <c r="P879" s="219"/>
    </row>
    <row r="880" spans="9:16" s="190" customFormat="1" ht="13.8" x14ac:dyDescent="0.25">
      <c r="I880" s="336"/>
      <c r="P880" s="219"/>
    </row>
    <row r="881" spans="9:16" s="190" customFormat="1" ht="13.8" x14ac:dyDescent="0.25">
      <c r="I881" s="336"/>
      <c r="P881" s="219"/>
    </row>
    <row r="882" spans="9:16" s="190" customFormat="1" ht="13.8" x14ac:dyDescent="0.25">
      <c r="I882" s="336"/>
      <c r="P882" s="219"/>
    </row>
    <row r="883" spans="9:16" s="190" customFormat="1" ht="13.8" x14ac:dyDescent="0.25">
      <c r="I883" s="336"/>
      <c r="P883" s="219"/>
    </row>
    <row r="884" spans="9:16" s="190" customFormat="1" ht="13.8" x14ac:dyDescent="0.25">
      <c r="I884" s="336"/>
      <c r="P884" s="219"/>
    </row>
    <row r="885" spans="9:16" s="190" customFormat="1" ht="13.8" x14ac:dyDescent="0.25">
      <c r="I885" s="336"/>
      <c r="P885" s="219"/>
    </row>
    <row r="886" spans="9:16" s="190" customFormat="1" ht="13.8" x14ac:dyDescent="0.25">
      <c r="I886" s="336"/>
      <c r="P886" s="219"/>
    </row>
    <row r="887" spans="9:16" s="190" customFormat="1" ht="13.8" x14ac:dyDescent="0.25">
      <c r="I887" s="336"/>
      <c r="P887" s="219"/>
    </row>
    <row r="888" spans="9:16" s="190" customFormat="1" ht="13.8" x14ac:dyDescent="0.25">
      <c r="I888" s="336"/>
      <c r="P888" s="219"/>
    </row>
    <row r="889" spans="9:16" s="190" customFormat="1" ht="13.8" x14ac:dyDescent="0.25">
      <c r="I889" s="336"/>
      <c r="P889" s="219"/>
    </row>
    <row r="890" spans="9:16" s="190" customFormat="1" ht="13.8" x14ac:dyDescent="0.25">
      <c r="I890" s="336"/>
      <c r="P890" s="219"/>
    </row>
    <row r="891" spans="9:16" s="190" customFormat="1" ht="13.8" x14ac:dyDescent="0.25">
      <c r="I891" s="336"/>
      <c r="P891" s="219"/>
    </row>
    <row r="892" spans="9:16" s="190" customFormat="1" ht="13.8" x14ac:dyDescent="0.25">
      <c r="I892" s="336"/>
      <c r="P892" s="219"/>
    </row>
    <row r="893" spans="9:16" s="190" customFormat="1" ht="13.8" x14ac:dyDescent="0.25">
      <c r="I893" s="336"/>
      <c r="P893" s="219"/>
    </row>
    <row r="894" spans="9:16" s="190" customFormat="1" ht="13.8" x14ac:dyDescent="0.25">
      <c r="I894" s="336"/>
      <c r="P894" s="219"/>
    </row>
    <row r="895" spans="9:16" s="190" customFormat="1" ht="13.8" x14ac:dyDescent="0.25">
      <c r="I895" s="336"/>
      <c r="P895" s="219"/>
    </row>
    <row r="896" spans="9:16" s="190" customFormat="1" ht="13.8" x14ac:dyDescent="0.25">
      <c r="I896" s="336"/>
      <c r="P896" s="219"/>
    </row>
    <row r="897" spans="9:16" s="190" customFormat="1" ht="13.8" x14ac:dyDescent="0.25">
      <c r="I897" s="336"/>
      <c r="P897" s="219"/>
    </row>
    <row r="898" spans="9:16" s="190" customFormat="1" ht="13.8" x14ac:dyDescent="0.25">
      <c r="I898" s="336"/>
      <c r="P898" s="219"/>
    </row>
    <row r="899" spans="9:16" s="190" customFormat="1" ht="13.8" x14ac:dyDescent="0.25">
      <c r="I899" s="336"/>
      <c r="P899" s="219"/>
    </row>
    <row r="900" spans="9:16" s="190" customFormat="1" ht="13.8" x14ac:dyDescent="0.25">
      <c r="I900" s="336"/>
      <c r="P900" s="219"/>
    </row>
    <row r="901" spans="9:16" s="190" customFormat="1" ht="13.8" x14ac:dyDescent="0.25">
      <c r="I901" s="336"/>
      <c r="P901" s="219"/>
    </row>
    <row r="902" spans="9:16" s="190" customFormat="1" ht="13.8" x14ac:dyDescent="0.25">
      <c r="I902" s="336"/>
      <c r="P902" s="219"/>
    </row>
    <row r="903" spans="9:16" s="190" customFormat="1" ht="13.8" x14ac:dyDescent="0.25">
      <c r="I903" s="336"/>
      <c r="P903" s="219"/>
    </row>
    <row r="904" spans="9:16" s="190" customFormat="1" ht="13.8" x14ac:dyDescent="0.25">
      <c r="I904" s="336"/>
      <c r="P904" s="219"/>
    </row>
    <row r="905" spans="9:16" s="190" customFormat="1" ht="13.8" x14ac:dyDescent="0.25">
      <c r="I905" s="336"/>
      <c r="P905" s="219"/>
    </row>
    <row r="906" spans="9:16" s="190" customFormat="1" ht="13.8" x14ac:dyDescent="0.25">
      <c r="I906" s="336"/>
      <c r="P906" s="219"/>
    </row>
    <row r="907" spans="9:16" s="190" customFormat="1" ht="13.8" x14ac:dyDescent="0.25">
      <c r="I907" s="336"/>
      <c r="P907" s="219"/>
    </row>
    <row r="908" spans="9:16" s="190" customFormat="1" ht="13.8" x14ac:dyDescent="0.25">
      <c r="I908" s="336"/>
      <c r="P908" s="219"/>
    </row>
    <row r="909" spans="9:16" s="190" customFormat="1" ht="13.8" x14ac:dyDescent="0.25">
      <c r="I909" s="336"/>
      <c r="P909" s="219"/>
    </row>
    <row r="910" spans="9:16" s="190" customFormat="1" ht="13.8" x14ac:dyDescent="0.25">
      <c r="I910" s="336"/>
      <c r="P910" s="219"/>
    </row>
    <row r="911" spans="9:16" s="190" customFormat="1" ht="13.8" x14ac:dyDescent="0.25">
      <c r="I911" s="336"/>
      <c r="P911" s="219"/>
    </row>
    <row r="912" spans="9:16" s="190" customFormat="1" ht="13.8" x14ac:dyDescent="0.25">
      <c r="I912" s="336"/>
      <c r="P912" s="219"/>
    </row>
    <row r="913" spans="9:16" s="190" customFormat="1" ht="13.8" x14ac:dyDescent="0.25">
      <c r="I913" s="336"/>
      <c r="P913" s="219"/>
    </row>
    <row r="914" spans="9:16" s="190" customFormat="1" ht="13.8" x14ac:dyDescent="0.25">
      <c r="I914" s="336"/>
      <c r="P914" s="219"/>
    </row>
    <row r="915" spans="9:16" s="190" customFormat="1" ht="13.8" x14ac:dyDescent="0.25">
      <c r="I915" s="336"/>
      <c r="P915" s="219"/>
    </row>
    <row r="916" spans="9:16" s="190" customFormat="1" ht="13.8" x14ac:dyDescent="0.25">
      <c r="I916" s="336"/>
      <c r="P916" s="219"/>
    </row>
    <row r="917" spans="9:16" s="190" customFormat="1" ht="13.8" x14ac:dyDescent="0.25">
      <c r="I917" s="336"/>
      <c r="P917" s="219"/>
    </row>
    <row r="918" spans="9:16" s="190" customFormat="1" ht="13.8" x14ac:dyDescent="0.25">
      <c r="I918" s="336"/>
      <c r="P918" s="219"/>
    </row>
    <row r="919" spans="9:16" s="190" customFormat="1" ht="13.8" x14ac:dyDescent="0.25">
      <c r="I919" s="336"/>
      <c r="P919" s="219"/>
    </row>
    <row r="920" spans="9:16" s="190" customFormat="1" ht="13.8" x14ac:dyDescent="0.25">
      <c r="I920" s="336"/>
      <c r="P920" s="219"/>
    </row>
    <row r="921" spans="9:16" s="190" customFormat="1" ht="13.8" x14ac:dyDescent="0.25">
      <c r="I921" s="336"/>
      <c r="P921" s="219"/>
    </row>
    <row r="922" spans="9:16" s="190" customFormat="1" ht="13.8" x14ac:dyDescent="0.25">
      <c r="I922" s="336"/>
      <c r="P922" s="219"/>
    </row>
    <row r="923" spans="9:16" s="190" customFormat="1" ht="13.8" x14ac:dyDescent="0.25">
      <c r="I923" s="336"/>
      <c r="P923" s="219"/>
    </row>
    <row r="924" spans="9:16" s="190" customFormat="1" ht="13.8" x14ac:dyDescent="0.25">
      <c r="I924" s="336"/>
      <c r="P924" s="219"/>
    </row>
    <row r="925" spans="9:16" s="190" customFormat="1" ht="13.8" x14ac:dyDescent="0.25">
      <c r="I925" s="336"/>
      <c r="P925" s="219"/>
    </row>
    <row r="926" spans="9:16" s="190" customFormat="1" ht="13.8" x14ac:dyDescent="0.25">
      <c r="I926" s="336"/>
      <c r="P926" s="219"/>
    </row>
    <row r="927" spans="9:16" s="190" customFormat="1" ht="13.8" x14ac:dyDescent="0.25">
      <c r="I927" s="336"/>
      <c r="P927" s="219"/>
    </row>
    <row r="928" spans="9:16" s="190" customFormat="1" ht="13.8" x14ac:dyDescent="0.25">
      <c r="I928" s="336"/>
      <c r="P928" s="219"/>
    </row>
    <row r="929" spans="9:16" s="190" customFormat="1" ht="13.8" x14ac:dyDescent="0.25">
      <c r="I929" s="336"/>
      <c r="P929" s="219"/>
    </row>
    <row r="930" spans="9:16" s="190" customFormat="1" ht="13.8" x14ac:dyDescent="0.25">
      <c r="I930" s="336"/>
      <c r="P930" s="219"/>
    </row>
    <row r="931" spans="9:16" s="190" customFormat="1" ht="13.8" x14ac:dyDescent="0.25">
      <c r="I931" s="336"/>
      <c r="P931" s="219"/>
    </row>
    <row r="932" spans="9:16" s="190" customFormat="1" ht="13.8" x14ac:dyDescent="0.25">
      <c r="I932" s="336"/>
      <c r="P932" s="219"/>
    </row>
    <row r="933" spans="9:16" s="190" customFormat="1" ht="13.8" x14ac:dyDescent="0.25">
      <c r="I933" s="336"/>
      <c r="P933" s="219"/>
    </row>
    <row r="934" spans="9:16" s="190" customFormat="1" ht="13.8" x14ac:dyDescent="0.25">
      <c r="I934" s="336"/>
      <c r="P934" s="219"/>
    </row>
    <row r="935" spans="9:16" s="190" customFormat="1" ht="13.8" x14ac:dyDescent="0.25">
      <c r="I935" s="336"/>
      <c r="P935" s="219"/>
    </row>
    <row r="936" spans="9:16" s="190" customFormat="1" ht="13.8" x14ac:dyDescent="0.25">
      <c r="I936" s="336"/>
      <c r="P936" s="219"/>
    </row>
    <row r="937" spans="9:16" s="190" customFormat="1" ht="13.8" x14ac:dyDescent="0.25">
      <c r="I937" s="336"/>
      <c r="P937" s="219"/>
    </row>
    <row r="938" spans="9:16" s="190" customFormat="1" ht="13.8" x14ac:dyDescent="0.25">
      <c r="I938" s="336"/>
      <c r="P938" s="219"/>
    </row>
    <row r="939" spans="9:16" s="190" customFormat="1" ht="13.8" x14ac:dyDescent="0.25">
      <c r="I939" s="336"/>
      <c r="P939" s="219"/>
    </row>
    <row r="940" spans="9:16" s="190" customFormat="1" ht="13.8" x14ac:dyDescent="0.25">
      <c r="I940" s="336"/>
      <c r="P940" s="219"/>
    </row>
    <row r="941" spans="9:16" s="190" customFormat="1" ht="13.8" x14ac:dyDescent="0.25">
      <c r="I941" s="336"/>
      <c r="P941" s="219"/>
    </row>
    <row r="942" spans="9:16" s="190" customFormat="1" ht="13.8" x14ac:dyDescent="0.25">
      <c r="I942" s="336"/>
      <c r="P942" s="219"/>
    </row>
    <row r="943" spans="9:16" s="190" customFormat="1" ht="13.8" x14ac:dyDescent="0.25">
      <c r="I943" s="336"/>
      <c r="P943" s="219"/>
    </row>
    <row r="944" spans="9:16" s="190" customFormat="1" ht="13.8" x14ac:dyDescent="0.25">
      <c r="I944" s="336"/>
      <c r="P944" s="219"/>
    </row>
    <row r="945" spans="9:16" s="190" customFormat="1" ht="13.8" x14ac:dyDescent="0.25">
      <c r="I945" s="336"/>
      <c r="P945" s="219"/>
    </row>
    <row r="946" spans="9:16" s="190" customFormat="1" ht="13.8" x14ac:dyDescent="0.25">
      <c r="I946" s="336"/>
      <c r="P946" s="219"/>
    </row>
    <row r="947" spans="9:16" s="190" customFormat="1" ht="13.8" x14ac:dyDescent="0.25">
      <c r="I947" s="336"/>
      <c r="P947" s="219"/>
    </row>
    <row r="948" spans="9:16" s="190" customFormat="1" ht="13.8" x14ac:dyDescent="0.25">
      <c r="I948" s="336"/>
      <c r="P948" s="219"/>
    </row>
    <row r="949" spans="9:16" s="190" customFormat="1" ht="13.8" x14ac:dyDescent="0.25">
      <c r="I949" s="336"/>
      <c r="P949" s="219"/>
    </row>
    <row r="950" spans="9:16" s="190" customFormat="1" ht="13.8" x14ac:dyDescent="0.25">
      <c r="I950" s="336"/>
      <c r="P950" s="219"/>
    </row>
    <row r="951" spans="9:16" s="190" customFormat="1" ht="13.8" x14ac:dyDescent="0.25">
      <c r="I951" s="336"/>
      <c r="P951" s="219"/>
    </row>
    <row r="952" spans="9:16" s="190" customFormat="1" ht="13.8" x14ac:dyDescent="0.25">
      <c r="I952" s="336"/>
      <c r="P952" s="219"/>
    </row>
    <row r="953" spans="9:16" s="190" customFormat="1" ht="13.8" x14ac:dyDescent="0.25">
      <c r="I953" s="336"/>
      <c r="P953" s="219"/>
    </row>
    <row r="954" spans="9:16" s="190" customFormat="1" ht="13.8" x14ac:dyDescent="0.25">
      <c r="I954" s="336"/>
      <c r="P954" s="219"/>
    </row>
    <row r="955" spans="9:16" s="190" customFormat="1" ht="13.8" x14ac:dyDescent="0.25">
      <c r="I955" s="336"/>
      <c r="P955" s="219"/>
    </row>
    <row r="956" spans="9:16" s="190" customFormat="1" ht="13.8" x14ac:dyDescent="0.25">
      <c r="I956" s="336"/>
      <c r="P956" s="219"/>
    </row>
    <row r="957" spans="9:16" s="190" customFormat="1" ht="13.8" x14ac:dyDescent="0.25">
      <c r="I957" s="336"/>
      <c r="P957" s="219"/>
    </row>
    <row r="958" spans="9:16" s="190" customFormat="1" ht="13.8" x14ac:dyDescent="0.25">
      <c r="I958" s="336"/>
      <c r="P958" s="219"/>
    </row>
    <row r="959" spans="9:16" s="190" customFormat="1" ht="13.8" x14ac:dyDescent="0.25">
      <c r="I959" s="336"/>
      <c r="P959" s="219"/>
    </row>
    <row r="960" spans="9:16" s="190" customFormat="1" ht="13.8" x14ac:dyDescent="0.25">
      <c r="I960" s="336"/>
      <c r="P960" s="219"/>
    </row>
    <row r="961" spans="9:16" s="190" customFormat="1" ht="13.8" x14ac:dyDescent="0.25">
      <c r="I961" s="336"/>
      <c r="P961" s="219"/>
    </row>
    <row r="962" spans="9:16" s="190" customFormat="1" ht="13.8" x14ac:dyDescent="0.25">
      <c r="I962" s="336"/>
      <c r="P962" s="219"/>
    </row>
    <row r="963" spans="9:16" s="190" customFormat="1" ht="13.8" x14ac:dyDescent="0.25">
      <c r="I963" s="336"/>
      <c r="P963" s="219"/>
    </row>
    <row r="964" spans="9:16" s="190" customFormat="1" ht="13.8" x14ac:dyDescent="0.25">
      <c r="I964" s="336"/>
      <c r="P964" s="219"/>
    </row>
    <row r="965" spans="9:16" s="190" customFormat="1" ht="13.8" x14ac:dyDescent="0.25">
      <c r="I965" s="336"/>
      <c r="P965" s="219"/>
    </row>
    <row r="966" spans="9:16" s="190" customFormat="1" ht="13.8" x14ac:dyDescent="0.25">
      <c r="I966" s="336"/>
      <c r="P966" s="219"/>
    </row>
    <row r="967" spans="9:16" s="190" customFormat="1" ht="13.8" x14ac:dyDescent="0.25">
      <c r="I967" s="336"/>
      <c r="P967" s="219"/>
    </row>
    <row r="968" spans="9:16" s="190" customFormat="1" ht="13.8" x14ac:dyDescent="0.25">
      <c r="I968" s="336"/>
      <c r="P968" s="219"/>
    </row>
    <row r="969" spans="9:16" s="190" customFormat="1" ht="13.8" x14ac:dyDescent="0.25">
      <c r="I969" s="336"/>
      <c r="P969" s="219"/>
    </row>
    <row r="970" spans="9:16" s="190" customFormat="1" ht="13.8" x14ac:dyDescent="0.25">
      <c r="I970" s="336"/>
      <c r="P970" s="219"/>
    </row>
    <row r="971" spans="9:16" s="190" customFormat="1" ht="13.8" x14ac:dyDescent="0.25">
      <c r="I971" s="336"/>
      <c r="P971" s="219"/>
    </row>
    <row r="972" spans="9:16" s="190" customFormat="1" ht="13.8" x14ac:dyDescent="0.25">
      <c r="I972" s="336"/>
      <c r="P972" s="219"/>
    </row>
    <row r="973" spans="9:16" s="190" customFormat="1" ht="13.8" x14ac:dyDescent="0.25">
      <c r="I973" s="336"/>
      <c r="P973" s="219"/>
    </row>
    <row r="974" spans="9:16" s="190" customFormat="1" ht="13.8" x14ac:dyDescent="0.25">
      <c r="I974" s="336"/>
      <c r="P974" s="219"/>
    </row>
    <row r="975" spans="9:16" s="190" customFormat="1" ht="13.8" x14ac:dyDescent="0.25">
      <c r="I975" s="336"/>
      <c r="P975" s="219"/>
    </row>
    <row r="976" spans="9:16" s="190" customFormat="1" ht="13.8" x14ac:dyDescent="0.25">
      <c r="I976" s="336"/>
      <c r="P976" s="219"/>
    </row>
    <row r="977" spans="9:16" s="190" customFormat="1" ht="13.8" x14ac:dyDescent="0.25">
      <c r="I977" s="336"/>
      <c r="P977" s="219"/>
    </row>
    <row r="978" spans="9:16" s="190" customFormat="1" ht="13.8" x14ac:dyDescent="0.25">
      <c r="I978" s="336"/>
      <c r="P978" s="219"/>
    </row>
    <row r="979" spans="9:16" s="190" customFormat="1" ht="13.8" x14ac:dyDescent="0.25">
      <c r="I979" s="336"/>
      <c r="P979" s="219"/>
    </row>
    <row r="980" spans="9:16" s="190" customFormat="1" ht="13.8" x14ac:dyDescent="0.25">
      <c r="I980" s="336"/>
      <c r="P980" s="219"/>
    </row>
    <row r="981" spans="9:16" s="190" customFormat="1" ht="13.8" x14ac:dyDescent="0.25">
      <c r="I981" s="336"/>
      <c r="P981" s="219"/>
    </row>
    <row r="982" spans="9:16" s="190" customFormat="1" ht="13.8" x14ac:dyDescent="0.25">
      <c r="I982" s="336"/>
      <c r="P982" s="219"/>
    </row>
    <row r="983" spans="9:16" s="190" customFormat="1" ht="13.8" x14ac:dyDescent="0.25">
      <c r="I983" s="336"/>
      <c r="P983" s="219"/>
    </row>
    <row r="984" spans="9:16" s="190" customFormat="1" ht="13.8" x14ac:dyDescent="0.25">
      <c r="I984" s="336"/>
      <c r="P984" s="219"/>
    </row>
    <row r="985" spans="9:16" s="190" customFormat="1" ht="13.8" x14ac:dyDescent="0.25">
      <c r="I985" s="336"/>
      <c r="P985" s="219"/>
    </row>
    <row r="986" spans="9:16" s="190" customFormat="1" ht="13.8" x14ac:dyDescent="0.25">
      <c r="I986" s="336"/>
      <c r="P986" s="219"/>
    </row>
    <row r="987" spans="9:16" s="190" customFormat="1" ht="13.8" x14ac:dyDescent="0.25">
      <c r="I987" s="336"/>
      <c r="P987" s="219"/>
    </row>
    <row r="988" spans="9:16" s="190" customFormat="1" ht="13.8" x14ac:dyDescent="0.25">
      <c r="I988" s="336"/>
      <c r="P988" s="219"/>
    </row>
    <row r="989" spans="9:16" s="190" customFormat="1" ht="13.8" x14ac:dyDescent="0.25">
      <c r="I989" s="336"/>
      <c r="P989" s="219"/>
    </row>
    <row r="990" spans="9:16" s="190" customFormat="1" ht="13.8" x14ac:dyDescent="0.25">
      <c r="I990" s="336"/>
      <c r="P990" s="219"/>
    </row>
    <row r="991" spans="9:16" s="190" customFormat="1" ht="13.8" x14ac:dyDescent="0.25">
      <c r="I991" s="336"/>
      <c r="P991" s="219"/>
    </row>
    <row r="992" spans="9:16" s="190" customFormat="1" ht="13.8" x14ac:dyDescent="0.25">
      <c r="I992" s="336"/>
      <c r="P992" s="219"/>
    </row>
    <row r="993" spans="9:16" s="190" customFormat="1" ht="13.8" x14ac:dyDescent="0.25">
      <c r="I993" s="336"/>
      <c r="P993" s="219"/>
    </row>
    <row r="994" spans="9:16" s="190" customFormat="1" ht="13.8" x14ac:dyDescent="0.25">
      <c r="I994" s="336"/>
      <c r="P994" s="219"/>
    </row>
    <row r="995" spans="9:16" s="190" customFormat="1" ht="13.8" x14ac:dyDescent="0.25">
      <c r="I995" s="336"/>
      <c r="P995" s="219"/>
    </row>
    <row r="996" spans="9:16" s="190" customFormat="1" ht="13.8" x14ac:dyDescent="0.25">
      <c r="I996" s="336"/>
      <c r="P996" s="219"/>
    </row>
    <row r="997" spans="9:16" s="190" customFormat="1" ht="13.8" x14ac:dyDescent="0.25">
      <c r="I997" s="336"/>
      <c r="P997" s="219"/>
    </row>
    <row r="998" spans="9:16" s="190" customFormat="1" ht="13.8" x14ac:dyDescent="0.25">
      <c r="I998" s="336"/>
      <c r="P998" s="219"/>
    </row>
    <row r="999" spans="9:16" s="190" customFormat="1" ht="13.8" x14ac:dyDescent="0.25">
      <c r="I999" s="336"/>
      <c r="P999" s="219"/>
    </row>
    <row r="1000" spans="9:16" s="190" customFormat="1" ht="13.8" x14ac:dyDescent="0.25">
      <c r="I1000" s="336"/>
      <c r="P1000" s="219"/>
    </row>
    <row r="1001" spans="9:16" s="190" customFormat="1" ht="13.8" x14ac:dyDescent="0.25">
      <c r="I1001" s="336"/>
      <c r="P1001" s="219"/>
    </row>
    <row r="1002" spans="9:16" s="190" customFormat="1" ht="13.8" x14ac:dyDescent="0.25">
      <c r="I1002" s="336"/>
      <c r="P1002" s="219"/>
    </row>
    <row r="1003" spans="9:16" s="190" customFormat="1" ht="13.8" x14ac:dyDescent="0.25">
      <c r="I1003" s="336"/>
      <c r="P1003" s="219"/>
    </row>
    <row r="1004" spans="9:16" s="190" customFormat="1" ht="13.8" x14ac:dyDescent="0.25">
      <c r="I1004" s="336"/>
      <c r="P1004" s="219"/>
    </row>
    <row r="1005" spans="9:16" s="190" customFormat="1" ht="13.8" x14ac:dyDescent="0.25">
      <c r="I1005" s="336"/>
      <c r="P1005" s="219"/>
    </row>
    <row r="1006" spans="9:16" s="190" customFormat="1" ht="13.8" x14ac:dyDescent="0.25">
      <c r="I1006" s="336"/>
      <c r="P1006" s="219"/>
    </row>
    <row r="1007" spans="9:16" s="190" customFormat="1" ht="13.8" x14ac:dyDescent="0.25">
      <c r="I1007" s="336"/>
      <c r="P1007" s="219"/>
    </row>
    <row r="1008" spans="9:16" s="190" customFormat="1" ht="13.8" x14ac:dyDescent="0.25">
      <c r="I1008" s="336"/>
      <c r="P1008" s="219"/>
    </row>
    <row r="1009" spans="9:16" s="190" customFormat="1" ht="13.8" x14ac:dyDescent="0.25">
      <c r="I1009" s="336"/>
      <c r="P1009" s="219"/>
    </row>
    <row r="1010" spans="9:16" s="190" customFormat="1" ht="13.8" x14ac:dyDescent="0.25">
      <c r="I1010" s="336"/>
      <c r="P1010" s="219"/>
    </row>
    <row r="1011" spans="9:16" s="190" customFormat="1" ht="13.8" x14ac:dyDescent="0.25">
      <c r="I1011" s="336"/>
      <c r="P1011" s="219"/>
    </row>
    <row r="1012" spans="9:16" s="190" customFormat="1" ht="13.8" x14ac:dyDescent="0.25">
      <c r="I1012" s="336"/>
      <c r="P1012" s="219"/>
    </row>
    <row r="1013" spans="9:16" s="190" customFormat="1" ht="13.8" x14ac:dyDescent="0.25">
      <c r="I1013" s="336"/>
      <c r="P1013" s="219"/>
    </row>
    <row r="1014" spans="9:16" s="190" customFormat="1" ht="13.8" x14ac:dyDescent="0.25">
      <c r="I1014" s="336"/>
      <c r="P1014" s="219"/>
    </row>
    <row r="1015" spans="9:16" s="190" customFormat="1" ht="13.8" x14ac:dyDescent="0.25">
      <c r="I1015" s="336"/>
      <c r="P1015" s="219"/>
    </row>
    <row r="1016" spans="9:16" s="190" customFormat="1" ht="13.8" x14ac:dyDescent="0.25">
      <c r="I1016" s="336"/>
      <c r="P1016" s="219"/>
    </row>
    <row r="1017" spans="9:16" s="190" customFormat="1" ht="13.8" x14ac:dyDescent="0.25">
      <c r="I1017" s="336"/>
      <c r="P1017" s="219"/>
    </row>
    <row r="1018" spans="9:16" s="190" customFormat="1" ht="13.8" x14ac:dyDescent="0.25">
      <c r="I1018" s="336"/>
      <c r="P1018" s="219"/>
    </row>
    <row r="1019" spans="9:16" s="190" customFormat="1" ht="13.8" x14ac:dyDescent="0.25">
      <c r="I1019" s="336"/>
      <c r="P1019" s="219"/>
    </row>
    <row r="1020" spans="9:16" s="190" customFormat="1" ht="13.8" x14ac:dyDescent="0.25">
      <c r="I1020" s="336"/>
      <c r="P1020" s="219"/>
    </row>
    <row r="1021" spans="9:16" s="190" customFormat="1" ht="13.8" x14ac:dyDescent="0.25">
      <c r="I1021" s="336"/>
      <c r="P1021" s="219"/>
    </row>
    <row r="1022" spans="9:16" s="190" customFormat="1" ht="13.8" x14ac:dyDescent="0.25">
      <c r="I1022" s="336"/>
      <c r="P1022" s="219"/>
    </row>
    <row r="1023" spans="9:16" s="190" customFormat="1" ht="13.8" x14ac:dyDescent="0.25">
      <c r="I1023" s="336"/>
      <c r="P1023" s="219"/>
    </row>
    <row r="1024" spans="9:16" s="190" customFormat="1" ht="13.8" x14ac:dyDescent="0.25">
      <c r="I1024" s="336"/>
      <c r="P1024" s="219"/>
    </row>
    <row r="1025" spans="9:16" s="190" customFormat="1" ht="13.8" x14ac:dyDescent="0.25">
      <c r="I1025" s="336"/>
      <c r="P1025" s="219"/>
    </row>
    <row r="1026" spans="9:16" s="190" customFormat="1" ht="13.8" x14ac:dyDescent="0.25">
      <c r="I1026" s="336"/>
      <c r="P1026" s="219"/>
    </row>
    <row r="1027" spans="9:16" s="190" customFormat="1" ht="13.8" x14ac:dyDescent="0.25">
      <c r="I1027" s="336"/>
      <c r="P1027" s="219"/>
    </row>
    <row r="1028" spans="9:16" s="190" customFormat="1" ht="13.8" x14ac:dyDescent="0.25">
      <c r="I1028" s="336"/>
      <c r="P1028" s="219"/>
    </row>
    <row r="1029" spans="9:16" s="190" customFormat="1" ht="13.8" x14ac:dyDescent="0.25">
      <c r="I1029" s="336"/>
      <c r="P1029" s="219"/>
    </row>
    <row r="1030" spans="9:16" s="190" customFormat="1" ht="13.8" x14ac:dyDescent="0.25">
      <c r="I1030" s="336"/>
      <c r="P1030" s="219"/>
    </row>
    <row r="1031" spans="9:16" s="190" customFormat="1" ht="13.8" x14ac:dyDescent="0.25">
      <c r="I1031" s="336"/>
      <c r="P1031" s="219"/>
    </row>
    <row r="1032" spans="9:16" s="190" customFormat="1" ht="13.8" x14ac:dyDescent="0.25">
      <c r="I1032" s="336"/>
      <c r="P1032" s="219"/>
    </row>
    <row r="1033" spans="9:16" s="190" customFormat="1" ht="13.8" x14ac:dyDescent="0.25">
      <c r="I1033" s="336"/>
      <c r="P1033" s="219"/>
    </row>
    <row r="1034" spans="9:16" s="190" customFormat="1" ht="13.8" x14ac:dyDescent="0.25">
      <c r="I1034" s="336"/>
      <c r="P1034" s="219"/>
    </row>
    <row r="1035" spans="9:16" s="190" customFormat="1" ht="13.8" x14ac:dyDescent="0.25">
      <c r="I1035" s="336"/>
      <c r="P1035" s="219"/>
    </row>
    <row r="1036" spans="9:16" s="190" customFormat="1" ht="13.8" x14ac:dyDescent="0.25">
      <c r="I1036" s="336"/>
      <c r="P1036" s="219"/>
    </row>
    <row r="1037" spans="9:16" s="190" customFormat="1" ht="13.8" x14ac:dyDescent="0.25">
      <c r="I1037" s="336"/>
      <c r="P1037" s="219"/>
    </row>
    <row r="1038" spans="9:16" s="190" customFormat="1" ht="13.8" x14ac:dyDescent="0.25">
      <c r="I1038" s="336"/>
      <c r="P1038" s="219"/>
    </row>
    <row r="1039" spans="9:16" s="190" customFormat="1" ht="13.8" x14ac:dyDescent="0.25">
      <c r="I1039" s="336"/>
      <c r="P1039" s="219"/>
    </row>
    <row r="1040" spans="9:16" s="190" customFormat="1" ht="13.8" x14ac:dyDescent="0.25">
      <c r="I1040" s="336"/>
      <c r="P1040" s="219"/>
    </row>
    <row r="1041" spans="9:16" s="190" customFormat="1" ht="13.8" x14ac:dyDescent="0.25">
      <c r="I1041" s="336"/>
      <c r="P1041" s="219"/>
    </row>
    <row r="1042" spans="9:16" s="190" customFormat="1" ht="13.8" x14ac:dyDescent="0.25">
      <c r="I1042" s="336"/>
      <c r="P1042" s="219"/>
    </row>
    <row r="1043" spans="9:16" s="190" customFormat="1" ht="13.8" x14ac:dyDescent="0.25">
      <c r="I1043" s="336"/>
      <c r="P1043" s="219"/>
    </row>
    <row r="1044" spans="9:16" s="190" customFormat="1" ht="13.8" x14ac:dyDescent="0.25">
      <c r="I1044" s="336"/>
      <c r="P1044" s="219"/>
    </row>
    <row r="1045" spans="9:16" s="190" customFormat="1" ht="13.8" x14ac:dyDescent="0.25">
      <c r="I1045" s="336"/>
      <c r="P1045" s="219"/>
    </row>
    <row r="1046" spans="9:16" s="190" customFormat="1" ht="13.8" x14ac:dyDescent="0.25">
      <c r="I1046" s="336"/>
      <c r="P1046" s="219"/>
    </row>
    <row r="1047" spans="9:16" s="190" customFormat="1" ht="13.8" x14ac:dyDescent="0.25">
      <c r="I1047" s="336"/>
      <c r="P1047" s="219"/>
    </row>
    <row r="1048" spans="9:16" s="190" customFormat="1" ht="13.8" x14ac:dyDescent="0.25">
      <c r="I1048" s="336"/>
      <c r="P1048" s="219"/>
    </row>
    <row r="1049" spans="9:16" s="190" customFormat="1" ht="13.8" x14ac:dyDescent="0.25">
      <c r="I1049" s="336"/>
      <c r="P1049" s="219"/>
    </row>
    <row r="1050" spans="9:16" s="190" customFormat="1" ht="13.8" x14ac:dyDescent="0.25">
      <c r="I1050" s="336"/>
      <c r="P1050" s="219"/>
    </row>
    <row r="1051" spans="9:16" s="190" customFormat="1" ht="13.8" x14ac:dyDescent="0.25">
      <c r="I1051" s="336"/>
      <c r="P1051" s="219"/>
    </row>
    <row r="1052" spans="9:16" s="190" customFormat="1" ht="13.8" x14ac:dyDescent="0.25">
      <c r="I1052" s="336"/>
      <c r="P1052" s="219"/>
    </row>
    <row r="1053" spans="9:16" s="190" customFormat="1" ht="13.8" x14ac:dyDescent="0.25">
      <c r="I1053" s="336"/>
      <c r="P1053" s="219"/>
    </row>
    <row r="1054" spans="9:16" s="190" customFormat="1" ht="13.8" x14ac:dyDescent="0.25">
      <c r="I1054" s="336"/>
      <c r="P1054" s="219"/>
    </row>
    <row r="1055" spans="9:16" s="190" customFormat="1" ht="13.8" x14ac:dyDescent="0.25">
      <c r="I1055" s="336"/>
      <c r="P1055" s="219"/>
    </row>
    <row r="1056" spans="9:16" s="190" customFormat="1" ht="13.8" x14ac:dyDescent="0.25">
      <c r="I1056" s="336"/>
      <c r="P1056" s="219"/>
    </row>
    <row r="1057" spans="9:16" s="190" customFormat="1" ht="13.8" x14ac:dyDescent="0.25">
      <c r="I1057" s="336"/>
      <c r="P1057" s="219"/>
    </row>
    <row r="1058" spans="9:16" s="190" customFormat="1" ht="13.8" x14ac:dyDescent="0.25">
      <c r="I1058" s="336"/>
      <c r="P1058" s="219"/>
    </row>
    <row r="1059" spans="9:16" s="190" customFormat="1" ht="13.8" x14ac:dyDescent="0.25">
      <c r="I1059" s="336"/>
      <c r="P1059" s="219"/>
    </row>
    <row r="1060" spans="9:16" s="190" customFormat="1" ht="13.8" x14ac:dyDescent="0.25">
      <c r="I1060" s="336"/>
      <c r="P1060" s="219"/>
    </row>
    <row r="1061" spans="9:16" s="190" customFormat="1" ht="13.8" x14ac:dyDescent="0.25">
      <c r="I1061" s="336"/>
      <c r="P1061" s="219"/>
    </row>
    <row r="1062" spans="9:16" s="190" customFormat="1" ht="13.8" x14ac:dyDescent="0.25">
      <c r="I1062" s="336"/>
      <c r="P1062" s="219"/>
    </row>
    <row r="1063" spans="9:16" s="190" customFormat="1" ht="13.8" x14ac:dyDescent="0.25">
      <c r="I1063" s="336"/>
      <c r="P1063" s="219"/>
    </row>
    <row r="1064" spans="9:16" s="190" customFormat="1" ht="13.8" x14ac:dyDescent="0.25">
      <c r="I1064" s="336"/>
      <c r="P1064" s="219"/>
    </row>
    <row r="1065" spans="9:16" s="190" customFormat="1" ht="13.8" x14ac:dyDescent="0.25">
      <c r="I1065" s="336"/>
      <c r="P1065" s="219"/>
    </row>
    <row r="1066" spans="9:16" s="190" customFormat="1" ht="13.8" x14ac:dyDescent="0.25">
      <c r="I1066" s="336"/>
      <c r="P1066" s="219"/>
    </row>
    <row r="1067" spans="9:16" s="190" customFormat="1" ht="13.8" x14ac:dyDescent="0.25">
      <c r="I1067" s="336"/>
      <c r="P1067" s="219"/>
    </row>
    <row r="1068" spans="9:16" s="190" customFormat="1" ht="13.8" x14ac:dyDescent="0.25">
      <c r="I1068" s="336"/>
      <c r="P1068" s="219"/>
    </row>
    <row r="1069" spans="9:16" s="190" customFormat="1" ht="13.8" x14ac:dyDescent="0.25">
      <c r="I1069" s="336"/>
      <c r="P1069" s="219"/>
    </row>
    <row r="1070" spans="9:16" s="190" customFormat="1" ht="13.8" x14ac:dyDescent="0.25">
      <c r="I1070" s="336"/>
      <c r="P1070" s="219"/>
    </row>
    <row r="1071" spans="9:16" s="190" customFormat="1" ht="13.8" x14ac:dyDescent="0.25">
      <c r="I1071" s="336"/>
      <c r="P1071" s="219"/>
    </row>
    <row r="1072" spans="9:16" s="190" customFormat="1" ht="13.8" x14ac:dyDescent="0.25">
      <c r="I1072" s="336"/>
      <c r="P1072" s="219"/>
    </row>
    <row r="1073" spans="9:16" s="190" customFormat="1" ht="13.8" x14ac:dyDescent="0.25">
      <c r="I1073" s="336"/>
      <c r="P1073" s="219"/>
    </row>
    <row r="1074" spans="9:16" s="190" customFormat="1" ht="13.8" x14ac:dyDescent="0.25">
      <c r="I1074" s="336"/>
      <c r="P1074" s="219"/>
    </row>
    <row r="1075" spans="9:16" s="190" customFormat="1" ht="13.8" x14ac:dyDescent="0.25">
      <c r="I1075" s="336"/>
      <c r="P1075" s="219"/>
    </row>
    <row r="1076" spans="9:16" s="190" customFormat="1" ht="13.8" x14ac:dyDescent="0.25">
      <c r="I1076" s="336"/>
      <c r="P1076" s="219"/>
    </row>
    <row r="1077" spans="9:16" s="190" customFormat="1" ht="13.8" x14ac:dyDescent="0.25">
      <c r="I1077" s="336"/>
      <c r="P1077" s="219"/>
    </row>
    <row r="1078" spans="9:16" s="190" customFormat="1" ht="13.8" x14ac:dyDescent="0.25">
      <c r="I1078" s="336"/>
      <c r="P1078" s="219"/>
    </row>
    <row r="1079" spans="9:16" s="190" customFormat="1" ht="13.8" x14ac:dyDescent="0.25">
      <c r="I1079" s="336"/>
      <c r="P1079" s="219"/>
    </row>
    <row r="1080" spans="9:16" s="190" customFormat="1" ht="13.8" x14ac:dyDescent="0.25">
      <c r="I1080" s="336"/>
      <c r="P1080" s="219"/>
    </row>
    <row r="1081" spans="9:16" s="190" customFormat="1" ht="13.8" x14ac:dyDescent="0.25">
      <c r="I1081" s="336"/>
      <c r="P1081" s="219"/>
    </row>
    <row r="1082" spans="9:16" s="190" customFormat="1" ht="13.8" x14ac:dyDescent="0.25">
      <c r="I1082" s="336"/>
      <c r="P1082" s="219"/>
    </row>
    <row r="1083" spans="9:16" s="190" customFormat="1" ht="13.8" x14ac:dyDescent="0.25">
      <c r="I1083" s="336"/>
      <c r="P1083" s="219"/>
    </row>
    <row r="1084" spans="9:16" s="190" customFormat="1" ht="13.8" x14ac:dyDescent="0.25">
      <c r="I1084" s="336"/>
      <c r="P1084" s="219"/>
    </row>
    <row r="1085" spans="9:16" s="190" customFormat="1" ht="13.8" x14ac:dyDescent="0.25">
      <c r="I1085" s="336"/>
      <c r="P1085" s="219"/>
    </row>
    <row r="1086" spans="9:16" s="190" customFormat="1" ht="13.8" x14ac:dyDescent="0.25">
      <c r="I1086" s="336"/>
      <c r="P1086" s="219"/>
    </row>
    <row r="1087" spans="9:16" s="190" customFormat="1" ht="13.8" x14ac:dyDescent="0.25">
      <c r="I1087" s="336"/>
      <c r="P1087" s="219"/>
    </row>
    <row r="1088" spans="9:16" s="190" customFormat="1" ht="13.8" x14ac:dyDescent="0.25">
      <c r="I1088" s="336"/>
      <c r="P1088" s="219"/>
    </row>
    <row r="1089" spans="9:16" s="190" customFormat="1" ht="13.8" x14ac:dyDescent="0.25">
      <c r="I1089" s="336"/>
      <c r="P1089" s="219"/>
    </row>
    <row r="1090" spans="9:16" s="190" customFormat="1" ht="13.8" x14ac:dyDescent="0.25">
      <c r="I1090" s="336"/>
      <c r="P1090" s="219"/>
    </row>
    <row r="1091" spans="9:16" s="190" customFormat="1" ht="13.8" x14ac:dyDescent="0.25">
      <c r="I1091" s="336"/>
      <c r="P1091" s="219"/>
    </row>
    <row r="1092" spans="9:16" s="190" customFormat="1" ht="13.8" x14ac:dyDescent="0.25">
      <c r="I1092" s="336"/>
      <c r="P1092" s="219"/>
    </row>
    <row r="1093" spans="9:16" s="190" customFormat="1" ht="13.8" x14ac:dyDescent="0.25">
      <c r="I1093" s="336"/>
      <c r="P1093" s="219"/>
    </row>
    <row r="1094" spans="9:16" s="190" customFormat="1" ht="13.8" x14ac:dyDescent="0.25">
      <c r="I1094" s="336"/>
      <c r="P1094" s="219"/>
    </row>
    <row r="1095" spans="9:16" s="190" customFormat="1" ht="13.8" x14ac:dyDescent="0.25">
      <c r="I1095" s="336"/>
      <c r="P1095" s="219"/>
    </row>
    <row r="1096" spans="9:16" s="190" customFormat="1" ht="13.8" x14ac:dyDescent="0.25">
      <c r="I1096" s="336"/>
      <c r="P1096" s="219"/>
    </row>
    <row r="1097" spans="9:16" s="190" customFormat="1" ht="13.8" x14ac:dyDescent="0.25">
      <c r="I1097" s="336"/>
      <c r="P1097" s="219"/>
    </row>
    <row r="1098" spans="9:16" s="190" customFormat="1" ht="13.8" x14ac:dyDescent="0.25">
      <c r="I1098" s="336"/>
      <c r="P1098" s="219"/>
    </row>
    <row r="1099" spans="9:16" s="190" customFormat="1" ht="13.8" x14ac:dyDescent="0.25">
      <c r="I1099" s="336"/>
      <c r="P1099" s="219"/>
    </row>
    <row r="1100" spans="9:16" s="190" customFormat="1" ht="13.8" x14ac:dyDescent="0.25">
      <c r="I1100" s="336"/>
      <c r="P1100" s="219"/>
    </row>
    <row r="1101" spans="9:16" s="190" customFormat="1" ht="13.8" x14ac:dyDescent="0.25">
      <c r="I1101" s="336"/>
      <c r="P1101" s="219"/>
    </row>
    <row r="1102" spans="9:16" s="190" customFormat="1" ht="13.8" x14ac:dyDescent="0.25">
      <c r="I1102" s="336"/>
      <c r="P1102" s="219"/>
    </row>
    <row r="1103" spans="9:16" s="190" customFormat="1" ht="13.8" x14ac:dyDescent="0.25">
      <c r="I1103" s="336"/>
      <c r="P1103" s="219"/>
    </row>
    <row r="1104" spans="9:16" s="190" customFormat="1" ht="13.8" x14ac:dyDescent="0.25">
      <c r="I1104" s="336"/>
      <c r="P1104" s="219"/>
    </row>
    <row r="1105" spans="9:16" s="190" customFormat="1" ht="13.8" x14ac:dyDescent="0.25">
      <c r="I1105" s="336"/>
      <c r="P1105" s="219"/>
    </row>
    <row r="1106" spans="9:16" s="190" customFormat="1" ht="13.8" x14ac:dyDescent="0.25">
      <c r="I1106" s="336"/>
      <c r="P1106" s="219"/>
    </row>
    <row r="1107" spans="9:16" s="190" customFormat="1" ht="13.8" x14ac:dyDescent="0.25">
      <c r="I1107" s="336"/>
      <c r="P1107" s="219"/>
    </row>
    <row r="1108" spans="9:16" s="190" customFormat="1" ht="13.8" x14ac:dyDescent="0.25">
      <c r="I1108" s="336"/>
      <c r="P1108" s="219"/>
    </row>
    <row r="1109" spans="9:16" s="190" customFormat="1" ht="13.8" x14ac:dyDescent="0.25">
      <c r="I1109" s="336"/>
      <c r="P1109" s="219"/>
    </row>
    <row r="1110" spans="9:16" s="190" customFormat="1" ht="13.8" x14ac:dyDescent="0.25">
      <c r="I1110" s="336"/>
      <c r="P1110" s="219"/>
    </row>
    <row r="1111" spans="9:16" s="190" customFormat="1" ht="13.8" x14ac:dyDescent="0.25">
      <c r="I1111" s="336"/>
      <c r="P1111" s="219"/>
    </row>
    <row r="1112" spans="9:16" s="190" customFormat="1" ht="13.8" x14ac:dyDescent="0.25">
      <c r="I1112" s="336"/>
      <c r="P1112" s="219"/>
    </row>
    <row r="1113" spans="9:16" s="190" customFormat="1" ht="13.8" x14ac:dyDescent="0.25">
      <c r="I1113" s="336"/>
      <c r="P1113" s="219"/>
    </row>
    <row r="1114" spans="9:16" s="190" customFormat="1" ht="13.8" x14ac:dyDescent="0.25">
      <c r="I1114" s="336"/>
      <c r="P1114" s="219"/>
    </row>
    <row r="1115" spans="9:16" s="190" customFormat="1" ht="13.8" x14ac:dyDescent="0.25">
      <c r="I1115" s="336"/>
      <c r="P1115" s="219"/>
    </row>
    <row r="1116" spans="9:16" s="190" customFormat="1" ht="13.8" x14ac:dyDescent="0.25">
      <c r="I1116" s="336"/>
      <c r="P1116" s="219"/>
    </row>
    <row r="1117" spans="9:16" s="190" customFormat="1" ht="13.8" x14ac:dyDescent="0.25">
      <c r="I1117" s="336"/>
      <c r="P1117" s="219"/>
    </row>
    <row r="1118" spans="9:16" s="190" customFormat="1" ht="13.8" x14ac:dyDescent="0.25">
      <c r="I1118" s="336"/>
      <c r="P1118" s="219"/>
    </row>
    <row r="1119" spans="9:16" s="190" customFormat="1" ht="13.8" x14ac:dyDescent="0.25">
      <c r="I1119" s="336"/>
      <c r="P1119" s="219"/>
    </row>
    <row r="1120" spans="9:16" s="190" customFormat="1" ht="13.8" x14ac:dyDescent="0.25">
      <c r="I1120" s="336"/>
      <c r="P1120" s="219"/>
    </row>
    <row r="1121" spans="9:16" s="190" customFormat="1" ht="13.8" x14ac:dyDescent="0.25">
      <c r="I1121" s="336"/>
      <c r="P1121" s="219"/>
    </row>
    <row r="1122" spans="9:16" s="190" customFormat="1" ht="13.8" x14ac:dyDescent="0.25">
      <c r="I1122" s="336"/>
      <c r="P1122" s="219"/>
    </row>
    <row r="1123" spans="9:16" s="190" customFormat="1" ht="13.8" x14ac:dyDescent="0.25">
      <c r="I1123" s="336"/>
      <c r="P1123" s="219"/>
    </row>
    <row r="1124" spans="9:16" s="190" customFormat="1" ht="13.8" x14ac:dyDescent="0.25">
      <c r="I1124" s="336"/>
      <c r="P1124" s="219"/>
    </row>
    <row r="1125" spans="9:16" s="190" customFormat="1" ht="13.8" x14ac:dyDescent="0.25">
      <c r="I1125" s="336"/>
      <c r="P1125" s="219"/>
    </row>
    <row r="1126" spans="9:16" s="190" customFormat="1" ht="13.8" x14ac:dyDescent="0.25">
      <c r="I1126" s="336"/>
      <c r="P1126" s="219"/>
    </row>
    <row r="1127" spans="9:16" s="190" customFormat="1" ht="13.8" x14ac:dyDescent="0.25">
      <c r="I1127" s="336"/>
      <c r="P1127" s="219"/>
    </row>
    <row r="1128" spans="9:16" s="190" customFormat="1" ht="13.8" x14ac:dyDescent="0.25">
      <c r="I1128" s="336"/>
      <c r="P1128" s="219"/>
    </row>
    <row r="1129" spans="9:16" s="190" customFormat="1" ht="13.8" x14ac:dyDescent="0.25">
      <c r="I1129" s="336"/>
      <c r="P1129" s="219"/>
    </row>
    <row r="1130" spans="9:16" s="190" customFormat="1" ht="13.8" x14ac:dyDescent="0.25">
      <c r="I1130" s="336"/>
      <c r="P1130" s="219"/>
    </row>
    <row r="1131" spans="9:16" s="190" customFormat="1" ht="13.8" x14ac:dyDescent="0.25">
      <c r="I1131" s="336"/>
      <c r="P1131" s="219"/>
    </row>
    <row r="1132" spans="9:16" s="190" customFormat="1" ht="13.8" x14ac:dyDescent="0.25">
      <c r="I1132" s="336"/>
      <c r="P1132" s="219"/>
    </row>
    <row r="1133" spans="9:16" s="190" customFormat="1" ht="13.8" x14ac:dyDescent="0.25">
      <c r="I1133" s="336"/>
      <c r="P1133" s="219"/>
    </row>
    <row r="1134" spans="9:16" s="190" customFormat="1" ht="13.8" x14ac:dyDescent="0.25">
      <c r="I1134" s="336"/>
      <c r="P1134" s="219"/>
    </row>
    <row r="1135" spans="9:16" s="190" customFormat="1" ht="13.8" x14ac:dyDescent="0.25">
      <c r="I1135" s="336"/>
      <c r="P1135" s="219"/>
    </row>
    <row r="1136" spans="9:16" s="190" customFormat="1" ht="13.8" x14ac:dyDescent="0.25">
      <c r="I1136" s="336"/>
      <c r="P1136" s="219"/>
    </row>
    <row r="1137" spans="9:16" s="190" customFormat="1" ht="13.8" x14ac:dyDescent="0.25">
      <c r="I1137" s="336"/>
      <c r="P1137" s="219"/>
    </row>
    <row r="1138" spans="9:16" s="190" customFormat="1" ht="13.8" x14ac:dyDescent="0.25">
      <c r="I1138" s="336"/>
      <c r="P1138" s="219"/>
    </row>
    <row r="1139" spans="9:16" s="190" customFormat="1" ht="13.8" x14ac:dyDescent="0.25">
      <c r="I1139" s="336"/>
      <c r="P1139" s="219"/>
    </row>
    <row r="1140" spans="9:16" s="190" customFormat="1" ht="13.8" x14ac:dyDescent="0.25">
      <c r="I1140" s="336"/>
      <c r="P1140" s="219"/>
    </row>
    <row r="1141" spans="9:16" s="190" customFormat="1" ht="13.8" x14ac:dyDescent="0.25">
      <c r="I1141" s="336"/>
      <c r="P1141" s="219"/>
    </row>
    <row r="1142" spans="9:16" s="190" customFormat="1" ht="13.8" x14ac:dyDescent="0.25">
      <c r="I1142" s="336"/>
      <c r="P1142" s="219"/>
    </row>
    <row r="1143" spans="9:16" s="190" customFormat="1" ht="13.8" x14ac:dyDescent="0.25">
      <c r="I1143" s="336"/>
      <c r="P1143" s="219"/>
    </row>
    <row r="1144" spans="9:16" s="190" customFormat="1" ht="13.8" x14ac:dyDescent="0.25">
      <c r="I1144" s="336"/>
      <c r="P1144" s="219"/>
    </row>
    <row r="1145" spans="9:16" s="190" customFormat="1" ht="13.8" x14ac:dyDescent="0.25">
      <c r="I1145" s="336"/>
      <c r="P1145" s="219"/>
    </row>
    <row r="1146" spans="9:16" s="190" customFormat="1" ht="13.8" x14ac:dyDescent="0.25">
      <c r="I1146" s="336"/>
      <c r="P1146" s="219"/>
    </row>
    <row r="1147" spans="9:16" s="190" customFormat="1" ht="13.8" x14ac:dyDescent="0.25">
      <c r="I1147" s="336"/>
      <c r="P1147" s="219"/>
    </row>
    <row r="1148" spans="9:16" s="190" customFormat="1" ht="13.8" x14ac:dyDescent="0.25">
      <c r="I1148" s="336"/>
      <c r="P1148" s="219"/>
    </row>
    <row r="1149" spans="9:16" s="190" customFormat="1" ht="13.8" x14ac:dyDescent="0.25">
      <c r="I1149" s="336"/>
      <c r="P1149" s="219"/>
    </row>
    <row r="1150" spans="9:16" s="190" customFormat="1" ht="13.8" x14ac:dyDescent="0.25">
      <c r="I1150" s="336"/>
      <c r="P1150" s="219"/>
    </row>
    <row r="1151" spans="9:16" s="190" customFormat="1" ht="13.8" x14ac:dyDescent="0.25">
      <c r="I1151" s="336"/>
      <c r="P1151" s="219"/>
    </row>
    <row r="1152" spans="9:16" s="190" customFormat="1" ht="13.8" x14ac:dyDescent="0.25">
      <c r="I1152" s="336"/>
      <c r="P1152" s="219"/>
    </row>
    <row r="1153" spans="9:16" s="190" customFormat="1" ht="13.8" x14ac:dyDescent="0.25">
      <c r="I1153" s="336"/>
      <c r="P1153" s="219"/>
    </row>
    <row r="1154" spans="9:16" s="190" customFormat="1" ht="13.8" x14ac:dyDescent="0.25">
      <c r="I1154" s="336"/>
      <c r="P1154" s="219"/>
    </row>
    <row r="1155" spans="9:16" s="190" customFormat="1" ht="13.8" x14ac:dyDescent="0.25">
      <c r="I1155" s="336"/>
      <c r="P1155" s="219"/>
    </row>
    <row r="1156" spans="9:16" s="190" customFormat="1" ht="13.8" x14ac:dyDescent="0.25">
      <c r="I1156" s="336"/>
      <c r="P1156" s="219"/>
    </row>
    <row r="1157" spans="9:16" s="190" customFormat="1" ht="13.8" x14ac:dyDescent="0.25">
      <c r="I1157" s="336"/>
      <c r="P1157" s="219"/>
    </row>
    <row r="1158" spans="9:16" s="190" customFormat="1" ht="13.8" x14ac:dyDescent="0.25">
      <c r="I1158" s="336"/>
      <c r="P1158" s="219"/>
    </row>
    <row r="1159" spans="9:16" s="190" customFormat="1" ht="13.8" x14ac:dyDescent="0.25">
      <c r="I1159" s="336"/>
      <c r="P1159" s="219"/>
    </row>
    <row r="1160" spans="9:16" s="190" customFormat="1" ht="13.8" x14ac:dyDescent="0.25">
      <c r="I1160" s="336"/>
      <c r="P1160" s="219"/>
    </row>
    <row r="1161" spans="9:16" s="190" customFormat="1" ht="13.8" x14ac:dyDescent="0.25">
      <c r="I1161" s="336"/>
      <c r="P1161" s="219"/>
    </row>
    <row r="1162" spans="9:16" s="190" customFormat="1" ht="13.8" x14ac:dyDescent="0.25">
      <c r="I1162" s="336"/>
      <c r="P1162" s="219"/>
    </row>
    <row r="1163" spans="9:16" s="190" customFormat="1" ht="13.8" x14ac:dyDescent="0.25">
      <c r="I1163" s="336"/>
      <c r="P1163" s="219"/>
    </row>
    <row r="1164" spans="9:16" s="190" customFormat="1" ht="13.8" x14ac:dyDescent="0.25">
      <c r="I1164" s="336"/>
      <c r="P1164" s="219"/>
    </row>
    <row r="1165" spans="9:16" s="190" customFormat="1" ht="13.8" x14ac:dyDescent="0.25">
      <c r="I1165" s="336"/>
      <c r="P1165" s="219"/>
    </row>
    <row r="1166" spans="9:16" s="190" customFormat="1" ht="13.8" x14ac:dyDescent="0.25">
      <c r="I1166" s="336"/>
      <c r="P1166" s="219"/>
    </row>
    <row r="1167" spans="9:16" s="190" customFormat="1" ht="13.8" x14ac:dyDescent="0.25">
      <c r="I1167" s="336"/>
      <c r="P1167" s="219"/>
    </row>
    <row r="1168" spans="9:16" s="190" customFormat="1" ht="13.8" x14ac:dyDescent="0.25">
      <c r="I1168" s="336"/>
      <c r="P1168" s="219"/>
    </row>
    <row r="1169" spans="9:16" s="190" customFormat="1" ht="13.8" x14ac:dyDescent="0.25">
      <c r="I1169" s="336"/>
      <c r="P1169" s="219"/>
    </row>
    <row r="1170" spans="9:16" s="190" customFormat="1" ht="13.8" x14ac:dyDescent="0.25">
      <c r="I1170" s="336"/>
      <c r="P1170" s="219"/>
    </row>
    <row r="1171" spans="9:16" s="190" customFormat="1" ht="13.8" x14ac:dyDescent="0.25">
      <c r="I1171" s="336"/>
      <c r="P1171" s="219"/>
    </row>
    <row r="1172" spans="9:16" s="190" customFormat="1" ht="13.8" x14ac:dyDescent="0.25">
      <c r="I1172" s="336"/>
      <c r="P1172" s="219"/>
    </row>
    <row r="1173" spans="9:16" s="190" customFormat="1" ht="13.8" x14ac:dyDescent="0.25">
      <c r="I1173" s="336"/>
      <c r="P1173" s="219"/>
    </row>
    <row r="1174" spans="9:16" s="190" customFormat="1" ht="13.8" x14ac:dyDescent="0.25">
      <c r="I1174" s="336"/>
      <c r="P1174" s="219"/>
    </row>
    <row r="1175" spans="9:16" s="190" customFormat="1" ht="13.8" x14ac:dyDescent="0.25">
      <c r="I1175" s="336"/>
      <c r="P1175" s="219"/>
    </row>
    <row r="1176" spans="9:16" s="190" customFormat="1" ht="13.8" x14ac:dyDescent="0.25">
      <c r="I1176" s="336"/>
      <c r="P1176" s="219"/>
    </row>
    <row r="1177" spans="9:16" s="190" customFormat="1" ht="13.8" x14ac:dyDescent="0.25">
      <c r="I1177" s="336"/>
      <c r="P1177" s="219"/>
    </row>
    <row r="1178" spans="9:16" s="190" customFormat="1" ht="13.8" x14ac:dyDescent="0.25">
      <c r="I1178" s="336"/>
      <c r="P1178" s="219"/>
    </row>
    <row r="1179" spans="9:16" s="190" customFormat="1" ht="13.8" x14ac:dyDescent="0.25">
      <c r="I1179" s="336"/>
      <c r="P1179" s="219"/>
    </row>
    <row r="1180" spans="9:16" s="190" customFormat="1" ht="13.8" x14ac:dyDescent="0.25">
      <c r="I1180" s="336"/>
      <c r="P1180" s="219"/>
    </row>
    <row r="1181" spans="9:16" s="190" customFormat="1" ht="13.8" x14ac:dyDescent="0.25">
      <c r="I1181" s="336"/>
      <c r="P1181" s="219"/>
    </row>
    <row r="1182" spans="9:16" s="190" customFormat="1" ht="13.8" x14ac:dyDescent="0.25">
      <c r="I1182" s="336"/>
      <c r="P1182" s="219"/>
    </row>
    <row r="1183" spans="9:16" s="190" customFormat="1" ht="13.8" x14ac:dyDescent="0.25">
      <c r="I1183" s="336"/>
      <c r="P1183" s="219"/>
    </row>
    <row r="1184" spans="9:16" s="190" customFormat="1" ht="13.8" x14ac:dyDescent="0.25">
      <c r="I1184" s="336"/>
      <c r="P1184" s="219"/>
    </row>
    <row r="1185" spans="9:16" s="190" customFormat="1" ht="13.8" x14ac:dyDescent="0.25">
      <c r="I1185" s="336"/>
      <c r="P1185" s="219"/>
    </row>
    <row r="1186" spans="9:16" s="190" customFormat="1" ht="13.8" x14ac:dyDescent="0.25">
      <c r="I1186" s="336"/>
      <c r="P1186" s="219"/>
    </row>
    <row r="1187" spans="9:16" s="190" customFormat="1" ht="13.8" x14ac:dyDescent="0.25">
      <c r="I1187" s="336"/>
      <c r="P1187" s="219"/>
    </row>
    <row r="1188" spans="9:16" s="190" customFormat="1" ht="13.8" x14ac:dyDescent="0.25">
      <c r="I1188" s="336"/>
      <c r="P1188" s="219"/>
    </row>
    <row r="1189" spans="9:16" s="190" customFormat="1" ht="13.8" x14ac:dyDescent="0.25">
      <c r="I1189" s="336"/>
      <c r="P1189" s="219"/>
    </row>
    <row r="1190" spans="9:16" s="190" customFormat="1" ht="13.8" x14ac:dyDescent="0.25">
      <c r="I1190" s="336"/>
      <c r="P1190" s="219"/>
    </row>
    <row r="1191" spans="9:16" s="190" customFormat="1" ht="13.8" x14ac:dyDescent="0.25">
      <c r="I1191" s="336"/>
      <c r="P1191" s="219"/>
    </row>
    <row r="1192" spans="9:16" s="190" customFormat="1" ht="13.8" x14ac:dyDescent="0.25">
      <c r="I1192" s="336"/>
      <c r="P1192" s="219"/>
    </row>
    <row r="1193" spans="9:16" s="190" customFormat="1" ht="13.8" x14ac:dyDescent="0.25">
      <c r="I1193" s="336"/>
      <c r="P1193" s="219"/>
    </row>
    <row r="1194" spans="9:16" s="190" customFormat="1" ht="13.8" x14ac:dyDescent="0.25">
      <c r="I1194" s="336"/>
      <c r="P1194" s="219"/>
    </row>
    <row r="1195" spans="9:16" s="190" customFormat="1" ht="13.8" x14ac:dyDescent="0.25">
      <c r="I1195" s="336"/>
      <c r="P1195" s="219"/>
    </row>
    <row r="1196" spans="9:16" s="190" customFormat="1" ht="13.8" x14ac:dyDescent="0.25">
      <c r="I1196" s="336"/>
      <c r="P1196" s="219"/>
    </row>
    <row r="1197" spans="9:16" s="190" customFormat="1" ht="13.8" x14ac:dyDescent="0.25">
      <c r="I1197" s="336"/>
      <c r="P1197" s="219"/>
    </row>
    <row r="1198" spans="9:16" s="190" customFormat="1" ht="13.8" x14ac:dyDescent="0.25">
      <c r="I1198" s="336"/>
      <c r="P1198" s="219"/>
    </row>
    <row r="1199" spans="9:16" s="190" customFormat="1" ht="13.8" x14ac:dyDescent="0.25">
      <c r="I1199" s="336"/>
      <c r="P1199" s="219"/>
    </row>
    <row r="1200" spans="9:16" s="190" customFormat="1" ht="13.8" x14ac:dyDescent="0.25">
      <c r="I1200" s="336"/>
      <c r="P1200" s="219"/>
    </row>
    <row r="1201" spans="9:16" s="190" customFormat="1" ht="13.8" x14ac:dyDescent="0.25">
      <c r="I1201" s="336"/>
      <c r="P1201" s="219"/>
    </row>
    <row r="1202" spans="9:16" s="190" customFormat="1" ht="13.8" x14ac:dyDescent="0.25">
      <c r="I1202" s="336"/>
      <c r="P1202" s="219"/>
    </row>
    <row r="1203" spans="9:16" s="190" customFormat="1" ht="13.8" x14ac:dyDescent="0.25">
      <c r="I1203" s="336"/>
      <c r="P1203" s="219"/>
    </row>
    <row r="1204" spans="9:16" s="190" customFormat="1" ht="13.8" x14ac:dyDescent="0.25">
      <c r="I1204" s="336"/>
      <c r="P1204" s="219"/>
    </row>
    <row r="1205" spans="9:16" s="190" customFormat="1" ht="13.8" x14ac:dyDescent="0.25">
      <c r="I1205" s="336"/>
      <c r="P1205" s="219"/>
    </row>
    <row r="1206" spans="9:16" s="190" customFormat="1" ht="13.8" x14ac:dyDescent="0.25">
      <c r="I1206" s="336"/>
      <c r="P1206" s="219"/>
    </row>
    <row r="1207" spans="9:16" s="190" customFormat="1" ht="13.8" x14ac:dyDescent="0.25">
      <c r="I1207" s="336"/>
      <c r="P1207" s="219"/>
    </row>
    <row r="1208" spans="9:16" s="190" customFormat="1" ht="13.8" x14ac:dyDescent="0.25">
      <c r="I1208" s="336"/>
      <c r="P1208" s="219"/>
    </row>
    <row r="1209" spans="9:16" s="190" customFormat="1" ht="13.8" x14ac:dyDescent="0.25">
      <c r="I1209" s="336"/>
      <c r="P1209" s="219"/>
    </row>
    <row r="1210" spans="9:16" s="190" customFormat="1" ht="13.8" x14ac:dyDescent="0.25">
      <c r="I1210" s="336"/>
      <c r="P1210" s="219"/>
    </row>
    <row r="1211" spans="9:16" s="190" customFormat="1" ht="13.8" x14ac:dyDescent="0.25">
      <c r="I1211" s="336"/>
      <c r="P1211" s="219"/>
    </row>
    <row r="1212" spans="9:16" s="190" customFormat="1" ht="13.8" x14ac:dyDescent="0.25">
      <c r="I1212" s="336"/>
      <c r="P1212" s="219"/>
    </row>
    <row r="1213" spans="9:16" s="190" customFormat="1" ht="13.8" x14ac:dyDescent="0.25">
      <c r="I1213" s="336"/>
      <c r="P1213" s="219"/>
    </row>
    <row r="1214" spans="9:16" s="190" customFormat="1" ht="13.8" x14ac:dyDescent="0.25">
      <c r="I1214" s="336"/>
      <c r="P1214" s="219"/>
    </row>
    <row r="1215" spans="9:16" s="190" customFormat="1" ht="13.8" x14ac:dyDescent="0.25">
      <c r="I1215" s="336"/>
      <c r="P1215" s="219"/>
    </row>
    <row r="1216" spans="9:16" s="190" customFormat="1" ht="13.8" x14ac:dyDescent="0.25">
      <c r="I1216" s="336"/>
      <c r="P1216" s="219"/>
    </row>
    <row r="1217" spans="9:16" s="190" customFormat="1" ht="13.8" x14ac:dyDescent="0.25">
      <c r="I1217" s="336"/>
      <c r="P1217" s="219"/>
    </row>
    <row r="1218" spans="9:16" s="190" customFormat="1" ht="13.8" x14ac:dyDescent="0.25">
      <c r="I1218" s="336"/>
      <c r="P1218" s="219"/>
    </row>
    <row r="1219" spans="9:16" s="190" customFormat="1" ht="13.8" x14ac:dyDescent="0.25">
      <c r="I1219" s="336"/>
      <c r="P1219" s="219"/>
    </row>
    <row r="1220" spans="9:16" s="190" customFormat="1" ht="13.8" x14ac:dyDescent="0.25">
      <c r="I1220" s="336"/>
      <c r="P1220" s="219"/>
    </row>
    <row r="1221" spans="9:16" s="190" customFormat="1" ht="13.8" x14ac:dyDescent="0.25">
      <c r="I1221" s="336"/>
      <c r="P1221" s="219"/>
    </row>
    <row r="1222" spans="9:16" s="190" customFormat="1" ht="13.8" x14ac:dyDescent="0.25">
      <c r="I1222" s="336"/>
      <c r="P1222" s="219"/>
    </row>
    <row r="1223" spans="9:16" s="190" customFormat="1" ht="13.8" x14ac:dyDescent="0.25">
      <c r="I1223" s="336"/>
      <c r="P1223" s="219"/>
    </row>
    <row r="1224" spans="9:16" s="190" customFormat="1" ht="13.8" x14ac:dyDescent="0.25">
      <c r="I1224" s="336"/>
      <c r="P1224" s="219"/>
    </row>
    <row r="1225" spans="9:16" s="190" customFormat="1" ht="13.8" x14ac:dyDescent="0.25">
      <c r="I1225" s="336"/>
      <c r="P1225" s="219"/>
    </row>
    <row r="1226" spans="9:16" s="190" customFormat="1" ht="13.8" x14ac:dyDescent="0.25">
      <c r="I1226" s="336"/>
      <c r="P1226" s="219"/>
    </row>
    <row r="1227" spans="9:16" s="190" customFormat="1" ht="13.8" x14ac:dyDescent="0.25">
      <c r="I1227" s="336"/>
      <c r="P1227" s="219"/>
    </row>
    <row r="1228" spans="9:16" s="190" customFormat="1" ht="13.8" x14ac:dyDescent="0.25">
      <c r="I1228" s="336"/>
      <c r="P1228" s="219"/>
    </row>
    <row r="1229" spans="9:16" s="190" customFormat="1" ht="13.8" x14ac:dyDescent="0.25">
      <c r="I1229" s="336"/>
      <c r="P1229" s="219"/>
    </row>
    <row r="1230" spans="9:16" s="190" customFormat="1" ht="13.8" x14ac:dyDescent="0.25">
      <c r="I1230" s="336"/>
      <c r="P1230" s="219"/>
    </row>
    <row r="1231" spans="9:16" s="190" customFormat="1" ht="13.8" x14ac:dyDescent="0.25">
      <c r="I1231" s="336"/>
      <c r="P1231" s="219"/>
    </row>
    <row r="1232" spans="9:16" s="190" customFormat="1" ht="13.8" x14ac:dyDescent="0.25">
      <c r="I1232" s="336"/>
      <c r="P1232" s="219"/>
    </row>
    <row r="1233" spans="9:16" s="190" customFormat="1" ht="13.8" x14ac:dyDescent="0.25">
      <c r="I1233" s="336"/>
      <c r="P1233" s="219"/>
    </row>
    <row r="1234" spans="9:16" s="190" customFormat="1" ht="13.8" x14ac:dyDescent="0.25">
      <c r="I1234" s="336"/>
      <c r="P1234" s="219"/>
    </row>
    <row r="1235" spans="9:16" s="190" customFormat="1" ht="13.8" x14ac:dyDescent="0.25">
      <c r="I1235" s="336"/>
      <c r="P1235" s="219"/>
    </row>
    <row r="1236" spans="9:16" s="190" customFormat="1" ht="13.8" x14ac:dyDescent="0.25">
      <c r="I1236" s="336"/>
      <c r="P1236" s="219"/>
    </row>
    <row r="1237" spans="9:16" s="190" customFormat="1" ht="13.8" x14ac:dyDescent="0.25">
      <c r="I1237" s="336"/>
      <c r="P1237" s="219"/>
    </row>
    <row r="1238" spans="9:16" s="190" customFormat="1" ht="13.8" x14ac:dyDescent="0.25">
      <c r="I1238" s="336"/>
      <c r="P1238" s="219"/>
    </row>
    <row r="1239" spans="9:16" s="190" customFormat="1" ht="13.8" x14ac:dyDescent="0.25">
      <c r="I1239" s="336"/>
      <c r="P1239" s="219"/>
    </row>
    <row r="1240" spans="9:16" s="190" customFormat="1" ht="13.8" x14ac:dyDescent="0.25">
      <c r="I1240" s="336"/>
      <c r="P1240" s="219"/>
    </row>
    <row r="1241" spans="9:16" s="190" customFormat="1" ht="13.8" x14ac:dyDescent="0.25">
      <c r="I1241" s="336"/>
      <c r="P1241" s="219"/>
    </row>
    <row r="1242" spans="9:16" s="190" customFormat="1" ht="13.8" x14ac:dyDescent="0.25">
      <c r="I1242" s="336"/>
      <c r="P1242" s="219"/>
    </row>
    <row r="1243" spans="9:16" s="190" customFormat="1" ht="13.8" x14ac:dyDescent="0.25">
      <c r="I1243" s="336"/>
      <c r="P1243" s="219"/>
    </row>
    <row r="1244" spans="9:16" s="190" customFormat="1" ht="13.8" x14ac:dyDescent="0.25">
      <c r="I1244" s="336"/>
      <c r="P1244" s="219"/>
    </row>
    <row r="1245" spans="9:16" s="190" customFormat="1" ht="13.8" x14ac:dyDescent="0.25">
      <c r="I1245" s="336"/>
      <c r="P1245" s="219"/>
    </row>
    <row r="1246" spans="9:16" s="190" customFormat="1" ht="13.8" x14ac:dyDescent="0.25">
      <c r="I1246" s="336"/>
      <c r="P1246" s="219"/>
    </row>
    <row r="1247" spans="9:16" s="190" customFormat="1" ht="13.8" x14ac:dyDescent="0.25">
      <c r="I1247" s="336"/>
      <c r="P1247" s="219"/>
    </row>
    <row r="1248" spans="9:16" s="190" customFormat="1" ht="13.8" x14ac:dyDescent="0.25">
      <c r="I1248" s="336"/>
      <c r="P1248" s="219"/>
    </row>
    <row r="1249" spans="9:16" s="190" customFormat="1" ht="13.8" x14ac:dyDescent="0.25">
      <c r="I1249" s="336"/>
      <c r="P1249" s="219"/>
    </row>
    <row r="1250" spans="9:16" s="190" customFormat="1" ht="13.8" x14ac:dyDescent="0.25">
      <c r="I1250" s="336"/>
      <c r="P1250" s="219"/>
    </row>
    <row r="1251" spans="9:16" s="190" customFormat="1" ht="13.8" x14ac:dyDescent="0.25">
      <c r="I1251" s="336"/>
      <c r="P1251" s="219"/>
    </row>
    <row r="1252" spans="9:16" s="190" customFormat="1" ht="13.8" x14ac:dyDescent="0.25">
      <c r="I1252" s="336"/>
      <c r="P1252" s="219"/>
    </row>
    <row r="1253" spans="9:16" s="190" customFormat="1" ht="13.8" x14ac:dyDescent="0.25">
      <c r="I1253" s="336"/>
      <c r="P1253" s="219"/>
    </row>
    <row r="1254" spans="9:16" s="190" customFormat="1" ht="13.8" x14ac:dyDescent="0.25">
      <c r="I1254" s="336"/>
      <c r="P1254" s="219"/>
    </row>
    <row r="1255" spans="9:16" s="190" customFormat="1" ht="13.8" x14ac:dyDescent="0.25">
      <c r="I1255" s="336"/>
      <c r="P1255" s="219"/>
    </row>
    <row r="1256" spans="9:16" s="190" customFormat="1" ht="13.8" x14ac:dyDescent="0.25">
      <c r="I1256" s="336"/>
      <c r="P1256" s="219"/>
    </row>
    <row r="1257" spans="9:16" s="190" customFormat="1" ht="13.8" x14ac:dyDescent="0.25">
      <c r="I1257" s="336"/>
      <c r="P1257" s="219"/>
    </row>
    <row r="1258" spans="9:16" s="190" customFormat="1" ht="13.8" x14ac:dyDescent="0.25">
      <c r="I1258" s="336"/>
      <c r="P1258" s="219"/>
    </row>
    <row r="1259" spans="9:16" s="190" customFormat="1" ht="13.8" x14ac:dyDescent="0.25">
      <c r="I1259" s="336"/>
      <c r="P1259" s="219"/>
    </row>
    <row r="1260" spans="9:16" s="190" customFormat="1" ht="13.8" x14ac:dyDescent="0.25">
      <c r="I1260" s="336"/>
      <c r="P1260" s="219"/>
    </row>
    <row r="1261" spans="9:16" s="190" customFormat="1" ht="13.8" x14ac:dyDescent="0.25">
      <c r="I1261" s="336"/>
      <c r="P1261" s="219"/>
    </row>
    <row r="1262" spans="9:16" s="190" customFormat="1" ht="13.8" x14ac:dyDescent="0.25">
      <c r="I1262" s="336"/>
      <c r="P1262" s="219"/>
    </row>
    <row r="1263" spans="9:16" s="190" customFormat="1" ht="13.8" x14ac:dyDescent="0.25">
      <c r="I1263" s="336"/>
      <c r="P1263" s="219"/>
    </row>
    <row r="1264" spans="9:16" s="190" customFormat="1" ht="13.8" x14ac:dyDescent="0.25">
      <c r="I1264" s="336"/>
      <c r="P1264" s="219"/>
    </row>
    <row r="1265" spans="9:16" s="190" customFormat="1" ht="13.8" x14ac:dyDescent="0.25">
      <c r="I1265" s="336"/>
      <c r="P1265" s="219"/>
    </row>
    <row r="1266" spans="9:16" s="190" customFormat="1" ht="13.8" x14ac:dyDescent="0.25">
      <c r="I1266" s="336"/>
      <c r="P1266" s="219"/>
    </row>
    <row r="1267" spans="9:16" s="190" customFormat="1" ht="13.8" x14ac:dyDescent="0.25">
      <c r="I1267" s="336"/>
      <c r="P1267" s="219"/>
    </row>
  </sheetData>
  <autoFilter ref="A12:O333">
    <sortState ref="A14:O316">
      <sortCondition ref="A12:A331"/>
    </sortState>
  </autoFilter>
  <sortState ref="A13:A334">
    <sortCondition ref="A13:A334"/>
  </sortState>
  <mergeCells count="1">
    <mergeCell ref="A1:O1"/>
  </mergeCells>
  <dataValidations count="2">
    <dataValidation type="list" allowBlank="1" showInputMessage="1" showErrorMessage="1" sqref="C84:C85">
      <formula1>$N$3764:$N$3784</formula1>
    </dataValidation>
    <dataValidation type="list" allowBlank="1" showInputMessage="1" showErrorMessage="1" sqref="B121">
      <formula1>$N$3761:$N$3781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rowBreaks count="2" manualBreakCount="2">
    <brk id="11" max="16383" man="1"/>
    <brk id="11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'D:\Juin 23\Compta Juin\[Compta_Oracle Juin 2023.xlsx]Feuil1'!#REF!</xm:f>
          </x14:formula1>
          <xm:sqref>C311:C316 C318:C331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Récapitulatif</vt:lpstr>
      <vt:lpstr>Donateurs</vt:lpstr>
      <vt:lpstr>Feuil4</vt:lpstr>
      <vt:lpstr>DATA JUILLET 2023</vt:lpstr>
      <vt:lpstr>'DATA JUILLET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MAMAN_DE_OZA'S</cp:lastModifiedBy>
  <cp:lastPrinted>2022-12-19T11:25:20Z</cp:lastPrinted>
  <dcterms:created xsi:type="dcterms:W3CDTF">2020-09-02T13:35:58Z</dcterms:created>
  <dcterms:modified xsi:type="dcterms:W3CDTF">2023-09-10T09:51:58Z</dcterms:modified>
</cp:coreProperties>
</file>