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 activeTab="3"/>
  </bookViews>
  <sheets>
    <sheet name="Récapitulatif" sheetId="16" r:id="rId1"/>
    <sheet name="Sheet3" sheetId="191" r:id="rId2"/>
    <sheet name="Feuil3" sheetId="194" r:id="rId3"/>
    <sheet name="DATA OCTOBRE 2023" sheetId="153" r:id="rId4"/>
  </sheets>
  <definedNames>
    <definedName name="_xlnm._FilterDatabase" localSheetId="3" hidden="1">'DATA OCTOBRE 2023'!$A$12:$O$269</definedName>
  </definedNames>
  <calcPr calcId="124519"/>
  <pivotCaches>
    <pivotCache cacheId="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4" i="153"/>
  <c r="E115"/>
  <c r="C20" i="194" l="1"/>
  <c r="C19"/>
  <c r="AV7" i="191" l="1"/>
  <c r="AV8"/>
  <c r="AV9"/>
  <c r="AV10"/>
  <c r="AV11"/>
  <c r="AV12"/>
  <c r="AV13"/>
  <c r="AV14"/>
  <c r="AV15"/>
  <c r="AV16"/>
  <c r="AV17"/>
  <c r="AV18"/>
  <c r="AV6"/>
  <c r="AU16"/>
  <c r="AU7"/>
  <c r="AU8"/>
  <c r="AU9"/>
  <c r="AU10"/>
  <c r="AU11"/>
  <c r="AU12"/>
  <c r="AU13"/>
  <c r="AU14"/>
  <c r="AU15"/>
  <c r="AU17"/>
  <c r="AU18"/>
  <c r="AU6"/>
  <c r="AT19"/>
  <c r="AW7"/>
  <c r="AW8"/>
  <c r="AW9"/>
  <c r="AW10"/>
  <c r="AW11"/>
  <c r="AW12"/>
  <c r="AW13"/>
  <c r="AW14"/>
  <c r="AW15"/>
  <c r="AW16"/>
  <c r="AW17"/>
  <c r="AW18"/>
  <c r="AW6"/>
  <c r="AT7"/>
  <c r="AT8"/>
  <c r="AT9"/>
  <c r="AT10"/>
  <c r="AT11"/>
  <c r="AT12"/>
  <c r="AT13"/>
  <c r="AT14"/>
  <c r="AT15"/>
  <c r="AT16"/>
  <c r="AT17"/>
  <c r="AT18"/>
  <c r="AT6"/>
  <c r="AU19" l="1"/>
  <c r="AW19" l="1"/>
  <c r="AW21"/>
  <c r="AX6" l="1"/>
  <c r="AX7"/>
  <c r="F40" i="153"/>
  <c r="F27"/>
  <c r="F26"/>
  <c r="F25"/>
  <c r="G13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C6"/>
  <c r="C5"/>
  <c r="I1541" i="16"/>
  <c r="J1539"/>
  <c r="J1538"/>
  <c r="J1536"/>
  <c r="J1534"/>
  <c r="J1533"/>
  <c r="J1532"/>
  <c r="C1532"/>
  <c r="C1541" s="1"/>
  <c r="J1531"/>
  <c r="J1530"/>
  <c r="J1529"/>
  <c r="J1528"/>
  <c r="J1527"/>
  <c r="J1526"/>
  <c r="J1525"/>
  <c r="J1524"/>
  <c r="J1516"/>
  <c r="J1515"/>
  <c r="J1514"/>
  <c r="J1513"/>
  <c r="J1512"/>
  <c r="J1511"/>
  <c r="J1509"/>
  <c r="J1507"/>
  <c r="J1506"/>
  <c r="J1505"/>
  <c r="B1505"/>
  <c r="J1504"/>
  <c r="B1504"/>
  <c r="J1503"/>
  <c r="B1503"/>
  <c r="J1502"/>
  <c r="B1502"/>
  <c r="J1501"/>
  <c r="B1501"/>
  <c r="J1500"/>
  <c r="B1500"/>
  <c r="J1499"/>
  <c r="B1499"/>
  <c r="J1498"/>
  <c r="B1498"/>
  <c r="J1497"/>
  <c r="J1488"/>
  <c r="J1487"/>
  <c r="J1486"/>
  <c r="C1484"/>
  <c r="J1484" s="1"/>
  <c r="J1480"/>
  <c r="J1474"/>
  <c r="F1470"/>
  <c r="C1470"/>
  <c r="J1470" s="1"/>
  <c r="J1489" s="1"/>
  <c r="K1489" s="1"/>
  <c r="J1461"/>
  <c r="J1460"/>
  <c r="J1458"/>
  <c r="J1456"/>
  <c r="J1455"/>
  <c r="J1454"/>
  <c r="J1453"/>
  <c r="J1452"/>
  <c r="J1451"/>
  <c r="J1450"/>
  <c r="J1449"/>
  <c r="J1448"/>
  <c r="J1447"/>
  <c r="J1446"/>
  <c r="J1445"/>
  <c r="J1444"/>
  <c r="J1462" s="1"/>
  <c r="I1436"/>
  <c r="J1435"/>
  <c r="J1434"/>
  <c r="J1432"/>
  <c r="J1430"/>
  <c r="J1429"/>
  <c r="J1428"/>
  <c r="J1427"/>
  <c r="J1426"/>
  <c r="J1425"/>
  <c r="J1424"/>
  <c r="J1423"/>
  <c r="J1422"/>
  <c r="J1421"/>
  <c r="J1420"/>
  <c r="J1419"/>
  <c r="J1418"/>
  <c r="J1417"/>
  <c r="I1408"/>
  <c r="C1408"/>
  <c r="J1407"/>
  <c r="J1406"/>
  <c r="J1404"/>
  <c r="J1402"/>
  <c r="J1401"/>
  <c r="J1400"/>
  <c r="J1399"/>
  <c r="J1398"/>
  <c r="J1397"/>
  <c r="J1396"/>
  <c r="J1395"/>
  <c r="J1394"/>
  <c r="J1393"/>
  <c r="J1392"/>
  <c r="J1391"/>
  <c r="J1390"/>
  <c r="J1408" s="1"/>
  <c r="J1389"/>
  <c r="I1381"/>
  <c r="C1379"/>
  <c r="J1379" s="1"/>
  <c r="J1375"/>
  <c r="J1374"/>
  <c r="J1373"/>
  <c r="J1372"/>
  <c r="J1371"/>
  <c r="J1370"/>
  <c r="J1369"/>
  <c r="J1368"/>
  <c r="J1367"/>
  <c r="J1366"/>
  <c r="J1365"/>
  <c r="J1364"/>
  <c r="J1363"/>
  <c r="J1362"/>
  <c r="J1361"/>
  <c r="I1352"/>
  <c r="C1352"/>
  <c r="J1351"/>
  <c r="K1351" s="1"/>
  <c r="J1350"/>
  <c r="K1350" s="1"/>
  <c r="J1348"/>
  <c r="K1348" s="1"/>
  <c r="H1346"/>
  <c r="F1346"/>
  <c r="J1345"/>
  <c r="K1345" s="1"/>
  <c r="J1344"/>
  <c r="K1344" s="1"/>
  <c r="J1343"/>
  <c r="K1343" s="1"/>
  <c r="J1342"/>
  <c r="K1342" s="1"/>
  <c r="J1341"/>
  <c r="K1341" s="1"/>
  <c r="J1340"/>
  <c r="K1340" s="1"/>
  <c r="J1339"/>
  <c r="K1339" s="1"/>
  <c r="J1338"/>
  <c r="K1338" s="1"/>
  <c r="F1337"/>
  <c r="J1337" s="1"/>
  <c r="K1337" s="1"/>
  <c r="H1336"/>
  <c r="J1336" s="1"/>
  <c r="K1336" s="1"/>
  <c r="F1335"/>
  <c r="J1335" s="1"/>
  <c r="K1335" s="1"/>
  <c r="J1334"/>
  <c r="K1334" s="1"/>
  <c r="I1326"/>
  <c r="C1326"/>
  <c r="J1325"/>
  <c r="J1324"/>
  <c r="J1322"/>
  <c r="J1320"/>
  <c r="J1319"/>
  <c r="J1318"/>
  <c r="J1317"/>
  <c r="J1316"/>
  <c r="J1315"/>
  <c r="J1314"/>
  <c r="J1313"/>
  <c r="J1312"/>
  <c r="J1311"/>
  <c r="J1310"/>
  <c r="J1309"/>
  <c r="J1308"/>
  <c r="I1300"/>
  <c r="C1300"/>
  <c r="J1299"/>
  <c r="K1299" s="1"/>
  <c r="K1298"/>
  <c r="J1298"/>
  <c r="J1296"/>
  <c r="K1296" s="1"/>
  <c r="J1294"/>
  <c r="K1294" s="1"/>
  <c r="J1293"/>
  <c r="K1293" s="1"/>
  <c r="J1292"/>
  <c r="K1292" s="1"/>
  <c r="J1291"/>
  <c r="K1291" s="1"/>
  <c r="J1290"/>
  <c r="K1290" s="1"/>
  <c r="J1289"/>
  <c r="K1289" s="1"/>
  <c r="K1288"/>
  <c r="J1288"/>
  <c r="J1287"/>
  <c r="K1287" s="1"/>
  <c r="J1286"/>
  <c r="K1286" s="1"/>
  <c r="J1285"/>
  <c r="K1285" s="1"/>
  <c r="J1284"/>
  <c r="K1284" s="1"/>
  <c r="J1283"/>
  <c r="K1283" s="1"/>
  <c r="J1282"/>
  <c r="I1274"/>
  <c r="J1272"/>
  <c r="K1272" s="1"/>
  <c r="C1272"/>
  <c r="C1268"/>
  <c r="J1268" s="1"/>
  <c r="K1268" s="1"/>
  <c r="C1267"/>
  <c r="J1267" s="1"/>
  <c r="K1267" s="1"/>
  <c r="C1266"/>
  <c r="J1266" s="1"/>
  <c r="K1266" s="1"/>
  <c r="F1260"/>
  <c r="C1260"/>
  <c r="J1260" s="1"/>
  <c r="K1260" s="1"/>
  <c r="H1259"/>
  <c r="F1258"/>
  <c r="C1258"/>
  <c r="J1258" s="1"/>
  <c r="K1258" s="1"/>
  <c r="J1257"/>
  <c r="C1257"/>
  <c r="C1274" s="1"/>
  <c r="I1248"/>
  <c r="J1247"/>
  <c r="K1247" s="1"/>
  <c r="C1247"/>
  <c r="C1246"/>
  <c r="J1246" s="1"/>
  <c r="K1246" s="1"/>
  <c r="C1244"/>
  <c r="J1244" s="1"/>
  <c r="K1244" s="1"/>
  <c r="C1242"/>
  <c r="C1265" s="1"/>
  <c r="J1265" s="1"/>
  <c r="K1265" s="1"/>
  <c r="C1241"/>
  <c r="C1240"/>
  <c r="C1239"/>
  <c r="C1262" s="1"/>
  <c r="J1262" s="1"/>
  <c r="K1262" s="1"/>
  <c r="C1238"/>
  <c r="C1261" s="1"/>
  <c r="J1261" s="1"/>
  <c r="K1261" s="1"/>
  <c r="J1237"/>
  <c r="K1237" s="1"/>
  <c r="C1237"/>
  <c r="C1473" s="1"/>
  <c r="J1473" s="1"/>
  <c r="C1236"/>
  <c r="C1259" s="1"/>
  <c r="J1259" s="1"/>
  <c r="K1259" s="1"/>
  <c r="J1235"/>
  <c r="K1235" s="1"/>
  <c r="C1235"/>
  <c r="C1471" s="1"/>
  <c r="J1471" s="1"/>
  <c r="C1234"/>
  <c r="C1270" s="1"/>
  <c r="J1270" s="1"/>
  <c r="K1270" s="1"/>
  <c r="C1233"/>
  <c r="C1225"/>
  <c r="I1224"/>
  <c r="H1224"/>
  <c r="C1224"/>
  <c r="I1223"/>
  <c r="H1223"/>
  <c r="C1223"/>
  <c r="I1221"/>
  <c r="H1221"/>
  <c r="J1221" s="1"/>
  <c r="K1221" s="1"/>
  <c r="C1221"/>
  <c r="I1219"/>
  <c r="H1219"/>
  <c r="J1219" s="1"/>
  <c r="K1219" s="1"/>
  <c r="E1219"/>
  <c r="C1219"/>
  <c r="I1218"/>
  <c r="H1218"/>
  <c r="J1218" s="1"/>
  <c r="K1218" s="1"/>
  <c r="E1218"/>
  <c r="C1218"/>
  <c r="I1217"/>
  <c r="H1217"/>
  <c r="J1217" s="1"/>
  <c r="K1217" s="1"/>
  <c r="E1217"/>
  <c r="C1217"/>
  <c r="I1216"/>
  <c r="H1216"/>
  <c r="C1216"/>
  <c r="I1215"/>
  <c r="H1215"/>
  <c r="E1215"/>
  <c r="C1215"/>
  <c r="I1214"/>
  <c r="H1214"/>
  <c r="E1214"/>
  <c r="C1214"/>
  <c r="I1213"/>
  <c r="H1213"/>
  <c r="E1213"/>
  <c r="C1213"/>
  <c r="I1212"/>
  <c r="H1212"/>
  <c r="E1212"/>
  <c r="C1212"/>
  <c r="I1211"/>
  <c r="H1211"/>
  <c r="C1211"/>
  <c r="I1210"/>
  <c r="H1210"/>
  <c r="E1210"/>
  <c r="C1210"/>
  <c r="I1209"/>
  <c r="I1225" s="1"/>
  <c r="H1209"/>
  <c r="E1209"/>
  <c r="C1209"/>
  <c r="I1200"/>
  <c r="H1200"/>
  <c r="C1200"/>
  <c r="I1199"/>
  <c r="H1199"/>
  <c r="J1199" s="1"/>
  <c r="K1199" s="1"/>
  <c r="C1199"/>
  <c r="I1197"/>
  <c r="H1197"/>
  <c r="J1197" s="1"/>
  <c r="K1197" s="1"/>
  <c r="E1197"/>
  <c r="C1197"/>
  <c r="I1195"/>
  <c r="H1195"/>
  <c r="J1195" s="1"/>
  <c r="K1195" s="1"/>
  <c r="E1195"/>
  <c r="C1195"/>
  <c r="I1194"/>
  <c r="H1194"/>
  <c r="J1194" s="1"/>
  <c r="K1194" s="1"/>
  <c r="E1194"/>
  <c r="C1194"/>
  <c r="I1193"/>
  <c r="H1193"/>
  <c r="J1193" s="1"/>
  <c r="K1193" s="1"/>
  <c r="E1193"/>
  <c r="C1193"/>
  <c r="I1192"/>
  <c r="H1192"/>
  <c r="E1192"/>
  <c r="C1192"/>
  <c r="I1191"/>
  <c r="H1191"/>
  <c r="J1191" s="1"/>
  <c r="K1191" s="1"/>
  <c r="E1191"/>
  <c r="C1191"/>
  <c r="I1190"/>
  <c r="H1190"/>
  <c r="J1190" s="1"/>
  <c r="K1190" s="1"/>
  <c r="E1190"/>
  <c r="C1190"/>
  <c r="I1189"/>
  <c r="H1189"/>
  <c r="J1189" s="1"/>
  <c r="K1189" s="1"/>
  <c r="E1189"/>
  <c r="C1189"/>
  <c r="I1188"/>
  <c r="H1188"/>
  <c r="E1188"/>
  <c r="C1188"/>
  <c r="I1187"/>
  <c r="H1187"/>
  <c r="J1187" s="1"/>
  <c r="K1187" s="1"/>
  <c r="E1187"/>
  <c r="C1187"/>
  <c r="A1187"/>
  <c r="A1188" s="1"/>
  <c r="A1189" s="1"/>
  <c r="A1190" s="1"/>
  <c r="A1191" s="1"/>
  <c r="A1192" s="1"/>
  <c r="A1193" s="1"/>
  <c r="A1194" s="1"/>
  <c r="A1195" s="1"/>
  <c r="A1197" s="1"/>
  <c r="A1199" s="1"/>
  <c r="A1200" s="1"/>
  <c r="I1186"/>
  <c r="I1201" s="1"/>
  <c r="H1186"/>
  <c r="E1186"/>
  <c r="C1186"/>
  <c r="C1201" s="1"/>
  <c r="C1177"/>
  <c r="C1176"/>
  <c r="C1174"/>
  <c r="C1172"/>
  <c r="C1171"/>
  <c r="C1170"/>
  <c r="C1169"/>
  <c r="C1168"/>
  <c r="C1167"/>
  <c r="C1166"/>
  <c r="C1165"/>
  <c r="C1164"/>
  <c r="C1163"/>
  <c r="A1163"/>
  <c r="A1164" s="1"/>
  <c r="A1165" s="1"/>
  <c r="A1166" s="1"/>
  <c r="A1167" s="1"/>
  <c r="A1168" s="1"/>
  <c r="C1162"/>
  <c r="C1161"/>
  <c r="C1152"/>
  <c r="C1151"/>
  <c r="C1149"/>
  <c r="C1147"/>
  <c r="C1146"/>
  <c r="C1145"/>
  <c r="C1144"/>
  <c r="C1143"/>
  <c r="C1142"/>
  <c r="C1141"/>
  <c r="C1140"/>
  <c r="C1139"/>
  <c r="C1138"/>
  <c r="C1137"/>
  <c r="A1137"/>
  <c r="A1138" s="1"/>
  <c r="A1139" s="1"/>
  <c r="A1140" s="1"/>
  <c r="A1141" s="1"/>
  <c r="A1142" s="1"/>
  <c r="A1143" s="1"/>
  <c r="C1136"/>
  <c r="H1125"/>
  <c r="C1125"/>
  <c r="A1128" s="1"/>
  <c r="G1124"/>
  <c r="F1124"/>
  <c r="H1147" s="1"/>
  <c r="E1124"/>
  <c r="I1172" s="1"/>
  <c r="D1124"/>
  <c r="E1172" s="1"/>
  <c r="A1124"/>
  <c r="G1123"/>
  <c r="F1123"/>
  <c r="H1171" s="1"/>
  <c r="E1123"/>
  <c r="I1146" s="1"/>
  <c r="D1123"/>
  <c r="E1146" s="1"/>
  <c r="A1123"/>
  <c r="G1122"/>
  <c r="F1122"/>
  <c r="H1145" s="1"/>
  <c r="E1122"/>
  <c r="I1170" s="1"/>
  <c r="D1122"/>
  <c r="E1170" s="1"/>
  <c r="A1122"/>
  <c r="G1121"/>
  <c r="F1121"/>
  <c r="H1169" s="1"/>
  <c r="E1121"/>
  <c r="I1144" s="1"/>
  <c r="D1121"/>
  <c r="E1144" s="1"/>
  <c r="A1121"/>
  <c r="G1120"/>
  <c r="F1120"/>
  <c r="H1143" s="1"/>
  <c r="E1120"/>
  <c r="I1168" s="1"/>
  <c r="D1120"/>
  <c r="E1168" s="1"/>
  <c r="A1120"/>
  <c r="G1119"/>
  <c r="F1119"/>
  <c r="H1167" s="1"/>
  <c r="E1119"/>
  <c r="I1142" s="1"/>
  <c r="D1119"/>
  <c r="E1142" s="1"/>
  <c r="A1119"/>
  <c r="G1118"/>
  <c r="F1118"/>
  <c r="H1166" s="1"/>
  <c r="E1118"/>
  <c r="I1166" s="1"/>
  <c r="D1118"/>
  <c r="E1166" s="1"/>
  <c r="A1118"/>
  <c r="G1117"/>
  <c r="F1117"/>
  <c r="H1165" s="1"/>
  <c r="E1117"/>
  <c r="I1140" s="1"/>
  <c r="D1117"/>
  <c r="E1165" s="1"/>
  <c r="A1117"/>
  <c r="G1116"/>
  <c r="F1116"/>
  <c r="H1164" s="1"/>
  <c r="E1116"/>
  <c r="I1164" s="1"/>
  <c r="D1116"/>
  <c r="E1164" s="1"/>
  <c r="A1116"/>
  <c r="G1115"/>
  <c r="F1115"/>
  <c r="H1163" s="1"/>
  <c r="E1115"/>
  <c r="I1138" s="1"/>
  <c r="D1115"/>
  <c r="E1163" s="1"/>
  <c r="A1115"/>
  <c r="G1114"/>
  <c r="F1114"/>
  <c r="H1162" s="1"/>
  <c r="E1114"/>
  <c r="D1114"/>
  <c r="A1114"/>
  <c r="G1113"/>
  <c r="D1152" s="1"/>
  <c r="F1113"/>
  <c r="H1174" s="1"/>
  <c r="E1113"/>
  <c r="I1152" s="1"/>
  <c r="D1113"/>
  <c r="E1174" s="1"/>
  <c r="A1113"/>
  <c r="G1112"/>
  <c r="D1177" s="1"/>
  <c r="F1112"/>
  <c r="E1112"/>
  <c r="I1177" s="1"/>
  <c r="D1112"/>
  <c r="A1112"/>
  <c r="G1111"/>
  <c r="D1176" s="1"/>
  <c r="F1111"/>
  <c r="H1176" s="1"/>
  <c r="J1176" s="1"/>
  <c r="E1111"/>
  <c r="I1176" s="1"/>
  <c r="D1111"/>
  <c r="E1137" s="1"/>
  <c r="A1111"/>
  <c r="G1110"/>
  <c r="G1125" s="1"/>
  <c r="B1128" s="1"/>
  <c r="F1110"/>
  <c r="H1161" s="1"/>
  <c r="E1110"/>
  <c r="I1161" s="1"/>
  <c r="D1110"/>
  <c r="E1161" s="1"/>
  <c r="A1110"/>
  <c r="C1104"/>
  <c r="C1103"/>
  <c r="C1101"/>
  <c r="C1099"/>
  <c r="C1098"/>
  <c r="C1097"/>
  <c r="C1096"/>
  <c r="C1095"/>
  <c r="C1094"/>
  <c r="C1093"/>
  <c r="C1092"/>
  <c r="C1091"/>
  <c r="C1090"/>
  <c r="C1089"/>
  <c r="A1089"/>
  <c r="A1090" s="1"/>
  <c r="A1091" s="1"/>
  <c r="A1092" s="1"/>
  <c r="A1093" s="1"/>
  <c r="A1094" s="1"/>
  <c r="A1095" s="1"/>
  <c r="C1088"/>
  <c r="O1077"/>
  <c r="N1077"/>
  <c r="M1077"/>
  <c r="L1077"/>
  <c r="H1077"/>
  <c r="C1077"/>
  <c r="A1080" s="1"/>
  <c r="G1076"/>
  <c r="F1076"/>
  <c r="H1099" s="1"/>
  <c r="E1076"/>
  <c r="I1099" s="1"/>
  <c r="D1076"/>
  <c r="A1076"/>
  <c r="G1075"/>
  <c r="F1075"/>
  <c r="H1098" s="1"/>
  <c r="E1075"/>
  <c r="I1098" s="1"/>
  <c r="D1075"/>
  <c r="E1098" s="1"/>
  <c r="A1075"/>
  <c r="G1074"/>
  <c r="F1074"/>
  <c r="H1097" s="1"/>
  <c r="E1074"/>
  <c r="I1097" s="1"/>
  <c r="D1074"/>
  <c r="I1074" s="1"/>
  <c r="J1074" s="1"/>
  <c r="A1074"/>
  <c r="G1073"/>
  <c r="F1073"/>
  <c r="H1096" s="1"/>
  <c r="E1073"/>
  <c r="I1096" s="1"/>
  <c r="D1073"/>
  <c r="E1096" s="1"/>
  <c r="A1073"/>
  <c r="G1072"/>
  <c r="F1072"/>
  <c r="H1095" s="1"/>
  <c r="E1072"/>
  <c r="I1095" s="1"/>
  <c r="D1072"/>
  <c r="A1072"/>
  <c r="G1071"/>
  <c r="F1071"/>
  <c r="H1094" s="1"/>
  <c r="E1071"/>
  <c r="I1094" s="1"/>
  <c r="D1071"/>
  <c r="E1094" s="1"/>
  <c r="A1071"/>
  <c r="G1070"/>
  <c r="F1070"/>
  <c r="H1093" s="1"/>
  <c r="E1070"/>
  <c r="I1093" s="1"/>
  <c r="D1070"/>
  <c r="I1070" s="1"/>
  <c r="J1070" s="1"/>
  <c r="A1070"/>
  <c r="G1069"/>
  <c r="F1069"/>
  <c r="H1092" s="1"/>
  <c r="E1069"/>
  <c r="I1092" s="1"/>
  <c r="D1069"/>
  <c r="E1092" s="1"/>
  <c r="A1069"/>
  <c r="G1068"/>
  <c r="F1068"/>
  <c r="H1091" s="1"/>
  <c r="E1068"/>
  <c r="I1091" s="1"/>
  <c r="D1068"/>
  <c r="A1068"/>
  <c r="G1067"/>
  <c r="F1067"/>
  <c r="H1090" s="1"/>
  <c r="E1067"/>
  <c r="I1090" s="1"/>
  <c r="D1067"/>
  <c r="E1090" s="1"/>
  <c r="A1067"/>
  <c r="G1066"/>
  <c r="F1066"/>
  <c r="H1101" s="1"/>
  <c r="E1066"/>
  <c r="I1101" s="1"/>
  <c r="D1066"/>
  <c r="E1101" s="1"/>
  <c r="A1066"/>
  <c r="G1065"/>
  <c r="D1104" s="1"/>
  <c r="F1065"/>
  <c r="H1104" s="1"/>
  <c r="E1065"/>
  <c r="I1104" s="1"/>
  <c r="D1065"/>
  <c r="A1065"/>
  <c r="G1064"/>
  <c r="D1103" s="1"/>
  <c r="F1064"/>
  <c r="H1103" s="1"/>
  <c r="E1064"/>
  <c r="I1103" s="1"/>
  <c r="D1064"/>
  <c r="A1064"/>
  <c r="G1063"/>
  <c r="F1063"/>
  <c r="H1089" s="1"/>
  <c r="E1063"/>
  <c r="I1089" s="1"/>
  <c r="D1063"/>
  <c r="E1089" s="1"/>
  <c r="A1063"/>
  <c r="G1062"/>
  <c r="F1062"/>
  <c r="E1062"/>
  <c r="D1062"/>
  <c r="A1062"/>
  <c r="C1056"/>
  <c r="C1055"/>
  <c r="C1053"/>
  <c r="C1051"/>
  <c r="C1050"/>
  <c r="C1049"/>
  <c r="C1048"/>
  <c r="C1047"/>
  <c r="C1046"/>
  <c r="C1045"/>
  <c r="C1044"/>
  <c r="C1043"/>
  <c r="C1042"/>
  <c r="A1042"/>
  <c r="A1043" s="1"/>
  <c r="A1044" s="1"/>
  <c r="A1045" s="1"/>
  <c r="A1046" s="1"/>
  <c r="A1047" s="1"/>
  <c r="C1041"/>
  <c r="O1030"/>
  <c r="N1030"/>
  <c r="M1030"/>
  <c r="L1030"/>
  <c r="H1030"/>
  <c r="C1030"/>
  <c r="A1033" s="1"/>
  <c r="G1029"/>
  <c r="F1029"/>
  <c r="H1051" s="1"/>
  <c r="E1029"/>
  <c r="I1051" s="1"/>
  <c r="D1029"/>
  <c r="E1051" s="1"/>
  <c r="A1029"/>
  <c r="G1028"/>
  <c r="F1028"/>
  <c r="H1050" s="1"/>
  <c r="E1028"/>
  <c r="I1050" s="1"/>
  <c r="D1028"/>
  <c r="E1050" s="1"/>
  <c r="A1028"/>
  <c r="G1027"/>
  <c r="F1027"/>
  <c r="H1049" s="1"/>
  <c r="E1027"/>
  <c r="I1049" s="1"/>
  <c r="D1027"/>
  <c r="E1049" s="1"/>
  <c r="A1027"/>
  <c r="G1026"/>
  <c r="F1026"/>
  <c r="H1048" s="1"/>
  <c r="E1026"/>
  <c r="I1048" s="1"/>
  <c r="D1026"/>
  <c r="E1048" s="1"/>
  <c r="A1026"/>
  <c r="G1025"/>
  <c r="F1025"/>
  <c r="H1047" s="1"/>
  <c r="E1025"/>
  <c r="I1047" s="1"/>
  <c r="D1025"/>
  <c r="E1047" s="1"/>
  <c r="A1025"/>
  <c r="G1024"/>
  <c r="F1024"/>
  <c r="H1046" s="1"/>
  <c r="E1024"/>
  <c r="I1046" s="1"/>
  <c r="D1024"/>
  <c r="E1046" s="1"/>
  <c r="A1024"/>
  <c r="G1023"/>
  <c r="F1023"/>
  <c r="H1045" s="1"/>
  <c r="E1023"/>
  <c r="I1045" s="1"/>
  <c r="D1023"/>
  <c r="E1045" s="1"/>
  <c r="A1023"/>
  <c r="G1022"/>
  <c r="F1022"/>
  <c r="H1044" s="1"/>
  <c r="E1022"/>
  <c r="I1044" s="1"/>
  <c r="D1022"/>
  <c r="E1044" s="1"/>
  <c r="A1022"/>
  <c r="G1021"/>
  <c r="F1021"/>
  <c r="H1043" s="1"/>
  <c r="E1021"/>
  <c r="I1043" s="1"/>
  <c r="D1021"/>
  <c r="E1043" s="1"/>
  <c r="A1021"/>
  <c r="G1020"/>
  <c r="F1020"/>
  <c r="H1042" s="1"/>
  <c r="E1020"/>
  <c r="I1042" s="1"/>
  <c r="D1020"/>
  <c r="E1042" s="1"/>
  <c r="A1020"/>
  <c r="G1019"/>
  <c r="F1019"/>
  <c r="H1053" s="1"/>
  <c r="E1019"/>
  <c r="I1053" s="1"/>
  <c r="D1019"/>
  <c r="A1019"/>
  <c r="G1018"/>
  <c r="D1056" s="1"/>
  <c r="F1018"/>
  <c r="H1056" s="1"/>
  <c r="E1018"/>
  <c r="I1056" s="1"/>
  <c r="D1018"/>
  <c r="A1018"/>
  <c r="G1017"/>
  <c r="D1055" s="1"/>
  <c r="F1017"/>
  <c r="H1055" s="1"/>
  <c r="E1017"/>
  <c r="I1055" s="1"/>
  <c r="D1017"/>
  <c r="A1017"/>
  <c r="G1016"/>
  <c r="F1016"/>
  <c r="H1041" s="1"/>
  <c r="E1016"/>
  <c r="I1041" s="1"/>
  <c r="D1016"/>
  <c r="E1041" s="1"/>
  <c r="A1016"/>
  <c r="C1010"/>
  <c r="C1009"/>
  <c r="C1007"/>
  <c r="C1005"/>
  <c r="C1004"/>
  <c r="C1003"/>
  <c r="C1002"/>
  <c r="C1001"/>
  <c r="C1000"/>
  <c r="C999"/>
  <c r="C998"/>
  <c r="C997"/>
  <c r="C996"/>
  <c r="A996"/>
  <c r="A997" s="1"/>
  <c r="A998" s="1"/>
  <c r="A999" s="1"/>
  <c r="A1000" s="1"/>
  <c r="A1001" s="1"/>
  <c r="C995"/>
  <c r="O984"/>
  <c r="N984"/>
  <c r="M984"/>
  <c r="L984"/>
  <c r="H984"/>
  <c r="C984"/>
  <c r="A987" s="1"/>
  <c r="G983"/>
  <c r="F983"/>
  <c r="H1005" s="1"/>
  <c r="E983"/>
  <c r="I1005" s="1"/>
  <c r="D983"/>
  <c r="E1005" s="1"/>
  <c r="A983"/>
  <c r="G982"/>
  <c r="F982"/>
  <c r="H1004" s="1"/>
  <c r="E982"/>
  <c r="I1004" s="1"/>
  <c r="D982"/>
  <c r="E1004" s="1"/>
  <c r="A982"/>
  <c r="G981"/>
  <c r="F981"/>
  <c r="H1003" s="1"/>
  <c r="E981"/>
  <c r="I1003" s="1"/>
  <c r="D981"/>
  <c r="E1003" s="1"/>
  <c r="A981"/>
  <c r="G980"/>
  <c r="F980"/>
  <c r="H1002" s="1"/>
  <c r="E980"/>
  <c r="I1002" s="1"/>
  <c r="D980"/>
  <c r="E1002" s="1"/>
  <c r="A980"/>
  <c r="G979"/>
  <c r="F979"/>
  <c r="H1001" s="1"/>
  <c r="E979"/>
  <c r="I1001" s="1"/>
  <c r="D979"/>
  <c r="E1001" s="1"/>
  <c r="A979"/>
  <c r="G978"/>
  <c r="F978"/>
  <c r="H1000" s="1"/>
  <c r="E978"/>
  <c r="I1000" s="1"/>
  <c r="D978"/>
  <c r="E1000" s="1"/>
  <c r="A978"/>
  <c r="G977"/>
  <c r="F977"/>
  <c r="H999" s="1"/>
  <c r="E977"/>
  <c r="I999" s="1"/>
  <c r="D977"/>
  <c r="E999" s="1"/>
  <c r="A977"/>
  <c r="G976"/>
  <c r="F976"/>
  <c r="H998" s="1"/>
  <c r="E976"/>
  <c r="I998" s="1"/>
  <c r="D976"/>
  <c r="E998" s="1"/>
  <c r="A976"/>
  <c r="G975"/>
  <c r="F975"/>
  <c r="H997" s="1"/>
  <c r="E975"/>
  <c r="I997" s="1"/>
  <c r="D975"/>
  <c r="E997" s="1"/>
  <c r="A975"/>
  <c r="G974"/>
  <c r="F974"/>
  <c r="H996" s="1"/>
  <c r="E974"/>
  <c r="I996" s="1"/>
  <c r="D974"/>
  <c r="E996" s="1"/>
  <c r="A974"/>
  <c r="G973"/>
  <c r="F973"/>
  <c r="H1007" s="1"/>
  <c r="E973"/>
  <c r="I1007" s="1"/>
  <c r="D973"/>
  <c r="A973"/>
  <c r="G972"/>
  <c r="D1010" s="1"/>
  <c r="F972"/>
  <c r="H1010" s="1"/>
  <c r="E972"/>
  <c r="I1010" s="1"/>
  <c r="D972"/>
  <c r="A972"/>
  <c r="G971"/>
  <c r="D1009" s="1"/>
  <c r="F971"/>
  <c r="H1009" s="1"/>
  <c r="E971"/>
  <c r="I1009" s="1"/>
  <c r="D971"/>
  <c r="A971"/>
  <c r="G970"/>
  <c r="F970"/>
  <c r="H995" s="1"/>
  <c r="E970"/>
  <c r="I995" s="1"/>
  <c r="D970"/>
  <c r="E995" s="1"/>
  <c r="A970"/>
  <c r="C963"/>
  <c r="C962"/>
  <c r="C960"/>
  <c r="C958"/>
  <c r="C957"/>
  <c r="C956"/>
  <c r="C955"/>
  <c r="C954"/>
  <c r="C953"/>
  <c r="C952"/>
  <c r="C951"/>
  <c r="C950"/>
  <c r="C949"/>
  <c r="C948"/>
  <c r="A948"/>
  <c r="A949" s="1"/>
  <c r="A950" s="1"/>
  <c r="A951" s="1"/>
  <c r="A952" s="1"/>
  <c r="A953" s="1"/>
  <c r="C947"/>
  <c r="O936"/>
  <c r="N936"/>
  <c r="M936"/>
  <c r="L936"/>
  <c r="H936"/>
  <c r="C936"/>
  <c r="A939" s="1"/>
  <c r="G935"/>
  <c r="F935"/>
  <c r="H958" s="1"/>
  <c r="E935"/>
  <c r="I958" s="1"/>
  <c r="D935"/>
  <c r="E958" s="1"/>
  <c r="A935"/>
  <c r="G934"/>
  <c r="F934"/>
  <c r="H957" s="1"/>
  <c r="E934"/>
  <c r="I957" s="1"/>
  <c r="D934"/>
  <c r="I934" s="1"/>
  <c r="J934" s="1"/>
  <c r="A934"/>
  <c r="G933"/>
  <c r="F933"/>
  <c r="H956" s="1"/>
  <c r="E933"/>
  <c r="I956" s="1"/>
  <c r="D933"/>
  <c r="E956" s="1"/>
  <c r="A933"/>
  <c r="G932"/>
  <c r="F932"/>
  <c r="H955" s="1"/>
  <c r="E932"/>
  <c r="I955" s="1"/>
  <c r="D932"/>
  <c r="A932"/>
  <c r="G931"/>
  <c r="F931"/>
  <c r="H954" s="1"/>
  <c r="E931"/>
  <c r="I954" s="1"/>
  <c r="D931"/>
  <c r="E954" s="1"/>
  <c r="A931"/>
  <c r="G930"/>
  <c r="F930"/>
  <c r="H953" s="1"/>
  <c r="E930"/>
  <c r="I953" s="1"/>
  <c r="D930"/>
  <c r="I930" s="1"/>
  <c r="J930" s="1"/>
  <c r="A930"/>
  <c r="G929"/>
  <c r="F929"/>
  <c r="H952" s="1"/>
  <c r="E929"/>
  <c r="I952" s="1"/>
  <c r="D929"/>
  <c r="E952" s="1"/>
  <c r="A929"/>
  <c r="G928"/>
  <c r="F928"/>
  <c r="H951" s="1"/>
  <c r="E928"/>
  <c r="I951" s="1"/>
  <c r="D928"/>
  <c r="A928"/>
  <c r="G927"/>
  <c r="F927"/>
  <c r="H950" s="1"/>
  <c r="E927"/>
  <c r="I950" s="1"/>
  <c r="D927"/>
  <c r="E950" s="1"/>
  <c r="A927"/>
  <c r="G926"/>
  <c r="F926"/>
  <c r="H949" s="1"/>
  <c r="E926"/>
  <c r="I949" s="1"/>
  <c r="D926"/>
  <c r="I926" s="1"/>
  <c r="J926" s="1"/>
  <c r="A926"/>
  <c r="G925"/>
  <c r="F925"/>
  <c r="H948" s="1"/>
  <c r="E925"/>
  <c r="I948" s="1"/>
  <c r="D925"/>
  <c r="E948" s="1"/>
  <c r="A925"/>
  <c r="G924"/>
  <c r="F924"/>
  <c r="H947" s="1"/>
  <c r="E924"/>
  <c r="I947" s="1"/>
  <c r="D924"/>
  <c r="A924"/>
  <c r="G923"/>
  <c r="F923"/>
  <c r="H960" s="1"/>
  <c r="E923"/>
  <c r="I960" s="1"/>
  <c r="D923"/>
  <c r="E960" s="1"/>
  <c r="A923"/>
  <c r="G922"/>
  <c r="D963" s="1"/>
  <c r="F922"/>
  <c r="H963" s="1"/>
  <c r="E922"/>
  <c r="I963" s="1"/>
  <c r="D922"/>
  <c r="I922" s="1"/>
  <c r="J922" s="1"/>
  <c r="A922"/>
  <c r="G921"/>
  <c r="D962" s="1"/>
  <c r="F921"/>
  <c r="E921"/>
  <c r="I962" s="1"/>
  <c r="D921"/>
  <c r="A921"/>
  <c r="C915"/>
  <c r="C914"/>
  <c r="C912"/>
  <c r="C910"/>
  <c r="C909"/>
  <c r="C908"/>
  <c r="C907"/>
  <c r="C906"/>
  <c r="C905"/>
  <c r="C904"/>
  <c r="C903"/>
  <c r="C902"/>
  <c r="C901"/>
  <c r="C900"/>
  <c r="A900"/>
  <c r="A901" s="1"/>
  <c r="A902" s="1"/>
  <c r="A903" s="1"/>
  <c r="A904" s="1"/>
  <c r="A905" s="1"/>
  <c r="C899"/>
  <c r="O888"/>
  <c r="N888"/>
  <c r="M888"/>
  <c r="L888"/>
  <c r="H888"/>
  <c r="C888"/>
  <c r="A891" s="1"/>
  <c r="G887"/>
  <c r="F887"/>
  <c r="H910" s="1"/>
  <c r="E887"/>
  <c r="I910" s="1"/>
  <c r="D887"/>
  <c r="E910" s="1"/>
  <c r="A887"/>
  <c r="G886"/>
  <c r="F886"/>
  <c r="H909" s="1"/>
  <c r="E886"/>
  <c r="I909" s="1"/>
  <c r="D886"/>
  <c r="A886"/>
  <c r="G885"/>
  <c r="F885"/>
  <c r="H908" s="1"/>
  <c r="E885"/>
  <c r="I908" s="1"/>
  <c r="D885"/>
  <c r="E908" s="1"/>
  <c r="A885"/>
  <c r="G884"/>
  <c r="F884"/>
  <c r="H907" s="1"/>
  <c r="E884"/>
  <c r="I907" s="1"/>
  <c r="D884"/>
  <c r="A884"/>
  <c r="G883"/>
  <c r="F883"/>
  <c r="H906" s="1"/>
  <c r="E883"/>
  <c r="I906" s="1"/>
  <c r="D883"/>
  <c r="E906" s="1"/>
  <c r="A883"/>
  <c r="G882"/>
  <c r="F882"/>
  <c r="H905" s="1"/>
  <c r="E882"/>
  <c r="I905" s="1"/>
  <c r="D882"/>
  <c r="A882"/>
  <c r="G881"/>
  <c r="F881"/>
  <c r="H904" s="1"/>
  <c r="E881"/>
  <c r="I904" s="1"/>
  <c r="D881"/>
  <c r="E904" s="1"/>
  <c r="A881"/>
  <c r="G880"/>
  <c r="F880"/>
  <c r="H903" s="1"/>
  <c r="E880"/>
  <c r="I903" s="1"/>
  <c r="D880"/>
  <c r="A880"/>
  <c r="G879"/>
  <c r="F879"/>
  <c r="H902" s="1"/>
  <c r="E879"/>
  <c r="I902" s="1"/>
  <c r="D879"/>
  <c r="E902" s="1"/>
  <c r="A879"/>
  <c r="G878"/>
  <c r="F878"/>
  <c r="H901" s="1"/>
  <c r="E878"/>
  <c r="I901" s="1"/>
  <c r="D878"/>
  <c r="A878"/>
  <c r="G877"/>
  <c r="F877"/>
  <c r="H900" s="1"/>
  <c r="E877"/>
  <c r="I900" s="1"/>
  <c r="D877"/>
  <c r="E900" s="1"/>
  <c r="A877"/>
  <c r="G876"/>
  <c r="F876"/>
  <c r="H899" s="1"/>
  <c r="E876"/>
  <c r="I899" s="1"/>
  <c r="D876"/>
  <c r="A876"/>
  <c r="G875"/>
  <c r="F875"/>
  <c r="H912" s="1"/>
  <c r="E875"/>
  <c r="I912" s="1"/>
  <c r="D875"/>
  <c r="E912" s="1"/>
  <c r="A875"/>
  <c r="G874"/>
  <c r="D915" s="1"/>
  <c r="F874"/>
  <c r="H915" s="1"/>
  <c r="E874"/>
  <c r="I915" s="1"/>
  <c r="D874"/>
  <c r="A874"/>
  <c r="G873"/>
  <c r="D914" s="1"/>
  <c r="F873"/>
  <c r="F888" s="1"/>
  <c r="E873"/>
  <c r="I914" s="1"/>
  <c r="D873"/>
  <c r="A873"/>
  <c r="C868"/>
  <c r="C867"/>
  <c r="C865"/>
  <c r="C863"/>
  <c r="C862"/>
  <c r="C861"/>
  <c r="C860"/>
  <c r="C859"/>
  <c r="C858"/>
  <c r="C857"/>
  <c r="C856"/>
  <c r="C855"/>
  <c r="C854"/>
  <c r="C853"/>
  <c r="C852"/>
  <c r="A852"/>
  <c r="A853" s="1"/>
  <c r="A854" s="1"/>
  <c r="A855" s="1"/>
  <c r="A856" s="1"/>
  <c r="A857" s="1"/>
  <c r="C851"/>
  <c r="C869" s="1"/>
  <c r="O840"/>
  <c r="N840"/>
  <c r="M840"/>
  <c r="L840"/>
  <c r="H840"/>
  <c r="C840"/>
  <c r="A843" s="1"/>
  <c r="G839"/>
  <c r="F839"/>
  <c r="H863" s="1"/>
  <c r="E839"/>
  <c r="I863" s="1"/>
  <c r="D839"/>
  <c r="E863" s="1"/>
  <c r="A839"/>
  <c r="G838"/>
  <c r="F838"/>
  <c r="H862" s="1"/>
  <c r="E838"/>
  <c r="I862" s="1"/>
  <c r="D838"/>
  <c r="E862" s="1"/>
  <c r="A838"/>
  <c r="G837"/>
  <c r="F837"/>
  <c r="H861" s="1"/>
  <c r="E837"/>
  <c r="I861" s="1"/>
  <c r="D837"/>
  <c r="E861" s="1"/>
  <c r="A837"/>
  <c r="G836"/>
  <c r="F836"/>
  <c r="H860" s="1"/>
  <c r="E836"/>
  <c r="I860" s="1"/>
  <c r="D836"/>
  <c r="E860" s="1"/>
  <c r="A836"/>
  <c r="G835"/>
  <c r="F835"/>
  <c r="H859" s="1"/>
  <c r="E835"/>
  <c r="I859" s="1"/>
  <c r="D835"/>
  <c r="E859" s="1"/>
  <c r="A835"/>
  <c r="G834"/>
  <c r="F834"/>
  <c r="H858" s="1"/>
  <c r="E834"/>
  <c r="I858" s="1"/>
  <c r="D834"/>
  <c r="E858" s="1"/>
  <c r="A834"/>
  <c r="G833"/>
  <c r="F833"/>
  <c r="H857" s="1"/>
  <c r="E833"/>
  <c r="I857" s="1"/>
  <c r="D833"/>
  <c r="E857" s="1"/>
  <c r="A833"/>
  <c r="G832"/>
  <c r="F832"/>
  <c r="H856" s="1"/>
  <c r="E832"/>
  <c r="I856" s="1"/>
  <c r="D832"/>
  <c r="E856" s="1"/>
  <c r="A832"/>
  <c r="G831"/>
  <c r="F831"/>
  <c r="H855" s="1"/>
  <c r="E831"/>
  <c r="I855" s="1"/>
  <c r="D831"/>
  <c r="E855" s="1"/>
  <c r="A831"/>
  <c r="G830"/>
  <c r="F830"/>
  <c r="H854" s="1"/>
  <c r="E830"/>
  <c r="I854" s="1"/>
  <c r="D830"/>
  <c r="E854" s="1"/>
  <c r="A830"/>
  <c r="G829"/>
  <c r="F829"/>
  <c r="H853" s="1"/>
  <c r="E829"/>
  <c r="I853" s="1"/>
  <c r="D829"/>
  <c r="E853" s="1"/>
  <c r="A829"/>
  <c r="G828"/>
  <c r="F828"/>
  <c r="H852" s="1"/>
  <c r="E828"/>
  <c r="I852" s="1"/>
  <c r="D828"/>
  <c r="E852" s="1"/>
  <c r="A828"/>
  <c r="G827"/>
  <c r="F827"/>
  <c r="H851" s="1"/>
  <c r="E827"/>
  <c r="I851" s="1"/>
  <c r="D827"/>
  <c r="E851" s="1"/>
  <c r="A827"/>
  <c r="G826"/>
  <c r="F826"/>
  <c r="H865" s="1"/>
  <c r="E826"/>
  <c r="I865" s="1"/>
  <c r="D826"/>
  <c r="E865" s="1"/>
  <c r="A826"/>
  <c r="G825"/>
  <c r="D868" s="1"/>
  <c r="F825"/>
  <c r="H868" s="1"/>
  <c r="E825"/>
  <c r="I868" s="1"/>
  <c r="D825"/>
  <c r="I825" s="1"/>
  <c r="J825" s="1"/>
  <c r="A825"/>
  <c r="G824"/>
  <c r="F824"/>
  <c r="E824"/>
  <c r="D824"/>
  <c r="A824"/>
  <c r="C819"/>
  <c r="C818"/>
  <c r="C816"/>
  <c r="C814"/>
  <c r="C813"/>
  <c r="C812"/>
  <c r="C811"/>
  <c r="C810"/>
  <c r="C809"/>
  <c r="C808"/>
  <c r="C807"/>
  <c r="C806"/>
  <c r="A806"/>
  <c r="A807" s="1"/>
  <c r="A808" s="1"/>
  <c r="A809" s="1"/>
  <c r="C805"/>
  <c r="A805"/>
  <c r="C804"/>
  <c r="O793"/>
  <c r="N793"/>
  <c r="M793"/>
  <c r="L793"/>
  <c r="H793"/>
  <c r="C793"/>
  <c r="A796" s="1"/>
  <c r="G792"/>
  <c r="F792"/>
  <c r="H814" s="1"/>
  <c r="E792"/>
  <c r="I814" s="1"/>
  <c r="D792"/>
  <c r="E814" s="1"/>
  <c r="A792"/>
  <c r="G791"/>
  <c r="F791"/>
  <c r="H813" s="1"/>
  <c r="E791"/>
  <c r="I813" s="1"/>
  <c r="D791"/>
  <c r="E813" s="1"/>
  <c r="A791"/>
  <c r="G790"/>
  <c r="F790"/>
  <c r="H812" s="1"/>
  <c r="E790"/>
  <c r="I812" s="1"/>
  <c r="D790"/>
  <c r="E812" s="1"/>
  <c r="A790"/>
  <c r="G789"/>
  <c r="F789"/>
  <c r="H811" s="1"/>
  <c r="E789"/>
  <c r="I811" s="1"/>
  <c r="D789"/>
  <c r="E811" s="1"/>
  <c r="A789"/>
  <c r="G788"/>
  <c r="F788"/>
  <c r="H810" s="1"/>
  <c r="E788"/>
  <c r="I810" s="1"/>
  <c r="D788"/>
  <c r="E810" s="1"/>
  <c r="A788"/>
  <c r="G787"/>
  <c r="F787"/>
  <c r="H809" s="1"/>
  <c r="E787"/>
  <c r="I809" s="1"/>
  <c r="D787"/>
  <c r="E809" s="1"/>
  <c r="A787"/>
  <c r="G786"/>
  <c r="F786"/>
  <c r="H808" s="1"/>
  <c r="E786"/>
  <c r="I808" s="1"/>
  <c r="D786"/>
  <c r="E808" s="1"/>
  <c r="A786"/>
  <c r="G785"/>
  <c r="F785"/>
  <c r="H807" s="1"/>
  <c r="E785"/>
  <c r="I807" s="1"/>
  <c r="D785"/>
  <c r="E807" s="1"/>
  <c r="A785"/>
  <c r="G784"/>
  <c r="F784"/>
  <c r="H806" s="1"/>
  <c r="E784"/>
  <c r="I806" s="1"/>
  <c r="D784"/>
  <c r="E806" s="1"/>
  <c r="A784"/>
  <c r="G783"/>
  <c r="F783"/>
  <c r="H805" s="1"/>
  <c r="E783"/>
  <c r="I805" s="1"/>
  <c r="D783"/>
  <c r="E805" s="1"/>
  <c r="A783"/>
  <c r="G782"/>
  <c r="F782"/>
  <c r="H804" s="1"/>
  <c r="E782"/>
  <c r="I804" s="1"/>
  <c r="D782"/>
  <c r="E804" s="1"/>
  <c r="A782"/>
  <c r="G781"/>
  <c r="F781"/>
  <c r="H816" s="1"/>
  <c r="E781"/>
  <c r="I816" s="1"/>
  <c r="D781"/>
  <c r="E816" s="1"/>
  <c r="A781"/>
  <c r="G780"/>
  <c r="D819" s="1"/>
  <c r="F780"/>
  <c r="H819" s="1"/>
  <c r="E780"/>
  <c r="I819" s="1"/>
  <c r="D780"/>
  <c r="I780" s="1"/>
  <c r="J780" s="1"/>
  <c r="A780"/>
  <c r="G779"/>
  <c r="D818" s="1"/>
  <c r="F779"/>
  <c r="H818" s="1"/>
  <c r="E779"/>
  <c r="I818" s="1"/>
  <c r="D779"/>
  <c r="A779"/>
  <c r="C773"/>
  <c r="C772"/>
  <c r="C770"/>
  <c r="C768"/>
  <c r="C767"/>
  <c r="C766"/>
  <c r="C765"/>
  <c r="C764"/>
  <c r="C763"/>
  <c r="C762"/>
  <c r="C761"/>
  <c r="C760"/>
  <c r="A760"/>
  <c r="A761" s="1"/>
  <c r="A762" s="1"/>
  <c r="A763" s="1"/>
  <c r="C759"/>
  <c r="A759"/>
  <c r="C758"/>
  <c r="O747"/>
  <c r="N747"/>
  <c r="M747"/>
  <c r="L747"/>
  <c r="H747"/>
  <c r="C747"/>
  <c r="A750" s="1"/>
  <c r="G746"/>
  <c r="F746"/>
  <c r="H768" s="1"/>
  <c r="E746"/>
  <c r="I768" s="1"/>
  <c r="D746"/>
  <c r="E768" s="1"/>
  <c r="A746"/>
  <c r="G745"/>
  <c r="F745"/>
  <c r="H767" s="1"/>
  <c r="E745"/>
  <c r="I767" s="1"/>
  <c r="D745"/>
  <c r="E767" s="1"/>
  <c r="A745"/>
  <c r="G744"/>
  <c r="F744"/>
  <c r="H766" s="1"/>
  <c r="E744"/>
  <c r="I766" s="1"/>
  <c r="D744"/>
  <c r="E766" s="1"/>
  <c r="A744"/>
  <c r="G743"/>
  <c r="F743"/>
  <c r="H765" s="1"/>
  <c r="E743"/>
  <c r="I765" s="1"/>
  <c r="D743"/>
  <c r="E765" s="1"/>
  <c r="A743"/>
  <c r="G742"/>
  <c r="F742"/>
  <c r="H764" s="1"/>
  <c r="E742"/>
  <c r="I764" s="1"/>
  <c r="D742"/>
  <c r="E764" s="1"/>
  <c r="A742"/>
  <c r="G741"/>
  <c r="F741"/>
  <c r="H763" s="1"/>
  <c r="E741"/>
  <c r="I763" s="1"/>
  <c r="D741"/>
  <c r="E763" s="1"/>
  <c r="A741"/>
  <c r="G740"/>
  <c r="F740"/>
  <c r="H762" s="1"/>
  <c r="E740"/>
  <c r="I762" s="1"/>
  <c r="D740"/>
  <c r="E762" s="1"/>
  <c r="A740"/>
  <c r="G739"/>
  <c r="F739"/>
  <c r="H761" s="1"/>
  <c r="E739"/>
  <c r="I761" s="1"/>
  <c r="D739"/>
  <c r="E761" s="1"/>
  <c r="A739"/>
  <c r="G738"/>
  <c r="F738"/>
  <c r="H760" s="1"/>
  <c r="E738"/>
  <c r="I760" s="1"/>
  <c r="D738"/>
  <c r="E760" s="1"/>
  <c r="A738"/>
  <c r="G737"/>
  <c r="F737"/>
  <c r="H759" s="1"/>
  <c r="E737"/>
  <c r="I759" s="1"/>
  <c r="D737"/>
  <c r="E759" s="1"/>
  <c r="A737"/>
  <c r="G736"/>
  <c r="F736"/>
  <c r="H758" s="1"/>
  <c r="E736"/>
  <c r="I758" s="1"/>
  <c r="D736"/>
  <c r="E758" s="1"/>
  <c r="A736"/>
  <c r="G735"/>
  <c r="F735"/>
  <c r="H770" s="1"/>
  <c r="E735"/>
  <c r="I770" s="1"/>
  <c r="D735"/>
  <c r="E770" s="1"/>
  <c r="A735"/>
  <c r="G734"/>
  <c r="D773" s="1"/>
  <c r="F734"/>
  <c r="H773" s="1"/>
  <c r="E734"/>
  <c r="I773" s="1"/>
  <c r="D734"/>
  <c r="I734" s="1"/>
  <c r="J734" s="1"/>
  <c r="A734"/>
  <c r="G733"/>
  <c r="D772" s="1"/>
  <c r="F733"/>
  <c r="H772" s="1"/>
  <c r="E733"/>
  <c r="I772" s="1"/>
  <c r="D733"/>
  <c r="A733"/>
  <c r="C728"/>
  <c r="C727"/>
  <c r="C725"/>
  <c r="C723"/>
  <c r="C722"/>
  <c r="C721"/>
  <c r="C720"/>
  <c r="C719"/>
  <c r="C718"/>
  <c r="C717"/>
  <c r="C716"/>
  <c r="C715"/>
  <c r="A715"/>
  <c r="A716" s="1"/>
  <c r="A717" s="1"/>
  <c r="A718" s="1"/>
  <c r="A719" s="1"/>
  <c r="C714"/>
  <c r="C729" s="1"/>
  <c r="O703"/>
  <c r="N703"/>
  <c r="M703"/>
  <c r="L703"/>
  <c r="H703"/>
  <c r="C703"/>
  <c r="A706" s="1"/>
  <c r="G702"/>
  <c r="F702"/>
  <c r="H723" s="1"/>
  <c r="E702"/>
  <c r="I723" s="1"/>
  <c r="D702"/>
  <c r="E723" s="1"/>
  <c r="A702"/>
  <c r="G701"/>
  <c r="F701"/>
  <c r="H722" s="1"/>
  <c r="E701"/>
  <c r="I722" s="1"/>
  <c r="D701"/>
  <c r="A701"/>
  <c r="G700"/>
  <c r="F700"/>
  <c r="H721" s="1"/>
  <c r="E700"/>
  <c r="I721" s="1"/>
  <c r="D700"/>
  <c r="E721" s="1"/>
  <c r="A700"/>
  <c r="G699"/>
  <c r="F699"/>
  <c r="H720" s="1"/>
  <c r="E699"/>
  <c r="I720" s="1"/>
  <c r="D699"/>
  <c r="A699"/>
  <c r="G698"/>
  <c r="F698"/>
  <c r="H719" s="1"/>
  <c r="E698"/>
  <c r="I719" s="1"/>
  <c r="D698"/>
  <c r="E719" s="1"/>
  <c r="A698"/>
  <c r="G697"/>
  <c r="F697"/>
  <c r="H718" s="1"/>
  <c r="E697"/>
  <c r="I718" s="1"/>
  <c r="D697"/>
  <c r="A697"/>
  <c r="G696"/>
  <c r="F696"/>
  <c r="H717" s="1"/>
  <c r="E696"/>
  <c r="I717" s="1"/>
  <c r="D696"/>
  <c r="E717" s="1"/>
  <c r="A696"/>
  <c r="G695"/>
  <c r="F695"/>
  <c r="H716" s="1"/>
  <c r="E695"/>
  <c r="I716" s="1"/>
  <c r="D695"/>
  <c r="A695"/>
  <c r="G694"/>
  <c r="F694"/>
  <c r="H715" s="1"/>
  <c r="E694"/>
  <c r="I715" s="1"/>
  <c r="D694"/>
  <c r="E715" s="1"/>
  <c r="A694"/>
  <c r="G693"/>
  <c r="F693"/>
  <c r="H714" s="1"/>
  <c r="E693"/>
  <c r="I714" s="1"/>
  <c r="D693"/>
  <c r="A693"/>
  <c r="G692"/>
  <c r="F692"/>
  <c r="H725" s="1"/>
  <c r="E692"/>
  <c r="I725" s="1"/>
  <c r="D692"/>
  <c r="E725" s="1"/>
  <c r="A692"/>
  <c r="G691"/>
  <c r="D728" s="1"/>
  <c r="F691"/>
  <c r="H728" s="1"/>
  <c r="E691"/>
  <c r="I728" s="1"/>
  <c r="D691"/>
  <c r="A691"/>
  <c r="G690"/>
  <c r="D727" s="1"/>
  <c r="F690"/>
  <c r="F703" s="1"/>
  <c r="E690"/>
  <c r="I727" s="1"/>
  <c r="D690"/>
  <c r="A690"/>
  <c r="C684"/>
  <c r="C683"/>
  <c r="C681"/>
  <c r="C679"/>
  <c r="C678"/>
  <c r="C677"/>
  <c r="C676"/>
  <c r="C675"/>
  <c r="C674"/>
  <c r="C673"/>
  <c r="C672"/>
  <c r="C671"/>
  <c r="A671"/>
  <c r="A672" s="1"/>
  <c r="A673" s="1"/>
  <c r="A674" s="1"/>
  <c r="A675" s="1"/>
  <c r="C670"/>
  <c r="O659"/>
  <c r="M659"/>
  <c r="L659"/>
  <c r="C659"/>
  <c r="A662" s="1"/>
  <c r="G658"/>
  <c r="F658"/>
  <c r="H679" s="1"/>
  <c r="E658"/>
  <c r="I679" s="1"/>
  <c r="D658"/>
  <c r="E679" s="1"/>
  <c r="A658"/>
  <c r="G657"/>
  <c r="F657"/>
  <c r="H678" s="1"/>
  <c r="E657"/>
  <c r="I678" s="1"/>
  <c r="D657"/>
  <c r="E678" s="1"/>
  <c r="A657"/>
  <c r="G656"/>
  <c r="F656"/>
  <c r="H677" s="1"/>
  <c r="E656"/>
  <c r="I677" s="1"/>
  <c r="D656"/>
  <c r="E677" s="1"/>
  <c r="A656"/>
  <c r="N655"/>
  <c r="N659" s="1"/>
  <c r="H655"/>
  <c r="G655"/>
  <c r="F655"/>
  <c r="H676" s="1"/>
  <c r="E655"/>
  <c r="I676" s="1"/>
  <c r="D655"/>
  <c r="A655"/>
  <c r="H654"/>
  <c r="H659" s="1"/>
  <c r="G654"/>
  <c r="F654"/>
  <c r="H675" s="1"/>
  <c r="E654"/>
  <c r="I675" s="1"/>
  <c r="D654"/>
  <c r="E675" s="1"/>
  <c r="A654"/>
  <c r="G653"/>
  <c r="F653"/>
  <c r="H674" s="1"/>
  <c r="E653"/>
  <c r="I674" s="1"/>
  <c r="D653"/>
  <c r="A653"/>
  <c r="G652"/>
  <c r="F652"/>
  <c r="H673" s="1"/>
  <c r="E652"/>
  <c r="I673" s="1"/>
  <c r="D652"/>
  <c r="E673" s="1"/>
  <c r="A652"/>
  <c r="G651"/>
  <c r="F651"/>
  <c r="H672" s="1"/>
  <c r="E651"/>
  <c r="I672" s="1"/>
  <c r="D651"/>
  <c r="A651"/>
  <c r="G650"/>
  <c r="F650"/>
  <c r="H671" s="1"/>
  <c r="E650"/>
  <c r="I671" s="1"/>
  <c r="D650"/>
  <c r="E671" s="1"/>
  <c r="A650"/>
  <c r="G649"/>
  <c r="F649"/>
  <c r="H670" s="1"/>
  <c r="E649"/>
  <c r="I670" s="1"/>
  <c r="D649"/>
  <c r="A649"/>
  <c r="G648"/>
  <c r="F648"/>
  <c r="H681" s="1"/>
  <c r="E648"/>
  <c r="I681" s="1"/>
  <c r="D648"/>
  <c r="E681" s="1"/>
  <c r="A648"/>
  <c r="G647"/>
  <c r="D684" s="1"/>
  <c r="F647"/>
  <c r="H684" s="1"/>
  <c r="E647"/>
  <c r="I684" s="1"/>
  <c r="D647"/>
  <c r="A647"/>
  <c r="G646"/>
  <c r="D683" s="1"/>
  <c r="F646"/>
  <c r="H683" s="1"/>
  <c r="E646"/>
  <c r="I683" s="1"/>
  <c r="D646"/>
  <c r="D659" s="1"/>
  <c r="A646"/>
  <c r="C639"/>
  <c r="C638"/>
  <c r="C636"/>
  <c r="C634"/>
  <c r="C633"/>
  <c r="C632"/>
  <c r="C631"/>
  <c r="C630"/>
  <c r="C629"/>
  <c r="C628"/>
  <c r="C627"/>
  <c r="C626"/>
  <c r="C625"/>
  <c r="A625"/>
  <c r="A626" s="1"/>
  <c r="A627" s="1"/>
  <c r="A628" s="1"/>
  <c r="A629" s="1"/>
  <c r="C624"/>
  <c r="C640" s="1"/>
  <c r="O613"/>
  <c r="N613"/>
  <c r="M613"/>
  <c r="L613"/>
  <c r="H613"/>
  <c r="C613"/>
  <c r="A616" s="1"/>
  <c r="G612"/>
  <c r="F612"/>
  <c r="H634" s="1"/>
  <c r="E612"/>
  <c r="I634" s="1"/>
  <c r="D612"/>
  <c r="E634" s="1"/>
  <c r="A612"/>
  <c r="G611"/>
  <c r="F611"/>
  <c r="H633" s="1"/>
  <c r="E611"/>
  <c r="I633" s="1"/>
  <c r="D611"/>
  <c r="E633" s="1"/>
  <c r="A611"/>
  <c r="G610"/>
  <c r="F610"/>
  <c r="H632" s="1"/>
  <c r="E610"/>
  <c r="I632" s="1"/>
  <c r="D610"/>
  <c r="E632" s="1"/>
  <c r="A610"/>
  <c r="G609"/>
  <c r="F609"/>
  <c r="H631" s="1"/>
  <c r="E609"/>
  <c r="I631" s="1"/>
  <c r="D609"/>
  <c r="E631" s="1"/>
  <c r="A609"/>
  <c r="G608"/>
  <c r="F608"/>
  <c r="H630" s="1"/>
  <c r="E608"/>
  <c r="I630" s="1"/>
  <c r="D608"/>
  <c r="E630" s="1"/>
  <c r="A608"/>
  <c r="G607"/>
  <c r="F607"/>
  <c r="H629" s="1"/>
  <c r="E607"/>
  <c r="I629" s="1"/>
  <c r="D607"/>
  <c r="E629" s="1"/>
  <c r="A607"/>
  <c r="G606"/>
  <c r="F606"/>
  <c r="H627" s="1"/>
  <c r="E606"/>
  <c r="I627" s="1"/>
  <c r="D606"/>
  <c r="E627" s="1"/>
  <c r="A606"/>
  <c r="G605"/>
  <c r="F605"/>
  <c r="H626" s="1"/>
  <c r="E605"/>
  <c r="I626" s="1"/>
  <c r="D605"/>
  <c r="E626" s="1"/>
  <c r="A605"/>
  <c r="G604"/>
  <c r="F604"/>
  <c r="H628" s="1"/>
  <c r="E604"/>
  <c r="I628" s="1"/>
  <c r="D604"/>
  <c r="E628" s="1"/>
  <c r="A604"/>
  <c r="G603"/>
  <c r="F603"/>
  <c r="H625" s="1"/>
  <c r="E603"/>
  <c r="I625" s="1"/>
  <c r="D603"/>
  <c r="E625" s="1"/>
  <c r="A603"/>
  <c r="G602"/>
  <c r="F602"/>
  <c r="H624" s="1"/>
  <c r="E602"/>
  <c r="I624" s="1"/>
  <c r="D602"/>
  <c r="I602" s="1"/>
  <c r="J602" s="1"/>
  <c r="A602"/>
  <c r="G601"/>
  <c r="F601"/>
  <c r="H636" s="1"/>
  <c r="E601"/>
  <c r="I636" s="1"/>
  <c r="D601"/>
  <c r="E636" s="1"/>
  <c r="A601"/>
  <c r="G600"/>
  <c r="D639" s="1"/>
  <c r="F600"/>
  <c r="H639" s="1"/>
  <c r="J639" s="1"/>
  <c r="E600"/>
  <c r="I639" s="1"/>
  <c r="D600"/>
  <c r="A600"/>
  <c r="G599"/>
  <c r="D638" s="1"/>
  <c r="F599"/>
  <c r="H638" s="1"/>
  <c r="E599"/>
  <c r="I638" s="1"/>
  <c r="D599"/>
  <c r="A599"/>
  <c r="C592"/>
  <c r="C591"/>
  <c r="C589"/>
  <c r="C587"/>
  <c r="C586"/>
  <c r="E585"/>
  <c r="C585"/>
  <c r="C584"/>
  <c r="C583"/>
  <c r="C582"/>
  <c r="C581"/>
  <c r="C580"/>
  <c r="C579"/>
  <c r="A579"/>
  <c r="A580" s="1"/>
  <c r="A581" s="1"/>
  <c r="A582" s="1"/>
  <c r="A583" s="1"/>
  <c r="A584" s="1"/>
  <c r="A585" s="1"/>
  <c r="A586" s="1"/>
  <c r="A587" s="1"/>
  <c r="A589" s="1"/>
  <c r="A591" s="1"/>
  <c r="A592" s="1"/>
  <c r="C578"/>
  <c r="A578"/>
  <c r="E577"/>
  <c r="C577"/>
  <c r="O566"/>
  <c r="N566"/>
  <c r="M566"/>
  <c r="L566"/>
  <c r="H566"/>
  <c r="C566"/>
  <c r="A569" s="1"/>
  <c r="G565"/>
  <c r="F565"/>
  <c r="H587" s="1"/>
  <c r="E565"/>
  <c r="I587" s="1"/>
  <c r="D565"/>
  <c r="A565"/>
  <c r="G564"/>
  <c r="F564"/>
  <c r="H586" s="1"/>
  <c r="E564"/>
  <c r="I586" s="1"/>
  <c r="D564"/>
  <c r="A564"/>
  <c r="G563"/>
  <c r="F563"/>
  <c r="H585" s="1"/>
  <c r="E563"/>
  <c r="I585" s="1"/>
  <c r="D563"/>
  <c r="A563"/>
  <c r="G562"/>
  <c r="F562"/>
  <c r="H584" s="1"/>
  <c r="E562"/>
  <c r="I584" s="1"/>
  <c r="D562"/>
  <c r="A562"/>
  <c r="G561"/>
  <c r="F561"/>
  <c r="H583" s="1"/>
  <c r="E561"/>
  <c r="I583" s="1"/>
  <c r="D561"/>
  <c r="I561" s="1"/>
  <c r="J561" s="1"/>
  <c r="A561"/>
  <c r="G560"/>
  <c r="F560"/>
  <c r="H582" s="1"/>
  <c r="E560"/>
  <c r="I582" s="1"/>
  <c r="D560"/>
  <c r="A560"/>
  <c r="G559"/>
  <c r="F559"/>
  <c r="H581" s="1"/>
  <c r="E559"/>
  <c r="I581" s="1"/>
  <c r="D559"/>
  <c r="A559"/>
  <c r="G558"/>
  <c r="F558"/>
  <c r="H580" s="1"/>
  <c r="E558"/>
  <c r="I580" s="1"/>
  <c r="D558"/>
  <c r="A558"/>
  <c r="G557"/>
  <c r="F557"/>
  <c r="H579" s="1"/>
  <c r="E557"/>
  <c r="I579" s="1"/>
  <c r="D557"/>
  <c r="A557"/>
  <c r="G556"/>
  <c r="F556"/>
  <c r="H578" s="1"/>
  <c r="E556"/>
  <c r="I578" s="1"/>
  <c r="D556"/>
  <c r="A556"/>
  <c r="G555"/>
  <c r="F555"/>
  <c r="H577" s="1"/>
  <c r="E555"/>
  <c r="I577" s="1"/>
  <c r="D555"/>
  <c r="A555"/>
  <c r="G554"/>
  <c r="F554"/>
  <c r="H589" s="1"/>
  <c r="E554"/>
  <c r="I589" s="1"/>
  <c r="D554"/>
  <c r="A554"/>
  <c r="G553"/>
  <c r="D592" s="1"/>
  <c r="F553"/>
  <c r="H592" s="1"/>
  <c r="E553"/>
  <c r="I592" s="1"/>
  <c r="D553"/>
  <c r="I553" s="1"/>
  <c r="J553" s="1"/>
  <c r="A553"/>
  <c r="G552"/>
  <c r="F552"/>
  <c r="E552"/>
  <c r="I591" s="1"/>
  <c r="D552"/>
  <c r="A552"/>
  <c r="C546"/>
  <c r="C545"/>
  <c r="C543"/>
  <c r="C541"/>
  <c r="C540"/>
  <c r="C539"/>
  <c r="C538"/>
  <c r="C537"/>
  <c r="C536"/>
  <c r="C535"/>
  <c r="C534"/>
  <c r="C533"/>
  <c r="C532"/>
  <c r="A532"/>
  <c r="A533" s="1"/>
  <c r="A534" s="1"/>
  <c r="A535" s="1"/>
  <c r="A536" s="1"/>
  <c r="A537" s="1"/>
  <c r="A538" s="1"/>
  <c r="A539" s="1"/>
  <c r="A540" s="1"/>
  <c r="A541" s="1"/>
  <c r="A543" s="1"/>
  <c r="A545" s="1"/>
  <c r="A546" s="1"/>
  <c r="C531"/>
  <c r="O520"/>
  <c r="N520"/>
  <c r="M520"/>
  <c r="L520"/>
  <c r="H520"/>
  <c r="C520"/>
  <c r="A523" s="1"/>
  <c r="G519"/>
  <c r="F519"/>
  <c r="H541" s="1"/>
  <c r="E519"/>
  <c r="I541" s="1"/>
  <c r="D519"/>
  <c r="I519" s="1"/>
  <c r="J519" s="1"/>
  <c r="A519"/>
  <c r="G518"/>
  <c r="F518"/>
  <c r="H540" s="1"/>
  <c r="E518"/>
  <c r="I540" s="1"/>
  <c r="D518"/>
  <c r="A518"/>
  <c r="G517"/>
  <c r="F517"/>
  <c r="H539" s="1"/>
  <c r="E517"/>
  <c r="I539" s="1"/>
  <c r="D517"/>
  <c r="A517"/>
  <c r="G516"/>
  <c r="F516"/>
  <c r="H538" s="1"/>
  <c r="E516"/>
  <c r="I538" s="1"/>
  <c r="D516"/>
  <c r="A516"/>
  <c r="G515"/>
  <c r="F515"/>
  <c r="H537" s="1"/>
  <c r="E515"/>
  <c r="I537" s="1"/>
  <c r="D515"/>
  <c r="I515" s="1"/>
  <c r="J515" s="1"/>
  <c r="A515"/>
  <c r="G514"/>
  <c r="F514"/>
  <c r="H536" s="1"/>
  <c r="E514"/>
  <c r="I536" s="1"/>
  <c r="D514"/>
  <c r="E536" s="1"/>
  <c r="A514"/>
  <c r="G513"/>
  <c r="F513"/>
  <c r="H535" s="1"/>
  <c r="E513"/>
  <c r="I535" s="1"/>
  <c r="D513"/>
  <c r="A513"/>
  <c r="G512"/>
  <c r="F512"/>
  <c r="H534" s="1"/>
  <c r="E512"/>
  <c r="I534" s="1"/>
  <c r="D512"/>
  <c r="E534" s="1"/>
  <c r="A512"/>
  <c r="G511"/>
  <c r="F511"/>
  <c r="H533" s="1"/>
  <c r="E511"/>
  <c r="I533" s="1"/>
  <c r="D511"/>
  <c r="I511" s="1"/>
  <c r="J511" s="1"/>
  <c r="A511"/>
  <c r="G510"/>
  <c r="F510"/>
  <c r="H532" s="1"/>
  <c r="E510"/>
  <c r="I532" s="1"/>
  <c r="D510"/>
  <c r="E532" s="1"/>
  <c r="A510"/>
  <c r="G509"/>
  <c r="F509"/>
  <c r="H531" s="1"/>
  <c r="E509"/>
  <c r="I531" s="1"/>
  <c r="D509"/>
  <c r="A509"/>
  <c r="G508"/>
  <c r="F508"/>
  <c r="H543" s="1"/>
  <c r="E508"/>
  <c r="I543" s="1"/>
  <c r="D508"/>
  <c r="E543" s="1"/>
  <c r="A508"/>
  <c r="G507"/>
  <c r="D546" s="1"/>
  <c r="F507"/>
  <c r="H546" s="1"/>
  <c r="E507"/>
  <c r="I546" s="1"/>
  <c r="D507"/>
  <c r="I507" s="1"/>
  <c r="J507" s="1"/>
  <c r="A507"/>
  <c r="G506"/>
  <c r="F506"/>
  <c r="H545" s="1"/>
  <c r="E506"/>
  <c r="E520" s="1"/>
  <c r="C523" s="1"/>
  <c r="D506"/>
  <c r="A506"/>
  <c r="C500"/>
  <c r="C499"/>
  <c r="C497"/>
  <c r="C495"/>
  <c r="C494"/>
  <c r="C493"/>
  <c r="C492"/>
  <c r="C491"/>
  <c r="C490"/>
  <c r="C489"/>
  <c r="C488"/>
  <c r="C487"/>
  <c r="C486"/>
  <c r="C485"/>
  <c r="C484"/>
  <c r="A484"/>
  <c r="A485" s="1"/>
  <c r="A486" s="1"/>
  <c r="A487" s="1"/>
  <c r="A488" s="1"/>
  <c r="A489" s="1"/>
  <c r="A490" s="1"/>
  <c r="A491" s="1"/>
  <c r="A492" s="1"/>
  <c r="A493" s="1"/>
  <c r="A494" s="1"/>
  <c r="A495" s="1"/>
  <c r="A497" s="1"/>
  <c r="A499" s="1"/>
  <c r="A500" s="1"/>
  <c r="C483"/>
  <c r="C501" s="1"/>
  <c r="O472"/>
  <c r="N472"/>
  <c r="M472"/>
  <c r="L472"/>
  <c r="H472"/>
  <c r="C472"/>
  <c r="A475" s="1"/>
  <c r="G471"/>
  <c r="F471"/>
  <c r="H495" s="1"/>
  <c r="E471"/>
  <c r="I495" s="1"/>
  <c r="D471"/>
  <c r="E495" s="1"/>
  <c r="A471"/>
  <c r="G470"/>
  <c r="F470"/>
  <c r="H494" s="1"/>
  <c r="E470"/>
  <c r="I494" s="1"/>
  <c r="D470"/>
  <c r="I470" s="1"/>
  <c r="J470" s="1"/>
  <c r="A470"/>
  <c r="G469"/>
  <c r="F469"/>
  <c r="H493" s="1"/>
  <c r="E469"/>
  <c r="I493" s="1"/>
  <c r="D469"/>
  <c r="E493" s="1"/>
  <c r="A469"/>
  <c r="G468"/>
  <c r="F468"/>
  <c r="H492" s="1"/>
  <c r="E468"/>
  <c r="I492" s="1"/>
  <c r="D468"/>
  <c r="A468"/>
  <c r="F467"/>
  <c r="H491" s="1"/>
  <c r="E467"/>
  <c r="I491" s="1"/>
  <c r="D467"/>
  <c r="E491" s="1"/>
  <c r="A467"/>
  <c r="G466"/>
  <c r="F466"/>
  <c r="H490" s="1"/>
  <c r="E466"/>
  <c r="I490" s="1"/>
  <c r="D466"/>
  <c r="E490" s="1"/>
  <c r="A466"/>
  <c r="G465"/>
  <c r="F465"/>
  <c r="H489" s="1"/>
  <c r="E465"/>
  <c r="I489" s="1"/>
  <c r="D465"/>
  <c r="E489" s="1"/>
  <c r="A465"/>
  <c r="G464"/>
  <c r="F464"/>
  <c r="H488" s="1"/>
  <c r="E464"/>
  <c r="I488" s="1"/>
  <c r="D464"/>
  <c r="E488" s="1"/>
  <c r="A464"/>
  <c r="G463"/>
  <c r="F463"/>
  <c r="H487" s="1"/>
  <c r="E463"/>
  <c r="I487" s="1"/>
  <c r="D463"/>
  <c r="E487" s="1"/>
  <c r="A463"/>
  <c r="G462"/>
  <c r="F462"/>
  <c r="H486" s="1"/>
  <c r="E462"/>
  <c r="I486" s="1"/>
  <c r="D462"/>
  <c r="E486" s="1"/>
  <c r="A462"/>
  <c r="G461"/>
  <c r="F461"/>
  <c r="H485" s="1"/>
  <c r="E461"/>
  <c r="I485" s="1"/>
  <c r="D461"/>
  <c r="E485" s="1"/>
  <c r="A461"/>
  <c r="G460"/>
  <c r="F460"/>
  <c r="H484" s="1"/>
  <c r="E460"/>
  <c r="I484" s="1"/>
  <c r="D460"/>
  <c r="E484" s="1"/>
  <c r="A460"/>
  <c r="G459"/>
  <c r="F459"/>
  <c r="H483" s="1"/>
  <c r="E459"/>
  <c r="I483" s="1"/>
  <c r="D459"/>
  <c r="E483" s="1"/>
  <c r="A459"/>
  <c r="G458"/>
  <c r="F458"/>
  <c r="H497" s="1"/>
  <c r="E458"/>
  <c r="I497" s="1"/>
  <c r="D458"/>
  <c r="E497" s="1"/>
  <c r="A458"/>
  <c r="G457"/>
  <c r="D500" s="1"/>
  <c r="F457"/>
  <c r="H500" s="1"/>
  <c r="E457"/>
  <c r="I500" s="1"/>
  <c r="D457"/>
  <c r="I457" s="1"/>
  <c r="J457" s="1"/>
  <c r="A457"/>
  <c r="G456"/>
  <c r="D499" s="1"/>
  <c r="F456"/>
  <c r="E456"/>
  <c r="I499" s="1"/>
  <c r="D456"/>
  <c r="A456"/>
  <c r="C450"/>
  <c r="C449"/>
  <c r="C447"/>
  <c r="C445"/>
  <c r="C444"/>
  <c r="C443"/>
  <c r="C442"/>
  <c r="C441"/>
  <c r="C440"/>
  <c r="C439"/>
  <c r="C438"/>
  <c r="C437"/>
  <c r="C436"/>
  <c r="C435"/>
  <c r="A435"/>
  <c r="A436" s="1"/>
  <c r="A437" s="1"/>
  <c r="A438" s="1"/>
  <c r="A439" s="1"/>
  <c r="A440" s="1"/>
  <c r="A441" s="1"/>
  <c r="A442" s="1"/>
  <c r="A443" s="1"/>
  <c r="A444" s="1"/>
  <c r="A445" s="1"/>
  <c r="A447" s="1"/>
  <c r="A449" s="1"/>
  <c r="A450" s="1"/>
  <c r="C434"/>
  <c r="O423"/>
  <c r="N423"/>
  <c r="M423"/>
  <c r="L423"/>
  <c r="H423"/>
  <c r="C423"/>
  <c r="A426" s="1"/>
  <c r="G422"/>
  <c r="F422"/>
  <c r="H445" s="1"/>
  <c r="E422"/>
  <c r="I445" s="1"/>
  <c r="D422"/>
  <c r="E445" s="1"/>
  <c r="A422"/>
  <c r="G421"/>
  <c r="F421"/>
  <c r="H444" s="1"/>
  <c r="E421"/>
  <c r="I444" s="1"/>
  <c r="D421"/>
  <c r="E444" s="1"/>
  <c r="A421"/>
  <c r="G420"/>
  <c r="F420"/>
  <c r="H443" s="1"/>
  <c r="E420"/>
  <c r="I443" s="1"/>
  <c r="D420"/>
  <c r="E443" s="1"/>
  <c r="A420"/>
  <c r="G419"/>
  <c r="F419"/>
  <c r="H442" s="1"/>
  <c r="E419"/>
  <c r="I442" s="1"/>
  <c r="D419"/>
  <c r="E442" s="1"/>
  <c r="A419"/>
  <c r="G418"/>
  <c r="F418"/>
  <c r="H441" s="1"/>
  <c r="E418"/>
  <c r="I441" s="1"/>
  <c r="D418"/>
  <c r="E441" s="1"/>
  <c r="A418"/>
  <c r="G417"/>
  <c r="F417"/>
  <c r="H440" s="1"/>
  <c r="E417"/>
  <c r="I440" s="1"/>
  <c r="D417"/>
  <c r="E440" s="1"/>
  <c r="A417"/>
  <c r="G416"/>
  <c r="F416"/>
  <c r="H439" s="1"/>
  <c r="E416"/>
  <c r="I439" s="1"/>
  <c r="D416"/>
  <c r="E439" s="1"/>
  <c r="A416"/>
  <c r="G415"/>
  <c r="F415"/>
  <c r="H438" s="1"/>
  <c r="E415"/>
  <c r="I438" s="1"/>
  <c r="D415"/>
  <c r="E438" s="1"/>
  <c r="A415"/>
  <c r="G414"/>
  <c r="F414"/>
  <c r="H437" s="1"/>
  <c r="E414"/>
  <c r="I437" s="1"/>
  <c r="D414"/>
  <c r="E437" s="1"/>
  <c r="A414"/>
  <c r="G413"/>
  <c r="F413"/>
  <c r="H436" s="1"/>
  <c r="E413"/>
  <c r="I436" s="1"/>
  <c r="D413"/>
  <c r="E436" s="1"/>
  <c r="A413"/>
  <c r="G412"/>
  <c r="F412"/>
  <c r="H435" s="1"/>
  <c r="E412"/>
  <c r="I435" s="1"/>
  <c r="D412"/>
  <c r="E435" s="1"/>
  <c r="A412"/>
  <c r="G411"/>
  <c r="F411"/>
  <c r="H434" s="1"/>
  <c r="E411"/>
  <c r="I434" s="1"/>
  <c r="D411"/>
  <c r="E434" s="1"/>
  <c r="A411"/>
  <c r="G410"/>
  <c r="F410"/>
  <c r="H447" s="1"/>
  <c r="E410"/>
  <c r="I447" s="1"/>
  <c r="D410"/>
  <c r="I410" s="1"/>
  <c r="J410" s="1"/>
  <c r="A410"/>
  <c r="G409"/>
  <c r="D450" s="1"/>
  <c r="F409"/>
  <c r="H450" s="1"/>
  <c r="E409"/>
  <c r="I450" s="1"/>
  <c r="D409"/>
  <c r="A409"/>
  <c r="G408"/>
  <c r="D449" s="1"/>
  <c r="F408"/>
  <c r="H449" s="1"/>
  <c r="J449" s="1"/>
  <c r="E408"/>
  <c r="I449" s="1"/>
  <c r="D408"/>
  <c r="A408"/>
  <c r="C402"/>
  <c r="C401"/>
  <c r="C399"/>
  <c r="C397"/>
  <c r="C396"/>
  <c r="C395"/>
  <c r="C394"/>
  <c r="C393"/>
  <c r="C392"/>
  <c r="C391"/>
  <c r="C390"/>
  <c r="C389"/>
  <c r="C388"/>
  <c r="C387"/>
  <c r="A387"/>
  <c r="A388" s="1"/>
  <c r="A389" s="1"/>
  <c r="A390" s="1"/>
  <c r="A391" s="1"/>
  <c r="A392" s="1"/>
  <c r="A393" s="1"/>
  <c r="A394" s="1"/>
  <c r="A395" s="1"/>
  <c r="A396" s="1"/>
  <c r="A397" s="1"/>
  <c r="A399" s="1"/>
  <c r="A401" s="1"/>
  <c r="A402" s="1"/>
  <c r="C386"/>
  <c r="O375"/>
  <c r="N375"/>
  <c r="M375"/>
  <c r="L375"/>
  <c r="H375"/>
  <c r="C375"/>
  <c r="A378" s="1"/>
  <c r="G374"/>
  <c r="F374"/>
  <c r="H397" s="1"/>
  <c r="E374"/>
  <c r="I397" s="1"/>
  <c r="D374"/>
  <c r="E397" s="1"/>
  <c r="A374"/>
  <c r="G373"/>
  <c r="F373"/>
  <c r="H396" s="1"/>
  <c r="E373"/>
  <c r="I396" s="1"/>
  <c r="D373"/>
  <c r="E396" s="1"/>
  <c r="A373"/>
  <c r="G372"/>
  <c r="F372"/>
  <c r="H395" s="1"/>
  <c r="E372"/>
  <c r="I395" s="1"/>
  <c r="D372"/>
  <c r="E395" s="1"/>
  <c r="A372"/>
  <c r="G371"/>
  <c r="F371"/>
  <c r="H394" s="1"/>
  <c r="E371"/>
  <c r="I394" s="1"/>
  <c r="D371"/>
  <c r="E394" s="1"/>
  <c r="A371"/>
  <c r="G370"/>
  <c r="F370"/>
  <c r="H393" s="1"/>
  <c r="E370"/>
  <c r="I393" s="1"/>
  <c r="D370"/>
  <c r="E393" s="1"/>
  <c r="A370"/>
  <c r="G369"/>
  <c r="F369"/>
  <c r="H392" s="1"/>
  <c r="E369"/>
  <c r="I392" s="1"/>
  <c r="D369"/>
  <c r="E392" s="1"/>
  <c r="A369"/>
  <c r="G368"/>
  <c r="F368"/>
  <c r="H391" s="1"/>
  <c r="E368"/>
  <c r="I391" s="1"/>
  <c r="D368"/>
  <c r="E391" s="1"/>
  <c r="A368"/>
  <c r="G367"/>
  <c r="F367"/>
  <c r="H390" s="1"/>
  <c r="E367"/>
  <c r="I390" s="1"/>
  <c r="D367"/>
  <c r="E390" s="1"/>
  <c r="A367"/>
  <c r="G366"/>
  <c r="F366"/>
  <c r="H389" s="1"/>
  <c r="E366"/>
  <c r="I389" s="1"/>
  <c r="D366"/>
  <c r="E389" s="1"/>
  <c r="A366"/>
  <c r="G365"/>
  <c r="F365"/>
  <c r="H388" s="1"/>
  <c r="E365"/>
  <c r="I388" s="1"/>
  <c r="D365"/>
  <c r="E388" s="1"/>
  <c r="A365"/>
  <c r="G364"/>
  <c r="F364"/>
  <c r="H387" s="1"/>
  <c r="E364"/>
  <c r="I387" s="1"/>
  <c r="D364"/>
  <c r="E387" s="1"/>
  <c r="A364"/>
  <c r="G363"/>
  <c r="F363"/>
  <c r="H386" s="1"/>
  <c r="E363"/>
  <c r="I386" s="1"/>
  <c r="D363"/>
  <c r="E386" s="1"/>
  <c r="A363"/>
  <c r="G362"/>
  <c r="F362"/>
  <c r="H399" s="1"/>
  <c r="E362"/>
  <c r="I399" s="1"/>
  <c r="D362"/>
  <c r="E399" s="1"/>
  <c r="A362"/>
  <c r="G361"/>
  <c r="D402" s="1"/>
  <c r="F361"/>
  <c r="H402" s="1"/>
  <c r="J402" s="1"/>
  <c r="E361"/>
  <c r="I402" s="1"/>
  <c r="D361"/>
  <c r="A361"/>
  <c r="G360"/>
  <c r="D401" s="1"/>
  <c r="F360"/>
  <c r="H401" s="1"/>
  <c r="E360"/>
  <c r="I401" s="1"/>
  <c r="D360"/>
  <c r="A360"/>
  <c r="C354"/>
  <c r="C353"/>
  <c r="C351"/>
  <c r="C349"/>
  <c r="C348"/>
  <c r="C347"/>
  <c r="C346"/>
  <c r="C345"/>
  <c r="C344"/>
  <c r="C343"/>
  <c r="C342"/>
  <c r="C341"/>
  <c r="C340"/>
  <c r="C339"/>
  <c r="A339"/>
  <c r="A340" s="1"/>
  <c r="A341" s="1"/>
  <c r="A342" s="1"/>
  <c r="A343" s="1"/>
  <c r="A344" s="1"/>
  <c r="A345" s="1"/>
  <c r="A346" s="1"/>
  <c r="A347" s="1"/>
  <c r="A348" s="1"/>
  <c r="A349" s="1"/>
  <c r="A351" s="1"/>
  <c r="A353" s="1"/>
  <c r="A354" s="1"/>
  <c r="C338"/>
  <c r="C355" s="1"/>
  <c r="O327"/>
  <c r="N327"/>
  <c r="M327"/>
  <c r="L327"/>
  <c r="H327"/>
  <c r="C327"/>
  <c r="A330" s="1"/>
  <c r="G326"/>
  <c r="F326"/>
  <c r="H349" s="1"/>
  <c r="E326"/>
  <c r="I349" s="1"/>
  <c r="D326"/>
  <c r="E349" s="1"/>
  <c r="A326"/>
  <c r="G325"/>
  <c r="F325"/>
  <c r="H348" s="1"/>
  <c r="E325"/>
  <c r="I348" s="1"/>
  <c r="D325"/>
  <c r="E348" s="1"/>
  <c r="A325"/>
  <c r="G324"/>
  <c r="F324"/>
  <c r="H347" s="1"/>
  <c r="E324"/>
  <c r="I347" s="1"/>
  <c r="D324"/>
  <c r="E347" s="1"/>
  <c r="A324"/>
  <c r="G323"/>
  <c r="F323"/>
  <c r="H346" s="1"/>
  <c r="E323"/>
  <c r="I346" s="1"/>
  <c r="D323"/>
  <c r="E346" s="1"/>
  <c r="A323"/>
  <c r="G322"/>
  <c r="F322"/>
  <c r="H345" s="1"/>
  <c r="E322"/>
  <c r="I345" s="1"/>
  <c r="D322"/>
  <c r="E345" s="1"/>
  <c r="A322"/>
  <c r="G321"/>
  <c r="F321"/>
  <c r="H344" s="1"/>
  <c r="E321"/>
  <c r="I344" s="1"/>
  <c r="D321"/>
  <c r="E344" s="1"/>
  <c r="A321"/>
  <c r="G320"/>
  <c r="F320"/>
  <c r="H343" s="1"/>
  <c r="E320"/>
  <c r="I343" s="1"/>
  <c r="D320"/>
  <c r="E343" s="1"/>
  <c r="A320"/>
  <c r="G319"/>
  <c r="F319"/>
  <c r="H342" s="1"/>
  <c r="E319"/>
  <c r="I342" s="1"/>
  <c r="D319"/>
  <c r="E342" s="1"/>
  <c r="A319"/>
  <c r="G318"/>
  <c r="F318"/>
  <c r="H341" s="1"/>
  <c r="E318"/>
  <c r="I341" s="1"/>
  <c r="D318"/>
  <c r="E341" s="1"/>
  <c r="A318"/>
  <c r="G317"/>
  <c r="F317"/>
  <c r="H340" s="1"/>
  <c r="E317"/>
  <c r="I340" s="1"/>
  <c r="D317"/>
  <c r="E340" s="1"/>
  <c r="A317"/>
  <c r="G316"/>
  <c r="F316"/>
  <c r="H339" s="1"/>
  <c r="E316"/>
  <c r="I339" s="1"/>
  <c r="D316"/>
  <c r="E339" s="1"/>
  <c r="A316"/>
  <c r="G315"/>
  <c r="F315"/>
  <c r="H338" s="1"/>
  <c r="E315"/>
  <c r="I338" s="1"/>
  <c r="D315"/>
  <c r="E338" s="1"/>
  <c r="A315"/>
  <c r="G314"/>
  <c r="F314"/>
  <c r="H351" s="1"/>
  <c r="E314"/>
  <c r="I351" s="1"/>
  <c r="D314"/>
  <c r="A314"/>
  <c r="G313"/>
  <c r="D354" s="1"/>
  <c r="F313"/>
  <c r="H354" s="1"/>
  <c r="E313"/>
  <c r="I354" s="1"/>
  <c r="D313"/>
  <c r="A313"/>
  <c r="G312"/>
  <c r="D353" s="1"/>
  <c r="F312"/>
  <c r="H353" s="1"/>
  <c r="E312"/>
  <c r="I353" s="1"/>
  <c r="D312"/>
  <c r="I312" s="1"/>
  <c r="A312"/>
  <c r="C305"/>
  <c r="C304"/>
  <c r="C302"/>
  <c r="C300"/>
  <c r="C299"/>
  <c r="C298"/>
  <c r="C297"/>
  <c r="C296"/>
  <c r="C295"/>
  <c r="C294"/>
  <c r="C293"/>
  <c r="C292"/>
  <c r="C291"/>
  <c r="C290"/>
  <c r="C289"/>
  <c r="A289"/>
  <c r="A290" s="1"/>
  <c r="A291" s="1"/>
  <c r="A292" s="1"/>
  <c r="A293" s="1"/>
  <c r="A294" s="1"/>
  <c r="A295" s="1"/>
  <c r="A296" s="1"/>
  <c r="A297" s="1"/>
  <c r="A298" s="1"/>
  <c r="A299" s="1"/>
  <c r="A300" s="1"/>
  <c r="A302" s="1"/>
  <c r="A304" s="1"/>
  <c r="A305" s="1"/>
  <c r="C288"/>
  <c r="O277"/>
  <c r="N277"/>
  <c r="M277"/>
  <c r="L277"/>
  <c r="H277"/>
  <c r="C277"/>
  <c r="A280" s="1"/>
  <c r="G276"/>
  <c r="F276"/>
  <c r="H300" s="1"/>
  <c r="E276"/>
  <c r="I300" s="1"/>
  <c r="D276"/>
  <c r="I276" s="1"/>
  <c r="J276" s="1"/>
  <c r="A276"/>
  <c r="G275"/>
  <c r="F275"/>
  <c r="H299" s="1"/>
  <c r="E275"/>
  <c r="I299" s="1"/>
  <c r="D275"/>
  <c r="E299" s="1"/>
  <c r="A275"/>
  <c r="G274"/>
  <c r="F274"/>
  <c r="H298" s="1"/>
  <c r="E274"/>
  <c r="I298" s="1"/>
  <c r="D274"/>
  <c r="A274"/>
  <c r="G273"/>
  <c r="F273"/>
  <c r="H297" s="1"/>
  <c r="E273"/>
  <c r="I297" s="1"/>
  <c r="D273"/>
  <c r="E297" s="1"/>
  <c r="G272"/>
  <c r="F272"/>
  <c r="H296" s="1"/>
  <c r="E272"/>
  <c r="I296" s="1"/>
  <c r="D272"/>
  <c r="E296" s="1"/>
  <c r="A272"/>
  <c r="G271"/>
  <c r="F271"/>
  <c r="H295" s="1"/>
  <c r="E271"/>
  <c r="I295" s="1"/>
  <c r="D271"/>
  <c r="E295" s="1"/>
  <c r="A271"/>
  <c r="G270"/>
  <c r="F270"/>
  <c r="H294" s="1"/>
  <c r="E270"/>
  <c r="I294" s="1"/>
  <c r="D270"/>
  <c r="E294" s="1"/>
  <c r="A270"/>
  <c r="G269"/>
  <c r="F269"/>
  <c r="H293" s="1"/>
  <c r="E269"/>
  <c r="I293" s="1"/>
  <c r="D269"/>
  <c r="E293" s="1"/>
  <c r="A269"/>
  <c r="G268"/>
  <c r="F268"/>
  <c r="H292" s="1"/>
  <c r="E268"/>
  <c r="I292" s="1"/>
  <c r="D268"/>
  <c r="E292" s="1"/>
  <c r="A268"/>
  <c r="G267"/>
  <c r="F267"/>
  <c r="H291" s="1"/>
  <c r="E267"/>
  <c r="I291" s="1"/>
  <c r="D267"/>
  <c r="E291" s="1"/>
  <c r="A267"/>
  <c r="G266"/>
  <c r="F266"/>
  <c r="H290" s="1"/>
  <c r="E266"/>
  <c r="I290" s="1"/>
  <c r="D266"/>
  <c r="E290" s="1"/>
  <c r="A266"/>
  <c r="G265"/>
  <c r="F265"/>
  <c r="H289" s="1"/>
  <c r="E265"/>
  <c r="I289" s="1"/>
  <c r="D265"/>
  <c r="E289" s="1"/>
  <c r="A265"/>
  <c r="G264"/>
  <c r="F264"/>
  <c r="H288" s="1"/>
  <c r="E264"/>
  <c r="I288" s="1"/>
  <c r="D264"/>
  <c r="E288" s="1"/>
  <c r="A264"/>
  <c r="G263"/>
  <c r="F263"/>
  <c r="H302" s="1"/>
  <c r="E263"/>
  <c r="I302" s="1"/>
  <c r="D263"/>
  <c r="E302" s="1"/>
  <c r="A263"/>
  <c r="G262"/>
  <c r="D305" s="1"/>
  <c r="F262"/>
  <c r="H305" s="1"/>
  <c r="E262"/>
  <c r="I305" s="1"/>
  <c r="D262"/>
  <c r="A262"/>
  <c r="G261"/>
  <c r="F261"/>
  <c r="H304" s="1"/>
  <c r="E261"/>
  <c r="D261"/>
  <c r="A261"/>
  <c r="C254"/>
  <c r="C253"/>
  <c r="C251"/>
  <c r="C249"/>
  <c r="C248"/>
  <c r="C247"/>
  <c r="C246"/>
  <c r="C245"/>
  <c r="C244"/>
  <c r="C243"/>
  <c r="C242"/>
  <c r="C241"/>
  <c r="C240"/>
  <c r="C239"/>
  <c r="C238"/>
  <c r="A238"/>
  <c r="A239" s="1"/>
  <c r="A240" s="1"/>
  <c r="A241" s="1"/>
  <c r="A242" s="1"/>
  <c r="A243" s="1"/>
  <c r="A244" s="1"/>
  <c r="A245" s="1"/>
  <c r="A246" s="1"/>
  <c r="A247" s="1"/>
  <c r="A248" s="1"/>
  <c r="A249" s="1"/>
  <c r="A251" s="1"/>
  <c r="A253" s="1"/>
  <c r="A254" s="1"/>
  <c r="C237"/>
  <c r="A237"/>
  <c r="C236"/>
  <c r="O225"/>
  <c r="N225"/>
  <c r="M225"/>
  <c r="L225"/>
  <c r="H225"/>
  <c r="C225"/>
  <c r="A228" s="1"/>
  <c r="G224"/>
  <c r="F224"/>
  <c r="H249" s="1"/>
  <c r="E224"/>
  <c r="I249" s="1"/>
  <c r="D224"/>
  <c r="E249" s="1"/>
  <c r="A224"/>
  <c r="G223"/>
  <c r="F223"/>
  <c r="H248" s="1"/>
  <c r="E223"/>
  <c r="I248" s="1"/>
  <c r="D223"/>
  <c r="E248" s="1"/>
  <c r="A223"/>
  <c r="G222"/>
  <c r="F222"/>
  <c r="H247" s="1"/>
  <c r="E222"/>
  <c r="I247" s="1"/>
  <c r="D222"/>
  <c r="E247" s="1"/>
  <c r="A222"/>
  <c r="G221"/>
  <c r="F221"/>
  <c r="H246" s="1"/>
  <c r="E221"/>
  <c r="I246" s="1"/>
  <c r="D221"/>
  <c r="E246" s="1"/>
  <c r="A221"/>
  <c r="G220"/>
  <c r="F220"/>
  <c r="H245" s="1"/>
  <c r="E220"/>
  <c r="I245" s="1"/>
  <c r="D220"/>
  <c r="E245" s="1"/>
  <c r="A220"/>
  <c r="G219"/>
  <c r="F219"/>
  <c r="H244" s="1"/>
  <c r="E219"/>
  <c r="I244" s="1"/>
  <c r="D219"/>
  <c r="E244" s="1"/>
  <c r="A219"/>
  <c r="G218"/>
  <c r="F218"/>
  <c r="H243" s="1"/>
  <c r="E218"/>
  <c r="I243" s="1"/>
  <c r="D218"/>
  <c r="E243" s="1"/>
  <c r="A218"/>
  <c r="G217"/>
  <c r="F217"/>
  <c r="H242" s="1"/>
  <c r="E217"/>
  <c r="I242" s="1"/>
  <c r="D217"/>
  <c r="E242" s="1"/>
  <c r="A217"/>
  <c r="G216"/>
  <c r="F216"/>
  <c r="H241" s="1"/>
  <c r="E216"/>
  <c r="I241" s="1"/>
  <c r="D216"/>
  <c r="E241" s="1"/>
  <c r="A216"/>
  <c r="G215"/>
  <c r="F215"/>
  <c r="H240" s="1"/>
  <c r="E215"/>
  <c r="I240" s="1"/>
  <c r="D215"/>
  <c r="E240" s="1"/>
  <c r="A215"/>
  <c r="G214"/>
  <c r="F214"/>
  <c r="H239" s="1"/>
  <c r="E214"/>
  <c r="I239" s="1"/>
  <c r="D214"/>
  <c r="E239" s="1"/>
  <c r="A214"/>
  <c r="G213"/>
  <c r="F213"/>
  <c r="H238" s="1"/>
  <c r="E213"/>
  <c r="I238" s="1"/>
  <c r="D213"/>
  <c r="E238" s="1"/>
  <c r="A213"/>
  <c r="G212"/>
  <c r="F212"/>
  <c r="H237" s="1"/>
  <c r="E212"/>
  <c r="I237" s="1"/>
  <c r="D212"/>
  <c r="E237" s="1"/>
  <c r="A212"/>
  <c r="G211"/>
  <c r="F211"/>
  <c r="H236" s="1"/>
  <c r="E211"/>
  <c r="I236" s="1"/>
  <c r="D211"/>
  <c r="E236" s="1"/>
  <c r="A211"/>
  <c r="G210"/>
  <c r="F210"/>
  <c r="H251" s="1"/>
  <c r="E210"/>
  <c r="I251" s="1"/>
  <c r="D210"/>
  <c r="A210"/>
  <c r="G209"/>
  <c r="D254" s="1"/>
  <c r="F209"/>
  <c r="H254" s="1"/>
  <c r="E209"/>
  <c r="I254" s="1"/>
  <c r="D209"/>
  <c r="G254" s="1"/>
  <c r="A209"/>
  <c r="G208"/>
  <c r="D253" s="1"/>
  <c r="F208"/>
  <c r="H253" s="1"/>
  <c r="E208"/>
  <c r="I253" s="1"/>
  <c r="D208"/>
  <c r="I208" s="1"/>
  <c r="A208"/>
  <c r="C202"/>
  <c r="C201"/>
  <c r="C199"/>
  <c r="C197"/>
  <c r="C196"/>
  <c r="C195"/>
  <c r="C194"/>
  <c r="C193"/>
  <c r="C192"/>
  <c r="C191"/>
  <c r="C190"/>
  <c r="C189"/>
  <c r="C188"/>
  <c r="C187"/>
  <c r="C186"/>
  <c r="C185"/>
  <c r="A185"/>
  <c r="A186" s="1"/>
  <c r="A187" s="1"/>
  <c r="A188" s="1"/>
  <c r="A189" s="1"/>
  <c r="A190" s="1"/>
  <c r="A191" s="1"/>
  <c r="A192" s="1"/>
  <c r="A193" s="1"/>
  <c r="A194" s="1"/>
  <c r="A195" s="1"/>
  <c r="A196" s="1"/>
  <c r="A197" s="1"/>
  <c r="A199" s="1"/>
  <c r="A201" s="1"/>
  <c r="A202" s="1"/>
  <c r="C184"/>
  <c r="O173"/>
  <c r="N173"/>
  <c r="M173"/>
  <c r="L173"/>
  <c r="H173"/>
  <c r="C173"/>
  <c r="A176" s="1"/>
  <c r="G172"/>
  <c r="F172"/>
  <c r="H197" s="1"/>
  <c r="E172"/>
  <c r="I197" s="1"/>
  <c r="D172"/>
  <c r="E197" s="1"/>
  <c r="A172"/>
  <c r="B197" s="1"/>
  <c r="G171"/>
  <c r="F171"/>
  <c r="H196" s="1"/>
  <c r="E171"/>
  <c r="I196" s="1"/>
  <c r="D171"/>
  <c r="E196" s="1"/>
  <c r="A171"/>
  <c r="B196" s="1"/>
  <c r="G170"/>
  <c r="F170"/>
  <c r="H195" s="1"/>
  <c r="E170"/>
  <c r="I195" s="1"/>
  <c r="D170"/>
  <c r="E195" s="1"/>
  <c r="A170"/>
  <c r="B195" s="1"/>
  <c r="G169"/>
  <c r="F169"/>
  <c r="H194" s="1"/>
  <c r="E169"/>
  <c r="I194" s="1"/>
  <c r="D169"/>
  <c r="E194" s="1"/>
  <c r="A169"/>
  <c r="B194" s="1"/>
  <c r="G168"/>
  <c r="F168"/>
  <c r="H193" s="1"/>
  <c r="E168"/>
  <c r="I193" s="1"/>
  <c r="D168"/>
  <c r="E193" s="1"/>
  <c r="A168"/>
  <c r="B193" s="1"/>
  <c r="G167"/>
  <c r="F167"/>
  <c r="H192" s="1"/>
  <c r="E167"/>
  <c r="I192" s="1"/>
  <c r="D167"/>
  <c r="E192" s="1"/>
  <c r="A167"/>
  <c r="B192" s="1"/>
  <c r="G166"/>
  <c r="F166"/>
  <c r="H191" s="1"/>
  <c r="E166"/>
  <c r="I191" s="1"/>
  <c r="D166"/>
  <c r="E191" s="1"/>
  <c r="A166"/>
  <c r="B191" s="1"/>
  <c r="G165"/>
  <c r="F165"/>
  <c r="H190" s="1"/>
  <c r="E165"/>
  <c r="I190" s="1"/>
  <c r="D165"/>
  <c r="A165"/>
  <c r="B190" s="1"/>
  <c r="G164"/>
  <c r="F164"/>
  <c r="H189" s="1"/>
  <c r="E164"/>
  <c r="I189" s="1"/>
  <c r="D164"/>
  <c r="E189" s="1"/>
  <c r="A164"/>
  <c r="B189" s="1"/>
  <c r="G163"/>
  <c r="F163"/>
  <c r="H188" s="1"/>
  <c r="E163"/>
  <c r="I188" s="1"/>
  <c r="D163"/>
  <c r="E188" s="1"/>
  <c r="A163"/>
  <c r="B188" s="1"/>
  <c r="G162"/>
  <c r="F162"/>
  <c r="H187" s="1"/>
  <c r="E162"/>
  <c r="I187" s="1"/>
  <c r="D162"/>
  <c r="E187" s="1"/>
  <c r="A162"/>
  <c r="B187" s="1"/>
  <c r="G161"/>
  <c r="F161"/>
  <c r="H186" s="1"/>
  <c r="E161"/>
  <c r="I186" s="1"/>
  <c r="D161"/>
  <c r="E186" s="1"/>
  <c r="A161"/>
  <c r="B186" s="1"/>
  <c r="G160"/>
  <c r="F160"/>
  <c r="H185" s="1"/>
  <c r="E160"/>
  <c r="I185" s="1"/>
  <c r="D160"/>
  <c r="E185" s="1"/>
  <c r="A160"/>
  <c r="B185" s="1"/>
  <c r="G159"/>
  <c r="F159"/>
  <c r="H184" s="1"/>
  <c r="E159"/>
  <c r="I184" s="1"/>
  <c r="D159"/>
  <c r="E184" s="1"/>
  <c r="A159"/>
  <c r="B184" s="1"/>
  <c r="G158"/>
  <c r="F158"/>
  <c r="H199" s="1"/>
  <c r="E158"/>
  <c r="I199" s="1"/>
  <c r="D158"/>
  <c r="E199" s="1"/>
  <c r="A158"/>
  <c r="G157"/>
  <c r="D202" s="1"/>
  <c r="F157"/>
  <c r="H202" s="1"/>
  <c r="E157"/>
  <c r="I202" s="1"/>
  <c r="D157"/>
  <c r="G202" s="1"/>
  <c r="A157"/>
  <c r="G156"/>
  <c r="F156"/>
  <c r="E156"/>
  <c r="D156"/>
  <c r="A156"/>
  <c r="C150"/>
  <c r="C149"/>
  <c r="C147"/>
  <c r="C145"/>
  <c r="C144"/>
  <c r="C143"/>
  <c r="C142"/>
  <c r="C141"/>
  <c r="C140"/>
  <c r="C139"/>
  <c r="C138"/>
  <c r="C137"/>
  <c r="C136"/>
  <c r="C135"/>
  <c r="C134"/>
  <c r="C133"/>
  <c r="A133"/>
  <c r="A134" s="1"/>
  <c r="A135" s="1"/>
  <c r="A136" s="1"/>
  <c r="A137" s="1"/>
  <c r="A138" s="1"/>
  <c r="A139" s="1"/>
  <c r="A140" s="1"/>
  <c r="A141" s="1"/>
  <c r="A142" s="1"/>
  <c r="A143" s="1"/>
  <c r="A144" s="1"/>
  <c r="A145" s="1"/>
  <c r="A147" s="1"/>
  <c r="A149" s="1"/>
  <c r="A150" s="1"/>
  <c r="C132"/>
  <c r="C151" s="1"/>
  <c r="O121"/>
  <c r="N121"/>
  <c r="M121"/>
  <c r="L121"/>
  <c r="H121"/>
  <c r="C121"/>
  <c r="A124" s="1"/>
  <c r="G120"/>
  <c r="F120"/>
  <c r="H145" s="1"/>
  <c r="E120"/>
  <c r="I145" s="1"/>
  <c r="D120"/>
  <c r="E145" s="1"/>
  <c r="A120"/>
  <c r="B145" s="1"/>
  <c r="G119"/>
  <c r="F119"/>
  <c r="H144" s="1"/>
  <c r="E119"/>
  <c r="I144" s="1"/>
  <c r="D119"/>
  <c r="I119" s="1"/>
  <c r="J119" s="1"/>
  <c r="A119"/>
  <c r="B144" s="1"/>
  <c r="G118"/>
  <c r="F118"/>
  <c r="H143" s="1"/>
  <c r="E118"/>
  <c r="I143" s="1"/>
  <c r="D118"/>
  <c r="E143" s="1"/>
  <c r="A118"/>
  <c r="B143" s="1"/>
  <c r="G117"/>
  <c r="F117"/>
  <c r="H142" s="1"/>
  <c r="E117"/>
  <c r="I142" s="1"/>
  <c r="D117"/>
  <c r="A117"/>
  <c r="B142" s="1"/>
  <c r="G116"/>
  <c r="F116"/>
  <c r="H141" s="1"/>
  <c r="E116"/>
  <c r="I141" s="1"/>
  <c r="D116"/>
  <c r="E141" s="1"/>
  <c r="A116"/>
  <c r="B141" s="1"/>
  <c r="G115"/>
  <c r="F115"/>
  <c r="H140" s="1"/>
  <c r="E115"/>
  <c r="I140" s="1"/>
  <c r="D115"/>
  <c r="I115" s="1"/>
  <c r="J115" s="1"/>
  <c r="A115"/>
  <c r="B140" s="1"/>
  <c r="G114"/>
  <c r="F114"/>
  <c r="H139" s="1"/>
  <c r="E114"/>
  <c r="I139" s="1"/>
  <c r="D114"/>
  <c r="E139" s="1"/>
  <c r="A114"/>
  <c r="B139" s="1"/>
  <c r="G113"/>
  <c r="F113"/>
  <c r="H138" s="1"/>
  <c r="E113"/>
  <c r="I138" s="1"/>
  <c r="D113"/>
  <c r="A113"/>
  <c r="B138" s="1"/>
  <c r="G112"/>
  <c r="F112"/>
  <c r="H137" s="1"/>
  <c r="E112"/>
  <c r="I137" s="1"/>
  <c r="D112"/>
  <c r="E137" s="1"/>
  <c r="A112"/>
  <c r="B137" s="1"/>
  <c r="G111"/>
  <c r="F111"/>
  <c r="H136" s="1"/>
  <c r="E111"/>
  <c r="I136" s="1"/>
  <c r="D111"/>
  <c r="I111" s="1"/>
  <c r="J111" s="1"/>
  <c r="A111"/>
  <c r="B136" s="1"/>
  <c r="G110"/>
  <c r="F110"/>
  <c r="H135" s="1"/>
  <c r="E110"/>
  <c r="I135" s="1"/>
  <c r="D110"/>
  <c r="E135" s="1"/>
  <c r="A110"/>
  <c r="B135" s="1"/>
  <c r="G109"/>
  <c r="F109"/>
  <c r="H134" s="1"/>
  <c r="E109"/>
  <c r="I134" s="1"/>
  <c r="D109"/>
  <c r="A109"/>
  <c r="B134" s="1"/>
  <c r="G108"/>
  <c r="F108"/>
  <c r="H133" s="1"/>
  <c r="E108"/>
  <c r="I133" s="1"/>
  <c r="D108"/>
  <c r="E133" s="1"/>
  <c r="A108"/>
  <c r="B133" s="1"/>
  <c r="G107"/>
  <c r="F107"/>
  <c r="H132" s="1"/>
  <c r="E107"/>
  <c r="I132" s="1"/>
  <c r="D107"/>
  <c r="I107" s="1"/>
  <c r="J107" s="1"/>
  <c r="A107"/>
  <c r="B132" s="1"/>
  <c r="G106"/>
  <c r="F106"/>
  <c r="H147" s="1"/>
  <c r="E106"/>
  <c r="I147" s="1"/>
  <c r="D106"/>
  <c r="E147" s="1"/>
  <c r="A106"/>
  <c r="G105"/>
  <c r="D150" s="1"/>
  <c r="F105"/>
  <c r="H150" s="1"/>
  <c r="E105"/>
  <c r="I150" s="1"/>
  <c r="D105"/>
  <c r="A105"/>
  <c r="G104"/>
  <c r="D149" s="1"/>
  <c r="F104"/>
  <c r="H149" s="1"/>
  <c r="E104"/>
  <c r="I149" s="1"/>
  <c r="D104"/>
  <c r="A104"/>
  <c r="C98"/>
  <c r="C97"/>
  <c r="C95"/>
  <c r="C93"/>
  <c r="C92"/>
  <c r="C91"/>
  <c r="C90"/>
  <c r="C89"/>
  <c r="C88"/>
  <c r="C87"/>
  <c r="C86"/>
  <c r="C85"/>
  <c r="C84"/>
  <c r="C83"/>
  <c r="C82"/>
  <c r="A82"/>
  <c r="A83" s="1"/>
  <c r="A84" s="1"/>
  <c r="A85" s="1"/>
  <c r="A86" s="1"/>
  <c r="A87" s="1"/>
  <c r="A88" s="1"/>
  <c r="A89" s="1"/>
  <c r="A90" s="1"/>
  <c r="A91" s="1"/>
  <c r="A92" s="1"/>
  <c r="A93" s="1"/>
  <c r="A95" s="1"/>
  <c r="A97" s="1"/>
  <c r="A98" s="1"/>
  <c r="C81"/>
  <c r="O70"/>
  <c r="N70"/>
  <c r="M70"/>
  <c r="L70"/>
  <c r="H70"/>
  <c r="C70"/>
  <c r="A73" s="1"/>
  <c r="G69"/>
  <c r="F69"/>
  <c r="H93" s="1"/>
  <c r="E69"/>
  <c r="I93" s="1"/>
  <c r="D69"/>
  <c r="E93" s="1"/>
  <c r="A69"/>
  <c r="B93" s="1"/>
  <c r="G68"/>
  <c r="F68"/>
  <c r="H92" s="1"/>
  <c r="E68"/>
  <c r="I92" s="1"/>
  <c r="D68"/>
  <c r="I68" s="1"/>
  <c r="J68" s="1"/>
  <c r="A68"/>
  <c r="B92" s="1"/>
  <c r="G67"/>
  <c r="F67"/>
  <c r="H91" s="1"/>
  <c r="E67"/>
  <c r="I91" s="1"/>
  <c r="D67"/>
  <c r="E91" s="1"/>
  <c r="A67"/>
  <c r="B91" s="1"/>
  <c r="G66"/>
  <c r="F66"/>
  <c r="H90" s="1"/>
  <c r="E66"/>
  <c r="I90" s="1"/>
  <c r="D66"/>
  <c r="A66"/>
  <c r="B90" s="1"/>
  <c r="G65"/>
  <c r="F65"/>
  <c r="H89" s="1"/>
  <c r="E65"/>
  <c r="I89" s="1"/>
  <c r="D65"/>
  <c r="E89" s="1"/>
  <c r="A65"/>
  <c r="B89" s="1"/>
  <c r="G64"/>
  <c r="F64"/>
  <c r="H88" s="1"/>
  <c r="E64"/>
  <c r="I88" s="1"/>
  <c r="D64"/>
  <c r="I64" s="1"/>
  <c r="J64" s="1"/>
  <c r="A64"/>
  <c r="B88" s="1"/>
  <c r="G63"/>
  <c r="F63"/>
  <c r="H87" s="1"/>
  <c r="E63"/>
  <c r="I87" s="1"/>
  <c r="D63"/>
  <c r="E87" s="1"/>
  <c r="A63"/>
  <c r="B87" s="1"/>
  <c r="G62"/>
  <c r="F62"/>
  <c r="H86" s="1"/>
  <c r="E62"/>
  <c r="I86" s="1"/>
  <c r="D62"/>
  <c r="A62"/>
  <c r="B86" s="1"/>
  <c r="G61"/>
  <c r="F61"/>
  <c r="H85" s="1"/>
  <c r="E61"/>
  <c r="I85" s="1"/>
  <c r="D61"/>
  <c r="E85" s="1"/>
  <c r="A61"/>
  <c r="B85" s="1"/>
  <c r="G60"/>
  <c r="F60"/>
  <c r="H84" s="1"/>
  <c r="E60"/>
  <c r="I84" s="1"/>
  <c r="D60"/>
  <c r="I60" s="1"/>
  <c r="J60" s="1"/>
  <c r="A60"/>
  <c r="B84" s="1"/>
  <c r="G59"/>
  <c r="F59"/>
  <c r="H83" s="1"/>
  <c r="E59"/>
  <c r="I83" s="1"/>
  <c r="D59"/>
  <c r="E83" s="1"/>
  <c r="A59"/>
  <c r="B83" s="1"/>
  <c r="G58"/>
  <c r="F58"/>
  <c r="H82" s="1"/>
  <c r="E58"/>
  <c r="I82" s="1"/>
  <c r="D58"/>
  <c r="A58"/>
  <c r="B82" s="1"/>
  <c r="G57"/>
  <c r="F57"/>
  <c r="H81" s="1"/>
  <c r="E57"/>
  <c r="I81" s="1"/>
  <c r="D57"/>
  <c r="E81" s="1"/>
  <c r="A57"/>
  <c r="B81" s="1"/>
  <c r="G56"/>
  <c r="F56"/>
  <c r="H95" s="1"/>
  <c r="E56"/>
  <c r="I95" s="1"/>
  <c r="D56"/>
  <c r="E95" s="1"/>
  <c r="A56"/>
  <c r="G55"/>
  <c r="D98" s="1"/>
  <c r="F55"/>
  <c r="H98" s="1"/>
  <c r="E55"/>
  <c r="I98" s="1"/>
  <c r="D55"/>
  <c r="G98" s="1"/>
  <c r="A55"/>
  <c r="G54"/>
  <c r="D97" s="1"/>
  <c r="F54"/>
  <c r="H97" s="1"/>
  <c r="J97" s="1"/>
  <c r="E54"/>
  <c r="I97" s="1"/>
  <c r="D54"/>
  <c r="A54"/>
  <c r="C48"/>
  <c r="C47"/>
  <c r="C45"/>
  <c r="C43"/>
  <c r="C42"/>
  <c r="C41"/>
  <c r="C40"/>
  <c r="C39"/>
  <c r="C38"/>
  <c r="C37"/>
  <c r="C36"/>
  <c r="C35"/>
  <c r="C34"/>
  <c r="C33"/>
  <c r="C32"/>
  <c r="A32"/>
  <c r="A33" s="1"/>
  <c r="A34" s="1"/>
  <c r="A35" s="1"/>
  <c r="A36" s="1"/>
  <c r="A37" s="1"/>
  <c r="A38" s="1"/>
  <c r="A39" s="1"/>
  <c r="A40" s="1"/>
  <c r="A41" s="1"/>
  <c r="A42" s="1"/>
  <c r="A43" s="1"/>
  <c r="A45" s="1"/>
  <c r="A47" s="1"/>
  <c r="A48" s="1"/>
  <c r="C31"/>
  <c r="O20"/>
  <c r="N20"/>
  <c r="M20"/>
  <c r="L20"/>
  <c r="H20"/>
  <c r="C20"/>
  <c r="A23" s="1"/>
  <c r="G19"/>
  <c r="F19"/>
  <c r="H43" s="1"/>
  <c r="E19"/>
  <c r="I43" s="1"/>
  <c r="D19"/>
  <c r="E43" s="1"/>
  <c r="A19"/>
  <c r="B43" s="1"/>
  <c r="G18"/>
  <c r="F18"/>
  <c r="H42" s="1"/>
  <c r="E18"/>
  <c r="I42" s="1"/>
  <c r="D18"/>
  <c r="E42" s="1"/>
  <c r="A18"/>
  <c r="B42" s="1"/>
  <c r="G17"/>
  <c r="F17"/>
  <c r="H41" s="1"/>
  <c r="E17"/>
  <c r="I41" s="1"/>
  <c r="D17"/>
  <c r="E41" s="1"/>
  <c r="A17"/>
  <c r="B41" s="1"/>
  <c r="G16"/>
  <c r="F16"/>
  <c r="H40" s="1"/>
  <c r="E16"/>
  <c r="I40" s="1"/>
  <c r="D16"/>
  <c r="E40" s="1"/>
  <c r="A16"/>
  <c r="B40" s="1"/>
  <c r="G15"/>
  <c r="F15"/>
  <c r="H39" s="1"/>
  <c r="E15"/>
  <c r="I39" s="1"/>
  <c r="D15"/>
  <c r="E39" s="1"/>
  <c r="A15"/>
  <c r="B39" s="1"/>
  <c r="G14"/>
  <c r="F14"/>
  <c r="H38" s="1"/>
  <c r="E14"/>
  <c r="I38" s="1"/>
  <c r="D14"/>
  <c r="E38" s="1"/>
  <c r="A14"/>
  <c r="B38" s="1"/>
  <c r="G13"/>
  <c r="F13"/>
  <c r="H37" s="1"/>
  <c r="E13"/>
  <c r="I37" s="1"/>
  <c r="D13"/>
  <c r="E37" s="1"/>
  <c r="A13"/>
  <c r="B37" s="1"/>
  <c r="G12"/>
  <c r="F12"/>
  <c r="H36" s="1"/>
  <c r="E12"/>
  <c r="I36" s="1"/>
  <c r="D12"/>
  <c r="E36" s="1"/>
  <c r="A12"/>
  <c r="B36" s="1"/>
  <c r="G11"/>
  <c r="F11"/>
  <c r="H35" s="1"/>
  <c r="E11"/>
  <c r="I35" s="1"/>
  <c r="D11"/>
  <c r="E35" s="1"/>
  <c r="A11"/>
  <c r="B35" s="1"/>
  <c r="G10"/>
  <c r="F10"/>
  <c r="H34" s="1"/>
  <c r="E10"/>
  <c r="I34" s="1"/>
  <c r="D10"/>
  <c r="E34" s="1"/>
  <c r="A10"/>
  <c r="B34" s="1"/>
  <c r="G9"/>
  <c r="F9"/>
  <c r="H33" s="1"/>
  <c r="E9"/>
  <c r="I33" s="1"/>
  <c r="D9"/>
  <c r="E33" s="1"/>
  <c r="A9"/>
  <c r="B33" s="1"/>
  <c r="G8"/>
  <c r="F8"/>
  <c r="H32" s="1"/>
  <c r="E8"/>
  <c r="I32" s="1"/>
  <c r="D8"/>
  <c r="E32" s="1"/>
  <c r="A8"/>
  <c r="B32" s="1"/>
  <c r="G7"/>
  <c r="F7"/>
  <c r="H31" s="1"/>
  <c r="E7"/>
  <c r="I31" s="1"/>
  <c r="D7"/>
  <c r="E31" s="1"/>
  <c r="A7"/>
  <c r="B31" s="1"/>
  <c r="G6"/>
  <c r="F6"/>
  <c r="H45" s="1"/>
  <c r="E6"/>
  <c r="I45" s="1"/>
  <c r="D6"/>
  <c r="E45" s="1"/>
  <c r="A6"/>
  <c r="G5"/>
  <c r="D48" s="1"/>
  <c r="F5"/>
  <c r="H48" s="1"/>
  <c r="E5"/>
  <c r="I48" s="1"/>
  <c r="D5"/>
  <c r="G48" s="1"/>
  <c r="A5"/>
  <c r="G4"/>
  <c r="D47" s="1"/>
  <c r="F4"/>
  <c r="H47" s="1"/>
  <c r="E4"/>
  <c r="I47" s="1"/>
  <c r="D4"/>
  <c r="A4"/>
  <c r="D121" l="1"/>
  <c r="I313"/>
  <c r="J313" s="1"/>
  <c r="I693"/>
  <c r="J693" s="1"/>
  <c r="I697"/>
  <c r="J697" s="1"/>
  <c r="I701"/>
  <c r="J701" s="1"/>
  <c r="I876"/>
  <c r="J876" s="1"/>
  <c r="I1011"/>
  <c r="I1017"/>
  <c r="J1017" s="1"/>
  <c r="C1485"/>
  <c r="J1485" s="1"/>
  <c r="C1273"/>
  <c r="J1273" s="1"/>
  <c r="K1273" s="1"/>
  <c r="J1233"/>
  <c r="K1233" s="1"/>
  <c r="J1517"/>
  <c r="G27" i="153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7" i="16"/>
  <c r="B280" s="1"/>
  <c r="I516"/>
  <c r="J516" s="1"/>
  <c r="J915"/>
  <c r="K915" s="1"/>
  <c r="I880"/>
  <c r="J880" s="1"/>
  <c r="I971"/>
  <c r="J971" s="1"/>
  <c r="I1057"/>
  <c r="J1104"/>
  <c r="I555"/>
  <c r="J555" s="1"/>
  <c r="I559"/>
  <c r="J559" s="1"/>
  <c r="I655"/>
  <c r="J655" s="1"/>
  <c r="C820"/>
  <c r="J868"/>
  <c r="D888"/>
  <c r="G890" s="1"/>
  <c r="C916"/>
  <c r="I924"/>
  <c r="J924" s="1"/>
  <c r="I928"/>
  <c r="J928" s="1"/>
  <c r="I932"/>
  <c r="J932" s="1"/>
  <c r="I972"/>
  <c r="J972" s="1"/>
  <c r="I1018"/>
  <c r="J1018" s="1"/>
  <c r="I1064"/>
  <c r="J1064" s="1"/>
  <c r="I1072"/>
  <c r="J1072" s="1"/>
  <c r="I1076"/>
  <c r="J1076" s="1"/>
  <c r="C1105"/>
  <c r="C1178"/>
  <c r="J1211"/>
  <c r="K1211" s="1"/>
  <c r="J1212"/>
  <c r="K1212" s="1"/>
  <c r="J1213"/>
  <c r="K1213" s="1"/>
  <c r="J1214"/>
  <c r="K1214" s="1"/>
  <c r="J1215"/>
  <c r="K1215" s="1"/>
  <c r="C1248"/>
  <c r="J1300"/>
  <c r="K1300" s="1"/>
  <c r="I557"/>
  <c r="J557" s="1"/>
  <c r="E579"/>
  <c r="I565"/>
  <c r="J565" s="1"/>
  <c r="E587"/>
  <c r="C203"/>
  <c r="D375"/>
  <c r="C403"/>
  <c r="F472"/>
  <c r="D613"/>
  <c r="I647"/>
  <c r="J647" s="1"/>
  <c r="I651"/>
  <c r="J651" s="1"/>
  <c r="J728"/>
  <c r="J772"/>
  <c r="J818"/>
  <c r="I884"/>
  <c r="J884" s="1"/>
  <c r="F936"/>
  <c r="J1164"/>
  <c r="G566"/>
  <c r="B569" s="1"/>
  <c r="I563"/>
  <c r="J563" s="1"/>
  <c r="C593"/>
  <c r="E583"/>
  <c r="D591"/>
  <c r="I600"/>
  <c r="J600" s="1"/>
  <c r="D703"/>
  <c r="G705" s="1"/>
  <c r="C774"/>
  <c r="C99"/>
  <c r="E277"/>
  <c r="C280" s="1"/>
  <c r="D280" s="1"/>
  <c r="I262"/>
  <c r="J262" s="1"/>
  <c r="I409"/>
  <c r="J409" s="1"/>
  <c r="D472"/>
  <c r="G474" s="1"/>
  <c r="D520"/>
  <c r="I518"/>
  <c r="J518" s="1"/>
  <c r="E540"/>
  <c r="E538"/>
  <c r="D566"/>
  <c r="I556"/>
  <c r="J556" s="1"/>
  <c r="I560"/>
  <c r="J560" s="1"/>
  <c r="I564"/>
  <c r="J564" s="1"/>
  <c r="E581"/>
  <c r="C1264"/>
  <c r="J1264" s="1"/>
  <c r="K1264" s="1"/>
  <c r="J1241"/>
  <c r="K1241" s="1"/>
  <c r="K1282"/>
  <c r="J1224"/>
  <c r="K1224" s="1"/>
  <c r="D70"/>
  <c r="I58"/>
  <c r="J58" s="1"/>
  <c r="I62"/>
  <c r="J62" s="1"/>
  <c r="I66"/>
  <c r="J66" s="1"/>
  <c r="I105"/>
  <c r="J105" s="1"/>
  <c r="I109"/>
  <c r="J109" s="1"/>
  <c r="I113"/>
  <c r="J113" s="1"/>
  <c r="I117"/>
  <c r="J117" s="1"/>
  <c r="J253"/>
  <c r="I210"/>
  <c r="J210" s="1"/>
  <c r="C255"/>
  <c r="I261"/>
  <c r="J261" s="1"/>
  <c r="I274"/>
  <c r="J274" s="1"/>
  <c r="C306"/>
  <c r="J353"/>
  <c r="K353" s="1"/>
  <c r="I314"/>
  <c r="J314" s="1"/>
  <c r="I361"/>
  <c r="J361" s="1"/>
  <c r="I408"/>
  <c r="C451"/>
  <c r="J500"/>
  <c r="K500" s="1"/>
  <c r="I468"/>
  <c r="J468" s="1"/>
  <c r="G520"/>
  <c r="B523" s="1"/>
  <c r="J546"/>
  <c r="I509"/>
  <c r="J509" s="1"/>
  <c r="I513"/>
  <c r="J513" s="1"/>
  <c r="I517"/>
  <c r="J517" s="1"/>
  <c r="C547"/>
  <c r="F566"/>
  <c r="I554"/>
  <c r="J554" s="1"/>
  <c r="I558"/>
  <c r="J558" s="1"/>
  <c r="I562"/>
  <c r="J562" s="1"/>
  <c r="J684"/>
  <c r="K684" s="1"/>
  <c r="I649"/>
  <c r="J649" s="1"/>
  <c r="I653"/>
  <c r="J653" s="1"/>
  <c r="C685"/>
  <c r="I691"/>
  <c r="J691" s="1"/>
  <c r="I695"/>
  <c r="J695" s="1"/>
  <c r="I699"/>
  <c r="J699" s="1"/>
  <c r="D747"/>
  <c r="D793"/>
  <c r="G795" s="1"/>
  <c r="I874"/>
  <c r="J874" s="1"/>
  <c r="I878"/>
  <c r="J878" s="1"/>
  <c r="I882"/>
  <c r="J882" s="1"/>
  <c r="I886"/>
  <c r="J886" s="1"/>
  <c r="D936"/>
  <c r="G938" s="1"/>
  <c r="C964"/>
  <c r="G984"/>
  <c r="B987" s="1"/>
  <c r="J1009"/>
  <c r="K1009" s="1"/>
  <c r="I973"/>
  <c r="J973" s="1"/>
  <c r="C1011"/>
  <c r="G1030"/>
  <c r="B1033" s="1"/>
  <c r="J1055"/>
  <c r="I1019"/>
  <c r="J1019" s="1"/>
  <c r="C1057"/>
  <c r="G1077"/>
  <c r="B1080" s="1"/>
  <c r="I1065"/>
  <c r="J1065" s="1"/>
  <c r="J1161"/>
  <c r="I1112"/>
  <c r="J1112" s="1"/>
  <c r="J1166"/>
  <c r="C1153"/>
  <c r="J1200"/>
  <c r="K1200" s="1"/>
  <c r="J1210"/>
  <c r="K1210" s="1"/>
  <c r="J1223"/>
  <c r="K1223" s="1"/>
  <c r="J1239"/>
  <c r="K1239" s="1"/>
  <c r="J1346"/>
  <c r="K1346" s="1"/>
  <c r="J1541"/>
  <c r="AX19" i="191"/>
  <c r="J48" i="16"/>
  <c r="C49"/>
  <c r="D20"/>
  <c r="AV19" i="191"/>
  <c r="AV21" s="1"/>
  <c r="C7" i="153"/>
  <c r="J31" i="16"/>
  <c r="J43"/>
  <c r="J95"/>
  <c r="J47"/>
  <c r="J45"/>
  <c r="I49"/>
  <c r="J32"/>
  <c r="J34"/>
  <c r="J36"/>
  <c r="J38"/>
  <c r="J40"/>
  <c r="J42"/>
  <c r="J98"/>
  <c r="J81"/>
  <c r="J83"/>
  <c r="J85"/>
  <c r="J87"/>
  <c r="J89"/>
  <c r="J91"/>
  <c r="J93"/>
  <c r="J149"/>
  <c r="J147"/>
  <c r="I151"/>
  <c r="J133"/>
  <c r="J135"/>
  <c r="J137"/>
  <c r="J139"/>
  <c r="J141"/>
  <c r="J143"/>
  <c r="J145"/>
  <c r="J33"/>
  <c r="J35"/>
  <c r="J37"/>
  <c r="J39"/>
  <c r="J41"/>
  <c r="I99"/>
  <c r="I5"/>
  <c r="J5" s="1"/>
  <c r="I7"/>
  <c r="J7" s="1"/>
  <c r="I4"/>
  <c r="I6"/>
  <c r="J6" s="1"/>
  <c r="I8"/>
  <c r="J8" s="1"/>
  <c r="I10"/>
  <c r="J10" s="1"/>
  <c r="I12"/>
  <c r="J12" s="1"/>
  <c r="I14"/>
  <c r="J14" s="1"/>
  <c r="I16"/>
  <c r="J16" s="1"/>
  <c r="I18"/>
  <c r="J18" s="1"/>
  <c r="F20"/>
  <c r="I55"/>
  <c r="J55" s="1"/>
  <c r="I57"/>
  <c r="J57" s="1"/>
  <c r="I59"/>
  <c r="J59" s="1"/>
  <c r="I61"/>
  <c r="J61" s="1"/>
  <c r="I63"/>
  <c r="J63" s="1"/>
  <c r="I65"/>
  <c r="J65" s="1"/>
  <c r="I67"/>
  <c r="J67" s="1"/>
  <c r="I69"/>
  <c r="J69" s="1"/>
  <c r="E70"/>
  <c r="C73" s="1"/>
  <c r="G70"/>
  <c r="B73" s="1"/>
  <c r="E82"/>
  <c r="J82" s="1"/>
  <c r="K82" s="1"/>
  <c r="E84"/>
  <c r="J84" s="1"/>
  <c r="K84" s="1"/>
  <c r="E86"/>
  <c r="J86" s="1"/>
  <c r="E88"/>
  <c r="J88" s="1"/>
  <c r="K88" s="1"/>
  <c r="E90"/>
  <c r="J90" s="1"/>
  <c r="E92"/>
  <c r="J92" s="1"/>
  <c r="K92" s="1"/>
  <c r="I104"/>
  <c r="I106"/>
  <c r="J106" s="1"/>
  <c r="I108"/>
  <c r="J108" s="1"/>
  <c r="I110"/>
  <c r="J110" s="1"/>
  <c r="I112"/>
  <c r="J112" s="1"/>
  <c r="I114"/>
  <c r="J114" s="1"/>
  <c r="I116"/>
  <c r="J116" s="1"/>
  <c r="I118"/>
  <c r="J118" s="1"/>
  <c r="I120"/>
  <c r="J120" s="1"/>
  <c r="E121"/>
  <c r="C124" s="1"/>
  <c r="G121"/>
  <c r="B124" s="1"/>
  <c r="D124" s="1"/>
  <c r="E132"/>
  <c r="J132" s="1"/>
  <c r="E134"/>
  <c r="J134" s="1"/>
  <c r="K134" s="1"/>
  <c r="E136"/>
  <c r="J136" s="1"/>
  <c r="K136" s="1"/>
  <c r="E138"/>
  <c r="J138" s="1"/>
  <c r="K138" s="1"/>
  <c r="E140"/>
  <c r="J140" s="1"/>
  <c r="K140" s="1"/>
  <c r="E142"/>
  <c r="J142" s="1"/>
  <c r="E144"/>
  <c r="J144" s="1"/>
  <c r="K144" s="1"/>
  <c r="G150"/>
  <c r="J150" s="1"/>
  <c r="K150" s="1"/>
  <c r="D173"/>
  <c r="H201"/>
  <c r="F173"/>
  <c r="I156"/>
  <c r="J199"/>
  <c r="K199" s="1"/>
  <c r="I158"/>
  <c r="J158" s="1"/>
  <c r="J185"/>
  <c r="I160"/>
  <c r="J160" s="1"/>
  <c r="J191"/>
  <c r="J193"/>
  <c r="J195"/>
  <c r="J197"/>
  <c r="J254"/>
  <c r="J236"/>
  <c r="J238"/>
  <c r="J240"/>
  <c r="J242"/>
  <c r="J244"/>
  <c r="J246"/>
  <c r="J248"/>
  <c r="J305"/>
  <c r="K305" s="1"/>
  <c r="J288"/>
  <c r="J290"/>
  <c r="J292"/>
  <c r="J294"/>
  <c r="J296"/>
  <c r="J297"/>
  <c r="J299"/>
  <c r="J354"/>
  <c r="K354" s="1"/>
  <c r="J338"/>
  <c r="J340"/>
  <c r="J342"/>
  <c r="J344"/>
  <c r="J346"/>
  <c r="J348"/>
  <c r="J401"/>
  <c r="J399"/>
  <c r="I403"/>
  <c r="J387"/>
  <c r="J389"/>
  <c r="J391"/>
  <c r="J393"/>
  <c r="J395"/>
  <c r="J397"/>
  <c r="J450"/>
  <c r="K450" s="1"/>
  <c r="J434"/>
  <c r="J436"/>
  <c r="J438"/>
  <c r="J440"/>
  <c r="J442"/>
  <c r="J444"/>
  <c r="J497"/>
  <c r="I501"/>
  <c r="J484"/>
  <c r="J486"/>
  <c r="J488"/>
  <c r="J490"/>
  <c r="J493"/>
  <c r="J495"/>
  <c r="J543"/>
  <c r="J532"/>
  <c r="J534"/>
  <c r="J536"/>
  <c r="J538"/>
  <c r="K538" s="1"/>
  <c r="J540"/>
  <c r="K540" s="1"/>
  <c r="J592"/>
  <c r="K592" s="1"/>
  <c r="J577"/>
  <c r="J579"/>
  <c r="K579" s="1"/>
  <c r="J581"/>
  <c r="K581" s="1"/>
  <c r="J583"/>
  <c r="K583" s="1"/>
  <c r="J585"/>
  <c r="J587"/>
  <c r="I9"/>
  <c r="J9" s="1"/>
  <c r="I11"/>
  <c r="J11" s="1"/>
  <c r="I13"/>
  <c r="J13" s="1"/>
  <c r="I15"/>
  <c r="J15" s="1"/>
  <c r="I17"/>
  <c r="J17" s="1"/>
  <c r="I19"/>
  <c r="J19" s="1"/>
  <c r="E20"/>
  <c r="C23" s="1"/>
  <c r="G20"/>
  <c r="B23" s="1"/>
  <c r="I54"/>
  <c r="I56"/>
  <c r="J56" s="1"/>
  <c r="F70"/>
  <c r="G72" s="1"/>
  <c r="F121"/>
  <c r="G123" s="1"/>
  <c r="I201"/>
  <c r="I203" s="1"/>
  <c r="E173"/>
  <c r="C176" s="1"/>
  <c r="D201"/>
  <c r="G173"/>
  <c r="B176" s="1"/>
  <c r="D176" s="1"/>
  <c r="J202"/>
  <c r="I157"/>
  <c r="J157" s="1"/>
  <c r="J184"/>
  <c r="I159"/>
  <c r="J159" s="1"/>
  <c r="J186"/>
  <c r="I161"/>
  <c r="J161" s="1"/>
  <c r="J187"/>
  <c r="J188"/>
  <c r="I163"/>
  <c r="J163" s="1"/>
  <c r="J189"/>
  <c r="E190"/>
  <c r="I165"/>
  <c r="J165" s="1"/>
  <c r="J190"/>
  <c r="J192"/>
  <c r="J194"/>
  <c r="J196"/>
  <c r="J208"/>
  <c r="K253"/>
  <c r="I255"/>
  <c r="J237"/>
  <c r="J239"/>
  <c r="J241"/>
  <c r="J243"/>
  <c r="J245"/>
  <c r="J247"/>
  <c r="J249"/>
  <c r="J302"/>
  <c r="J289"/>
  <c r="J291"/>
  <c r="J293"/>
  <c r="J295"/>
  <c r="J312"/>
  <c r="I355"/>
  <c r="J339"/>
  <c r="J341"/>
  <c r="J343"/>
  <c r="J345"/>
  <c r="J347"/>
  <c r="J349"/>
  <c r="K402"/>
  <c r="J386"/>
  <c r="J388"/>
  <c r="J390"/>
  <c r="J392"/>
  <c r="J394"/>
  <c r="J396"/>
  <c r="J408"/>
  <c r="K449"/>
  <c r="I451"/>
  <c r="J435"/>
  <c r="J437"/>
  <c r="J439"/>
  <c r="J441"/>
  <c r="J443"/>
  <c r="J445"/>
  <c r="J483"/>
  <c r="J485"/>
  <c r="J487"/>
  <c r="J489"/>
  <c r="J491"/>
  <c r="K491" s="1"/>
  <c r="K546"/>
  <c r="D523"/>
  <c r="I593"/>
  <c r="I167"/>
  <c r="J167" s="1"/>
  <c r="I169"/>
  <c r="J169" s="1"/>
  <c r="I171"/>
  <c r="J171" s="1"/>
  <c r="I209"/>
  <c r="J209" s="1"/>
  <c r="I211"/>
  <c r="J211" s="1"/>
  <c r="I213"/>
  <c r="J213" s="1"/>
  <c r="I215"/>
  <c r="J215" s="1"/>
  <c r="I217"/>
  <c r="J217" s="1"/>
  <c r="I219"/>
  <c r="J219" s="1"/>
  <c r="I221"/>
  <c r="J221" s="1"/>
  <c r="I223"/>
  <c r="J223" s="1"/>
  <c r="D225"/>
  <c r="F225"/>
  <c r="E251"/>
  <c r="J251" s="1"/>
  <c r="K251" s="1"/>
  <c r="I264"/>
  <c r="J264" s="1"/>
  <c r="I266"/>
  <c r="J266" s="1"/>
  <c r="I268"/>
  <c r="J268" s="1"/>
  <c r="I270"/>
  <c r="J270" s="1"/>
  <c r="I272"/>
  <c r="J272" s="1"/>
  <c r="I273"/>
  <c r="J273" s="1"/>
  <c r="I275"/>
  <c r="J275" s="1"/>
  <c r="D277"/>
  <c r="F277"/>
  <c r="E298"/>
  <c r="J298" s="1"/>
  <c r="K298" s="1"/>
  <c r="E300"/>
  <c r="J300" s="1"/>
  <c r="K300" s="1"/>
  <c r="D304"/>
  <c r="I304"/>
  <c r="J304" s="1"/>
  <c r="K304" s="1"/>
  <c r="I315"/>
  <c r="J315" s="1"/>
  <c r="I317"/>
  <c r="J317" s="1"/>
  <c r="I319"/>
  <c r="J319" s="1"/>
  <c r="I321"/>
  <c r="J321" s="1"/>
  <c r="I323"/>
  <c r="J323" s="1"/>
  <c r="I325"/>
  <c r="J325" s="1"/>
  <c r="D327"/>
  <c r="F327"/>
  <c r="E351"/>
  <c r="J351" s="1"/>
  <c r="I360"/>
  <c r="I362"/>
  <c r="J362" s="1"/>
  <c r="I364"/>
  <c r="J364" s="1"/>
  <c r="I366"/>
  <c r="J366" s="1"/>
  <c r="I368"/>
  <c r="J368" s="1"/>
  <c r="I370"/>
  <c r="J370" s="1"/>
  <c r="I372"/>
  <c r="J372" s="1"/>
  <c r="I374"/>
  <c r="J374" s="1"/>
  <c r="E375"/>
  <c r="C378" s="1"/>
  <c r="G375"/>
  <c r="B378" s="1"/>
  <c r="D378" s="1"/>
  <c r="I411"/>
  <c r="J411" s="1"/>
  <c r="I413"/>
  <c r="J413" s="1"/>
  <c r="I415"/>
  <c r="J415" s="1"/>
  <c r="I417"/>
  <c r="J417" s="1"/>
  <c r="I419"/>
  <c r="J419" s="1"/>
  <c r="I421"/>
  <c r="J421" s="1"/>
  <c r="D423"/>
  <c r="F423"/>
  <c r="E447"/>
  <c r="J447" s="1"/>
  <c r="K447" s="1"/>
  <c r="I456"/>
  <c r="I458"/>
  <c r="J458" s="1"/>
  <c r="I460"/>
  <c r="J460" s="1"/>
  <c r="I462"/>
  <c r="J462" s="1"/>
  <c r="I464"/>
  <c r="J464" s="1"/>
  <c r="I466"/>
  <c r="J466" s="1"/>
  <c r="I469"/>
  <c r="J469" s="1"/>
  <c r="I471"/>
  <c r="J471" s="1"/>
  <c r="E472"/>
  <c r="C475" s="1"/>
  <c r="G472"/>
  <c r="B475" s="1"/>
  <c r="E492"/>
  <c r="J492" s="1"/>
  <c r="K492" s="1"/>
  <c r="E494"/>
  <c r="J494" s="1"/>
  <c r="K494" s="1"/>
  <c r="H499"/>
  <c r="J499" s="1"/>
  <c r="K499" s="1"/>
  <c r="I506"/>
  <c r="I508"/>
  <c r="J508" s="1"/>
  <c r="I510"/>
  <c r="J510" s="1"/>
  <c r="I512"/>
  <c r="J512" s="1"/>
  <c r="I514"/>
  <c r="J514" s="1"/>
  <c r="F520"/>
  <c r="E531"/>
  <c r="J531" s="1"/>
  <c r="E533"/>
  <c r="J533" s="1"/>
  <c r="K533" s="1"/>
  <c r="E535"/>
  <c r="J535" s="1"/>
  <c r="K535" s="1"/>
  <c r="E537"/>
  <c r="J537" s="1"/>
  <c r="K537" s="1"/>
  <c r="E539"/>
  <c r="J539" s="1"/>
  <c r="K539" s="1"/>
  <c r="E541"/>
  <c r="J541" s="1"/>
  <c r="K541" s="1"/>
  <c r="D545"/>
  <c r="I545"/>
  <c r="J545" s="1"/>
  <c r="K545" s="1"/>
  <c r="E566"/>
  <c r="C569" s="1"/>
  <c r="D569" s="1"/>
  <c r="E578"/>
  <c r="J578" s="1"/>
  <c r="K578" s="1"/>
  <c r="E580"/>
  <c r="J580" s="1"/>
  <c r="K580" s="1"/>
  <c r="E582"/>
  <c r="J582" s="1"/>
  <c r="K582" s="1"/>
  <c r="E584"/>
  <c r="J584" s="1"/>
  <c r="K584" s="1"/>
  <c r="E586"/>
  <c r="J586" s="1"/>
  <c r="E589"/>
  <c r="J589" s="1"/>
  <c r="K589" s="1"/>
  <c r="H591"/>
  <c r="J591" s="1"/>
  <c r="J638"/>
  <c r="K638" s="1"/>
  <c r="I599"/>
  <c r="J636"/>
  <c r="I601"/>
  <c r="J601" s="1"/>
  <c r="I640"/>
  <c r="J625"/>
  <c r="I603"/>
  <c r="J603" s="1"/>
  <c r="J626"/>
  <c r="I605"/>
  <c r="J605" s="1"/>
  <c r="J629"/>
  <c r="I607"/>
  <c r="J607" s="1"/>
  <c r="J631"/>
  <c r="I609"/>
  <c r="J609" s="1"/>
  <c r="J633"/>
  <c r="I611"/>
  <c r="J611" s="1"/>
  <c r="F613"/>
  <c r="G615" s="1"/>
  <c r="E624"/>
  <c r="J624" s="1"/>
  <c r="J683"/>
  <c r="J681"/>
  <c r="I685"/>
  <c r="J671"/>
  <c r="J673"/>
  <c r="J675"/>
  <c r="J678"/>
  <c r="A677"/>
  <c r="A679" s="1"/>
  <c r="A681" s="1"/>
  <c r="A683" s="1"/>
  <c r="A684" s="1"/>
  <c r="A676"/>
  <c r="A678" s="1"/>
  <c r="J725"/>
  <c r="I729"/>
  <c r="J715"/>
  <c r="J717"/>
  <c r="J719"/>
  <c r="J721"/>
  <c r="J723"/>
  <c r="J773"/>
  <c r="K773" s="1"/>
  <c r="J758"/>
  <c r="J760"/>
  <c r="J762"/>
  <c r="J764"/>
  <c r="J766"/>
  <c r="J768"/>
  <c r="J819"/>
  <c r="K819" s="1"/>
  <c r="J804"/>
  <c r="J806"/>
  <c r="J808"/>
  <c r="J810"/>
  <c r="J812"/>
  <c r="J814"/>
  <c r="I162"/>
  <c r="J162" s="1"/>
  <c r="I164"/>
  <c r="J164" s="1"/>
  <c r="I166"/>
  <c r="J166" s="1"/>
  <c r="I168"/>
  <c r="J168" s="1"/>
  <c r="I170"/>
  <c r="J170" s="1"/>
  <c r="I172"/>
  <c r="J172" s="1"/>
  <c r="I212"/>
  <c r="J212" s="1"/>
  <c r="I214"/>
  <c r="J214" s="1"/>
  <c r="I216"/>
  <c r="J216" s="1"/>
  <c r="I218"/>
  <c r="J218" s="1"/>
  <c r="I220"/>
  <c r="J220" s="1"/>
  <c r="I222"/>
  <c r="J222" s="1"/>
  <c r="I224"/>
  <c r="J224" s="1"/>
  <c r="E225"/>
  <c r="C228" s="1"/>
  <c r="G225"/>
  <c r="B228" s="1"/>
  <c r="I263"/>
  <c r="J263" s="1"/>
  <c r="I265"/>
  <c r="J265" s="1"/>
  <c r="I267"/>
  <c r="J267" s="1"/>
  <c r="I269"/>
  <c r="J269" s="1"/>
  <c r="I271"/>
  <c r="J271" s="1"/>
  <c r="I316"/>
  <c r="J316" s="1"/>
  <c r="I318"/>
  <c r="J318" s="1"/>
  <c r="I320"/>
  <c r="J320" s="1"/>
  <c r="I322"/>
  <c r="J322" s="1"/>
  <c r="I324"/>
  <c r="J324" s="1"/>
  <c r="I326"/>
  <c r="J326" s="1"/>
  <c r="E327"/>
  <c r="C330" s="1"/>
  <c r="G327"/>
  <c r="B330" s="1"/>
  <c r="I363"/>
  <c r="J363" s="1"/>
  <c r="I365"/>
  <c r="J365" s="1"/>
  <c r="I367"/>
  <c r="J367" s="1"/>
  <c r="I369"/>
  <c r="J369" s="1"/>
  <c r="I371"/>
  <c r="J371" s="1"/>
  <c r="I373"/>
  <c r="J373" s="1"/>
  <c r="F375"/>
  <c r="I412"/>
  <c r="J412" s="1"/>
  <c r="I414"/>
  <c r="J414" s="1"/>
  <c r="I416"/>
  <c r="J416" s="1"/>
  <c r="I418"/>
  <c r="J418" s="1"/>
  <c r="I420"/>
  <c r="J420" s="1"/>
  <c r="I422"/>
  <c r="J422" s="1"/>
  <c r="E423"/>
  <c r="C426" s="1"/>
  <c r="G423"/>
  <c r="B426" s="1"/>
  <c r="I459"/>
  <c r="J459" s="1"/>
  <c r="I461"/>
  <c r="J461" s="1"/>
  <c r="I463"/>
  <c r="J463" s="1"/>
  <c r="I465"/>
  <c r="J465" s="1"/>
  <c r="I552"/>
  <c r="J628"/>
  <c r="K628" s="1"/>
  <c r="I604"/>
  <c r="J604" s="1"/>
  <c r="J627"/>
  <c r="I606"/>
  <c r="J606" s="1"/>
  <c r="J630"/>
  <c r="K630" s="1"/>
  <c r="I608"/>
  <c r="J608" s="1"/>
  <c r="J632"/>
  <c r="I610"/>
  <c r="J610" s="1"/>
  <c r="J634"/>
  <c r="K634" s="1"/>
  <c r="I612"/>
  <c r="J612" s="1"/>
  <c r="E613"/>
  <c r="C616" s="1"/>
  <c r="G613"/>
  <c r="B616" s="1"/>
  <c r="D616" s="1"/>
  <c r="A630"/>
  <c r="A632" s="1"/>
  <c r="A634" s="1"/>
  <c r="A636" s="1"/>
  <c r="A638" s="1"/>
  <c r="A639" s="1"/>
  <c r="A631"/>
  <c r="A633" s="1"/>
  <c r="J677"/>
  <c r="J679"/>
  <c r="A721"/>
  <c r="A723" s="1"/>
  <c r="A725" s="1"/>
  <c r="A727" s="1"/>
  <c r="A728" s="1"/>
  <c r="A720"/>
  <c r="A722" s="1"/>
  <c r="J770"/>
  <c r="I774"/>
  <c r="J759"/>
  <c r="J761"/>
  <c r="J763"/>
  <c r="J765"/>
  <c r="J767"/>
  <c r="A764"/>
  <c r="A766" s="1"/>
  <c r="A768" s="1"/>
  <c r="A770" s="1"/>
  <c r="A772" s="1"/>
  <c r="A773" s="1"/>
  <c r="A765"/>
  <c r="A767" s="1"/>
  <c r="J816"/>
  <c r="I820"/>
  <c r="J805"/>
  <c r="J807"/>
  <c r="J809"/>
  <c r="J811"/>
  <c r="J813"/>
  <c r="A810"/>
  <c r="A812" s="1"/>
  <c r="A814" s="1"/>
  <c r="A816" s="1"/>
  <c r="A818" s="1"/>
  <c r="A819" s="1"/>
  <c r="A811"/>
  <c r="A813" s="1"/>
  <c r="I646"/>
  <c r="I648"/>
  <c r="J648" s="1"/>
  <c r="I650"/>
  <c r="J650" s="1"/>
  <c r="I652"/>
  <c r="J652" s="1"/>
  <c r="I657"/>
  <c r="J657" s="1"/>
  <c r="F659"/>
  <c r="G661" s="1"/>
  <c r="E670"/>
  <c r="J670" s="1"/>
  <c r="E672"/>
  <c r="J672" s="1"/>
  <c r="E674"/>
  <c r="J674" s="1"/>
  <c r="K674" s="1"/>
  <c r="E676"/>
  <c r="J676" s="1"/>
  <c r="K676" s="1"/>
  <c r="I690"/>
  <c r="I692"/>
  <c r="J692" s="1"/>
  <c r="I694"/>
  <c r="J694" s="1"/>
  <c r="I696"/>
  <c r="J696" s="1"/>
  <c r="I698"/>
  <c r="J698" s="1"/>
  <c r="I700"/>
  <c r="J700" s="1"/>
  <c r="I702"/>
  <c r="J702" s="1"/>
  <c r="E703"/>
  <c r="C706" s="1"/>
  <c r="G703"/>
  <c r="B706" s="1"/>
  <c r="E714"/>
  <c r="J714" s="1"/>
  <c r="E716"/>
  <c r="J716" s="1"/>
  <c r="K716" s="1"/>
  <c r="E718"/>
  <c r="J718" s="1"/>
  <c r="K718" s="1"/>
  <c r="E720"/>
  <c r="J720" s="1"/>
  <c r="K720" s="1"/>
  <c r="E722"/>
  <c r="J722" s="1"/>
  <c r="K722" s="1"/>
  <c r="H727"/>
  <c r="J727" s="1"/>
  <c r="K727" s="1"/>
  <c r="I733"/>
  <c r="I735"/>
  <c r="J735" s="1"/>
  <c r="I737"/>
  <c r="J737" s="1"/>
  <c r="I739"/>
  <c r="J739" s="1"/>
  <c r="I741"/>
  <c r="J741" s="1"/>
  <c r="I743"/>
  <c r="J743" s="1"/>
  <c r="I745"/>
  <c r="J745" s="1"/>
  <c r="F747"/>
  <c r="G749" s="1"/>
  <c r="I779"/>
  <c r="K818" s="1"/>
  <c r="I781"/>
  <c r="J781" s="1"/>
  <c r="I783"/>
  <c r="J783" s="1"/>
  <c r="I785"/>
  <c r="J785" s="1"/>
  <c r="I787"/>
  <c r="J787" s="1"/>
  <c r="I789"/>
  <c r="J789" s="1"/>
  <c r="I791"/>
  <c r="J791" s="1"/>
  <c r="F793"/>
  <c r="D840"/>
  <c r="H867"/>
  <c r="F840"/>
  <c r="I824"/>
  <c r="J865"/>
  <c r="K865" s="1"/>
  <c r="I826"/>
  <c r="J826" s="1"/>
  <c r="J852"/>
  <c r="I828"/>
  <c r="J828" s="1"/>
  <c r="J854"/>
  <c r="I830"/>
  <c r="J830" s="1"/>
  <c r="J856"/>
  <c r="I832"/>
  <c r="J832" s="1"/>
  <c r="J858"/>
  <c r="I834"/>
  <c r="J834" s="1"/>
  <c r="J860"/>
  <c r="I836"/>
  <c r="J836" s="1"/>
  <c r="J863"/>
  <c r="J912"/>
  <c r="I916"/>
  <c r="J900"/>
  <c r="J902"/>
  <c r="J904"/>
  <c r="J906"/>
  <c r="J908"/>
  <c r="J910"/>
  <c r="J963"/>
  <c r="K963" s="1"/>
  <c r="A954"/>
  <c r="A956" s="1"/>
  <c r="A958" s="1"/>
  <c r="A960" s="1"/>
  <c r="A962" s="1"/>
  <c r="A963" s="1"/>
  <c r="A955"/>
  <c r="A957" s="1"/>
  <c r="J995"/>
  <c r="J1010"/>
  <c r="J996"/>
  <c r="J998"/>
  <c r="J1000"/>
  <c r="J1002"/>
  <c r="J1004"/>
  <c r="A1003"/>
  <c r="A1002"/>
  <c r="A1004" s="1"/>
  <c r="A1005" s="1"/>
  <c r="A1007" s="1"/>
  <c r="A1009" s="1"/>
  <c r="A1010" s="1"/>
  <c r="J1041"/>
  <c r="J1056"/>
  <c r="J1042"/>
  <c r="J1044"/>
  <c r="J1046"/>
  <c r="J1048"/>
  <c r="J1050"/>
  <c r="A1049"/>
  <c r="A1048"/>
  <c r="A1050" s="1"/>
  <c r="A1051" s="1"/>
  <c r="A1053" s="1"/>
  <c r="A1055" s="1"/>
  <c r="A1056" s="1"/>
  <c r="I654"/>
  <c r="J654" s="1"/>
  <c r="I656"/>
  <c r="J656" s="1"/>
  <c r="I658"/>
  <c r="J658" s="1"/>
  <c r="E659"/>
  <c r="C662" s="1"/>
  <c r="G659"/>
  <c r="B662" s="1"/>
  <c r="I736"/>
  <c r="J736" s="1"/>
  <c r="I738"/>
  <c r="J738" s="1"/>
  <c r="I740"/>
  <c r="J740" s="1"/>
  <c r="I742"/>
  <c r="J742" s="1"/>
  <c r="I744"/>
  <c r="J744" s="1"/>
  <c r="I746"/>
  <c r="J746" s="1"/>
  <c r="E747"/>
  <c r="C750" s="1"/>
  <c r="G747"/>
  <c r="B750" s="1"/>
  <c r="I782"/>
  <c r="J782" s="1"/>
  <c r="I784"/>
  <c r="J784" s="1"/>
  <c r="I786"/>
  <c r="J786" s="1"/>
  <c r="I788"/>
  <c r="J788" s="1"/>
  <c r="I790"/>
  <c r="J790" s="1"/>
  <c r="I792"/>
  <c r="J792" s="1"/>
  <c r="E793"/>
  <c r="C796" s="1"/>
  <c r="G793"/>
  <c r="B796" s="1"/>
  <c r="I867"/>
  <c r="I869" s="1"/>
  <c r="E840"/>
  <c r="C843" s="1"/>
  <c r="D867"/>
  <c r="G840"/>
  <c r="B843" s="1"/>
  <c r="K868"/>
  <c r="J851"/>
  <c r="I827"/>
  <c r="J827" s="1"/>
  <c r="J853"/>
  <c r="I829"/>
  <c r="J829" s="1"/>
  <c r="J855"/>
  <c r="I831"/>
  <c r="J831" s="1"/>
  <c r="J857"/>
  <c r="I833"/>
  <c r="J833" s="1"/>
  <c r="J859"/>
  <c r="I835"/>
  <c r="J835" s="1"/>
  <c r="J861"/>
  <c r="I837"/>
  <c r="J837" s="1"/>
  <c r="J862"/>
  <c r="A859"/>
  <c r="A858"/>
  <c r="A860" s="1"/>
  <c r="A863" s="1"/>
  <c r="A865" s="1"/>
  <c r="A867" s="1"/>
  <c r="A868" s="1"/>
  <c r="A906"/>
  <c r="A908" s="1"/>
  <c r="A910" s="1"/>
  <c r="A912" s="1"/>
  <c r="A914" s="1"/>
  <c r="A915" s="1"/>
  <c r="A907"/>
  <c r="A909" s="1"/>
  <c r="J960"/>
  <c r="I964"/>
  <c r="J948"/>
  <c r="J950"/>
  <c r="J952"/>
  <c r="J954"/>
  <c r="K954" s="1"/>
  <c r="J956"/>
  <c r="J958"/>
  <c r="J997"/>
  <c r="J999"/>
  <c r="J1001"/>
  <c r="J1003"/>
  <c r="J1005"/>
  <c r="K1055"/>
  <c r="J1043"/>
  <c r="J1045"/>
  <c r="J1047"/>
  <c r="J1049"/>
  <c r="J1051"/>
  <c r="I838"/>
  <c r="J838" s="1"/>
  <c r="I873"/>
  <c r="I875"/>
  <c r="J875" s="1"/>
  <c r="I877"/>
  <c r="J877" s="1"/>
  <c r="I879"/>
  <c r="J879" s="1"/>
  <c r="I881"/>
  <c r="J881" s="1"/>
  <c r="I883"/>
  <c r="J883" s="1"/>
  <c r="I885"/>
  <c r="J885" s="1"/>
  <c r="I887"/>
  <c r="J887" s="1"/>
  <c r="E888"/>
  <c r="C891" s="1"/>
  <c r="G888"/>
  <c r="B891" s="1"/>
  <c r="D891" s="1"/>
  <c r="E899"/>
  <c r="J899" s="1"/>
  <c r="E901"/>
  <c r="J901" s="1"/>
  <c r="K901" s="1"/>
  <c r="E903"/>
  <c r="J903" s="1"/>
  <c r="K903" s="1"/>
  <c r="E905"/>
  <c r="J905" s="1"/>
  <c r="K905" s="1"/>
  <c r="E907"/>
  <c r="J907" s="1"/>
  <c r="E909"/>
  <c r="J909" s="1"/>
  <c r="H914"/>
  <c r="J914" s="1"/>
  <c r="K914" s="1"/>
  <c r="I921"/>
  <c r="I923"/>
  <c r="J923" s="1"/>
  <c r="I925"/>
  <c r="J925" s="1"/>
  <c r="I927"/>
  <c r="J927" s="1"/>
  <c r="I929"/>
  <c r="J929" s="1"/>
  <c r="I931"/>
  <c r="J931" s="1"/>
  <c r="I933"/>
  <c r="J933" s="1"/>
  <c r="I935"/>
  <c r="J935" s="1"/>
  <c r="E936"/>
  <c r="C939" s="1"/>
  <c r="G936"/>
  <c r="B939" s="1"/>
  <c r="E947"/>
  <c r="J947" s="1"/>
  <c r="E949"/>
  <c r="J949" s="1"/>
  <c r="K949" s="1"/>
  <c r="E951"/>
  <c r="J951" s="1"/>
  <c r="K951" s="1"/>
  <c r="E953"/>
  <c r="J953" s="1"/>
  <c r="K953" s="1"/>
  <c r="E955"/>
  <c r="J955" s="1"/>
  <c r="K955" s="1"/>
  <c r="E957"/>
  <c r="J957" s="1"/>
  <c r="K957" s="1"/>
  <c r="H962"/>
  <c r="J962" s="1"/>
  <c r="K962" s="1"/>
  <c r="I970"/>
  <c r="I974"/>
  <c r="J974" s="1"/>
  <c r="I976"/>
  <c r="J976" s="1"/>
  <c r="I978"/>
  <c r="J978" s="1"/>
  <c r="I980"/>
  <c r="J980" s="1"/>
  <c r="I982"/>
  <c r="J982" s="1"/>
  <c r="D984"/>
  <c r="F984"/>
  <c r="E1007"/>
  <c r="J1007" s="1"/>
  <c r="K1007" s="1"/>
  <c r="I1016"/>
  <c r="I1020"/>
  <c r="J1020" s="1"/>
  <c r="I1022"/>
  <c r="J1022" s="1"/>
  <c r="I1024"/>
  <c r="J1024" s="1"/>
  <c r="I1026"/>
  <c r="J1026" s="1"/>
  <c r="I1028"/>
  <c r="J1028" s="1"/>
  <c r="D1030"/>
  <c r="G1032" s="1"/>
  <c r="F1030"/>
  <c r="E1053"/>
  <c r="J1053" s="1"/>
  <c r="K1053" s="1"/>
  <c r="E1088"/>
  <c r="D1077"/>
  <c r="H1088"/>
  <c r="F1077"/>
  <c r="I1062"/>
  <c r="I1105"/>
  <c r="J1103"/>
  <c r="K1103" s="1"/>
  <c r="J1101"/>
  <c r="J1090"/>
  <c r="I1067"/>
  <c r="J1067" s="1"/>
  <c r="I1068"/>
  <c r="J1068" s="1"/>
  <c r="J1099"/>
  <c r="K1099" s="1"/>
  <c r="A1144"/>
  <c r="A1146" s="1"/>
  <c r="A1147" s="1"/>
  <c r="A1149" s="1"/>
  <c r="A1151" s="1"/>
  <c r="A1152" s="1"/>
  <c r="A1145"/>
  <c r="I839"/>
  <c r="J839" s="1"/>
  <c r="I975"/>
  <c r="J975" s="1"/>
  <c r="I977"/>
  <c r="J977" s="1"/>
  <c r="I979"/>
  <c r="J979" s="1"/>
  <c r="I981"/>
  <c r="J981" s="1"/>
  <c r="I983"/>
  <c r="J983" s="1"/>
  <c r="E984"/>
  <c r="C987" s="1"/>
  <c r="I1021"/>
  <c r="J1021" s="1"/>
  <c r="I1023"/>
  <c r="J1023" s="1"/>
  <c r="I1025"/>
  <c r="J1025" s="1"/>
  <c r="I1027"/>
  <c r="J1027" s="1"/>
  <c r="I1029"/>
  <c r="J1029" s="1"/>
  <c r="E1030"/>
  <c r="C1033" s="1"/>
  <c r="D1033" s="1"/>
  <c r="I1088"/>
  <c r="E1077"/>
  <c r="C1080" s="1"/>
  <c r="J1089"/>
  <c r="I1063"/>
  <c r="J1063" s="1"/>
  <c r="K1104"/>
  <c r="J1092"/>
  <c r="J1094"/>
  <c r="J1096"/>
  <c r="J1098"/>
  <c r="A1096"/>
  <c r="A1098" s="1"/>
  <c r="A1099" s="1"/>
  <c r="A1101" s="1"/>
  <c r="A1103" s="1"/>
  <c r="A1104" s="1"/>
  <c r="A1097"/>
  <c r="A1170"/>
  <c r="A1169"/>
  <c r="A1171" s="1"/>
  <c r="A1172" s="1"/>
  <c r="A1174" s="1"/>
  <c r="A1176" s="1"/>
  <c r="A1177" s="1"/>
  <c r="I1069"/>
  <c r="J1069" s="1"/>
  <c r="I1071"/>
  <c r="J1071" s="1"/>
  <c r="I1073"/>
  <c r="J1073" s="1"/>
  <c r="I1075"/>
  <c r="J1075" s="1"/>
  <c r="E1091"/>
  <c r="J1091" s="1"/>
  <c r="K1091" s="1"/>
  <c r="E1093"/>
  <c r="J1093" s="1"/>
  <c r="K1093" s="1"/>
  <c r="E1095"/>
  <c r="J1095" s="1"/>
  <c r="K1095" s="1"/>
  <c r="E1097"/>
  <c r="J1097" s="1"/>
  <c r="K1097" s="1"/>
  <c r="E1099"/>
  <c r="I1111"/>
  <c r="J1111" s="1"/>
  <c r="I1113"/>
  <c r="J1113" s="1"/>
  <c r="I1162"/>
  <c r="I1149"/>
  <c r="I1115"/>
  <c r="J1115" s="1"/>
  <c r="I1117"/>
  <c r="J1117" s="1"/>
  <c r="I1119"/>
  <c r="J1119" s="1"/>
  <c r="I1121"/>
  <c r="J1121" s="1"/>
  <c r="I1123"/>
  <c r="J1123" s="1"/>
  <c r="D1125"/>
  <c r="F1125"/>
  <c r="H1136"/>
  <c r="I1137"/>
  <c r="H1138"/>
  <c r="E1139"/>
  <c r="I1139"/>
  <c r="H1140"/>
  <c r="E1141"/>
  <c r="I1141"/>
  <c r="I1143"/>
  <c r="I1145"/>
  <c r="I1147"/>
  <c r="I1151"/>
  <c r="I1163"/>
  <c r="J1163" s="1"/>
  <c r="K1163" s="1"/>
  <c r="I1165"/>
  <c r="J1165" s="1"/>
  <c r="I1167"/>
  <c r="I1169"/>
  <c r="J1169" s="1"/>
  <c r="K1169" s="1"/>
  <c r="I1171"/>
  <c r="I1174"/>
  <c r="J1174" s="1"/>
  <c r="J1186"/>
  <c r="J1188"/>
  <c r="K1188" s="1"/>
  <c r="J1192"/>
  <c r="K1192" s="1"/>
  <c r="J1216"/>
  <c r="K1216" s="1"/>
  <c r="J1274"/>
  <c r="K1274" s="1"/>
  <c r="K1257"/>
  <c r="J1352"/>
  <c r="K1352" s="1"/>
  <c r="C1353"/>
  <c r="I1066"/>
  <c r="J1066" s="1"/>
  <c r="I1110"/>
  <c r="H1177"/>
  <c r="J1177" s="1"/>
  <c r="K1177" s="1"/>
  <c r="H1151"/>
  <c r="E1162"/>
  <c r="E1149"/>
  <c r="I1114"/>
  <c r="J1114" s="1"/>
  <c r="I1116"/>
  <c r="J1116" s="1"/>
  <c r="I1118"/>
  <c r="J1118" s="1"/>
  <c r="J1143"/>
  <c r="K1143" s="1"/>
  <c r="I1120"/>
  <c r="J1120" s="1"/>
  <c r="I1122"/>
  <c r="J1122" s="1"/>
  <c r="J1147"/>
  <c r="K1147" s="1"/>
  <c r="I1124"/>
  <c r="J1124" s="1"/>
  <c r="E1125"/>
  <c r="C1128" s="1"/>
  <c r="D1128" s="1"/>
  <c r="E1136"/>
  <c r="I1136"/>
  <c r="H1137"/>
  <c r="E1138"/>
  <c r="H1139"/>
  <c r="E1140"/>
  <c r="H1141"/>
  <c r="H1142"/>
  <c r="J1142" s="1"/>
  <c r="E1143"/>
  <c r="H1144"/>
  <c r="J1144" s="1"/>
  <c r="K1144" s="1"/>
  <c r="E1145"/>
  <c r="J1145" s="1"/>
  <c r="K1145" s="1"/>
  <c r="H1146"/>
  <c r="J1146" s="1"/>
  <c r="K1146" s="1"/>
  <c r="E1147"/>
  <c r="H1149"/>
  <c r="J1149" s="1"/>
  <c r="K1149" s="1"/>
  <c r="D1151"/>
  <c r="H1152"/>
  <c r="J1152" s="1"/>
  <c r="E1167"/>
  <c r="H1168"/>
  <c r="J1168" s="1"/>
  <c r="K1168" s="1"/>
  <c r="E1169"/>
  <c r="H1170"/>
  <c r="J1170" s="1"/>
  <c r="E1171"/>
  <c r="H1172"/>
  <c r="J1172" s="1"/>
  <c r="K1172" s="1"/>
  <c r="J1209"/>
  <c r="C1482"/>
  <c r="J1482" s="1"/>
  <c r="C1377"/>
  <c r="J1234"/>
  <c r="K1234" s="1"/>
  <c r="C1472"/>
  <c r="J1472" s="1"/>
  <c r="J1236"/>
  <c r="K1236" s="1"/>
  <c r="C1475"/>
  <c r="J1475" s="1"/>
  <c r="J1238"/>
  <c r="K1238" s="1"/>
  <c r="C1477"/>
  <c r="J1477" s="1"/>
  <c r="J1240"/>
  <c r="K1240" s="1"/>
  <c r="C1479"/>
  <c r="J1479" s="1"/>
  <c r="J1242"/>
  <c r="K1242" s="1"/>
  <c r="C1263"/>
  <c r="J1263" s="1"/>
  <c r="K1263" s="1"/>
  <c r="J1326"/>
  <c r="C1327"/>
  <c r="C1476"/>
  <c r="J1476" s="1"/>
  <c r="C1478"/>
  <c r="J1478" s="1"/>
  <c r="C1380"/>
  <c r="J1380" s="1"/>
  <c r="J1436"/>
  <c r="K1436" s="1"/>
  <c r="G568" l="1"/>
  <c r="J1167"/>
  <c r="K1167" s="1"/>
  <c r="K639"/>
  <c r="K188"/>
  <c r="K90"/>
  <c r="K1170"/>
  <c r="K1152"/>
  <c r="K1142"/>
  <c r="J1151"/>
  <c r="K1151" s="1"/>
  <c r="K1174"/>
  <c r="K1165"/>
  <c r="K1089"/>
  <c r="K909"/>
  <c r="D843"/>
  <c r="D796"/>
  <c r="D750"/>
  <c r="D662"/>
  <c r="K1056"/>
  <c r="K672"/>
  <c r="K816"/>
  <c r="K632"/>
  <c r="K627"/>
  <c r="D330"/>
  <c r="K636"/>
  <c r="D475"/>
  <c r="G425"/>
  <c r="K585"/>
  <c r="D73"/>
  <c r="K761"/>
  <c r="G522"/>
  <c r="K587"/>
  <c r="J1248"/>
  <c r="K1248" s="1"/>
  <c r="J1171"/>
  <c r="K1171" s="1"/>
  <c r="D1080"/>
  <c r="D987"/>
  <c r="D939"/>
  <c r="K907"/>
  <c r="K958"/>
  <c r="K950"/>
  <c r="K1010"/>
  <c r="D706"/>
  <c r="K765"/>
  <c r="K728"/>
  <c r="D426"/>
  <c r="G377"/>
  <c r="D228"/>
  <c r="K586"/>
  <c r="K351"/>
  <c r="K142"/>
  <c r="K86"/>
  <c r="D23"/>
  <c r="G22"/>
  <c r="J916"/>
  <c r="K899"/>
  <c r="J964"/>
  <c r="K947"/>
  <c r="J729"/>
  <c r="K714"/>
  <c r="J640"/>
  <c r="K624"/>
  <c r="J547"/>
  <c r="K531"/>
  <c r="J151"/>
  <c r="K132"/>
  <c r="J685"/>
  <c r="K670"/>
  <c r="G1249"/>
  <c r="J1377"/>
  <c r="J1381" s="1"/>
  <c r="C1381"/>
  <c r="J1225"/>
  <c r="K1209"/>
  <c r="J1141"/>
  <c r="K1141" s="1"/>
  <c r="J1139"/>
  <c r="K1139" s="1"/>
  <c r="J1137"/>
  <c r="K1137" s="1"/>
  <c r="J1201"/>
  <c r="K1201" s="1"/>
  <c r="K1186"/>
  <c r="J1138"/>
  <c r="K1138" s="1"/>
  <c r="J1136"/>
  <c r="G1127"/>
  <c r="I1178"/>
  <c r="K1166"/>
  <c r="J1162"/>
  <c r="K1096"/>
  <c r="K1092"/>
  <c r="K1090"/>
  <c r="I1077"/>
  <c r="J1062"/>
  <c r="J1088"/>
  <c r="G986"/>
  <c r="I984"/>
  <c r="J970"/>
  <c r="J873"/>
  <c r="I888"/>
  <c r="K1049"/>
  <c r="K1045"/>
  <c r="K1003"/>
  <c r="K999"/>
  <c r="K956"/>
  <c r="K952"/>
  <c r="K948"/>
  <c r="K960"/>
  <c r="K862"/>
  <c r="K861"/>
  <c r="K859"/>
  <c r="K857"/>
  <c r="K855"/>
  <c r="K853"/>
  <c r="J869"/>
  <c r="K851"/>
  <c r="K1048"/>
  <c r="K1044"/>
  <c r="K1004"/>
  <c r="K1000"/>
  <c r="K996"/>
  <c r="J1011"/>
  <c r="K995"/>
  <c r="K908"/>
  <c r="K904"/>
  <c r="K900"/>
  <c r="K912"/>
  <c r="K863"/>
  <c r="K860"/>
  <c r="K858"/>
  <c r="K856"/>
  <c r="K854"/>
  <c r="K852"/>
  <c r="I840"/>
  <c r="J824"/>
  <c r="J867"/>
  <c r="K867" s="1"/>
  <c r="J690"/>
  <c r="I703"/>
  <c r="I659"/>
  <c r="J646"/>
  <c r="K811"/>
  <c r="K807"/>
  <c r="K767"/>
  <c r="K763"/>
  <c r="K759"/>
  <c r="K770"/>
  <c r="K679"/>
  <c r="K814"/>
  <c r="K810"/>
  <c r="K806"/>
  <c r="K768"/>
  <c r="K764"/>
  <c r="K760"/>
  <c r="K723"/>
  <c r="K719"/>
  <c r="K715"/>
  <c r="K725"/>
  <c r="K675"/>
  <c r="K671"/>
  <c r="K681"/>
  <c r="K633"/>
  <c r="K631"/>
  <c r="K629"/>
  <c r="K626"/>
  <c r="K625"/>
  <c r="I613"/>
  <c r="J599"/>
  <c r="K591"/>
  <c r="J456"/>
  <c r="I472"/>
  <c r="G329"/>
  <c r="G279"/>
  <c r="G227"/>
  <c r="K489"/>
  <c r="K485"/>
  <c r="K445"/>
  <c r="K441"/>
  <c r="K437"/>
  <c r="I423"/>
  <c r="K396"/>
  <c r="K392"/>
  <c r="K388"/>
  <c r="K349"/>
  <c r="K345"/>
  <c r="K341"/>
  <c r="I327"/>
  <c r="K293"/>
  <c r="K289"/>
  <c r="K302"/>
  <c r="K247"/>
  <c r="K243"/>
  <c r="K239"/>
  <c r="I225"/>
  <c r="K194"/>
  <c r="K190"/>
  <c r="K187"/>
  <c r="K186"/>
  <c r="K184"/>
  <c r="K202"/>
  <c r="I70"/>
  <c r="J54"/>
  <c r="K536"/>
  <c r="K532"/>
  <c r="K543"/>
  <c r="K495"/>
  <c r="K490"/>
  <c r="K486"/>
  <c r="K442"/>
  <c r="K438"/>
  <c r="J451"/>
  <c r="K451" s="1"/>
  <c r="K434"/>
  <c r="K395"/>
  <c r="K391"/>
  <c r="K387"/>
  <c r="K399"/>
  <c r="K348"/>
  <c r="K344"/>
  <c r="K340"/>
  <c r="K299"/>
  <c r="K296"/>
  <c r="K292"/>
  <c r="J306"/>
  <c r="K288"/>
  <c r="K248"/>
  <c r="K244"/>
  <c r="K240"/>
  <c r="J255"/>
  <c r="K236"/>
  <c r="K195"/>
  <c r="K191"/>
  <c r="K185"/>
  <c r="I173"/>
  <c r="J156"/>
  <c r="J201"/>
  <c r="K201" s="1"/>
  <c r="J104"/>
  <c r="I121"/>
  <c r="K39"/>
  <c r="K35"/>
  <c r="K143"/>
  <c r="K139"/>
  <c r="K135"/>
  <c r="K149"/>
  <c r="K91"/>
  <c r="K87"/>
  <c r="K83"/>
  <c r="K98"/>
  <c r="K40"/>
  <c r="K36"/>
  <c r="K32"/>
  <c r="K45"/>
  <c r="K97"/>
  <c r="K31"/>
  <c r="J49"/>
  <c r="I1125"/>
  <c r="J1110"/>
  <c r="J1140"/>
  <c r="K1140" s="1"/>
  <c r="I1153"/>
  <c r="K1164"/>
  <c r="K1161"/>
  <c r="K1098"/>
  <c r="K1094"/>
  <c r="K1176"/>
  <c r="K1101"/>
  <c r="G1079"/>
  <c r="I1030"/>
  <c r="J1016"/>
  <c r="J921"/>
  <c r="I936"/>
  <c r="K1051"/>
  <c r="K1047"/>
  <c r="K1043"/>
  <c r="K1005"/>
  <c r="K1001"/>
  <c r="K997"/>
  <c r="A861"/>
  <c r="A862"/>
  <c r="K1050"/>
  <c r="K1046"/>
  <c r="K1042"/>
  <c r="J1057"/>
  <c r="K1057" s="1"/>
  <c r="K1041"/>
  <c r="K1002"/>
  <c r="K998"/>
  <c r="K910"/>
  <c r="K906"/>
  <c r="K902"/>
  <c r="G842"/>
  <c r="I793"/>
  <c r="J779"/>
  <c r="I747"/>
  <c r="J733"/>
  <c r="K813"/>
  <c r="K809"/>
  <c r="K805"/>
  <c r="K772"/>
  <c r="K677"/>
  <c r="I566"/>
  <c r="J552"/>
  <c r="K812"/>
  <c r="K808"/>
  <c r="J820"/>
  <c r="K804"/>
  <c r="K766"/>
  <c r="K762"/>
  <c r="J774"/>
  <c r="K758"/>
  <c r="K721"/>
  <c r="K717"/>
  <c r="K678"/>
  <c r="K673"/>
  <c r="K683"/>
  <c r="I520"/>
  <c r="J506"/>
  <c r="J360"/>
  <c r="I375"/>
  <c r="K487"/>
  <c r="J501"/>
  <c r="K483"/>
  <c r="K443"/>
  <c r="K439"/>
  <c r="K435"/>
  <c r="K394"/>
  <c r="K390"/>
  <c r="K386"/>
  <c r="J403"/>
  <c r="K347"/>
  <c r="K343"/>
  <c r="K339"/>
  <c r="K295"/>
  <c r="K291"/>
  <c r="I306"/>
  <c r="I277"/>
  <c r="K249"/>
  <c r="K245"/>
  <c r="K241"/>
  <c r="K237"/>
  <c r="K196"/>
  <c r="K192"/>
  <c r="K189"/>
  <c r="J593"/>
  <c r="K593" s="1"/>
  <c r="K577"/>
  <c r="K534"/>
  <c r="I547"/>
  <c r="K493"/>
  <c r="K488"/>
  <c r="K484"/>
  <c r="K497"/>
  <c r="K444"/>
  <c r="K440"/>
  <c r="K436"/>
  <c r="K397"/>
  <c r="K393"/>
  <c r="K389"/>
  <c r="K401"/>
  <c r="K346"/>
  <c r="K342"/>
  <c r="J355"/>
  <c r="K338"/>
  <c r="K297"/>
  <c r="K294"/>
  <c r="K290"/>
  <c r="K246"/>
  <c r="K242"/>
  <c r="K238"/>
  <c r="K254"/>
  <c r="K197"/>
  <c r="K193"/>
  <c r="G175"/>
  <c r="I20"/>
  <c r="D7" i="153" s="1"/>
  <c r="J4" i="16"/>
  <c r="K41"/>
  <c r="K37"/>
  <c r="K33"/>
  <c r="K145"/>
  <c r="K141"/>
  <c r="K137"/>
  <c r="K133"/>
  <c r="K147"/>
  <c r="K93"/>
  <c r="K89"/>
  <c r="K85"/>
  <c r="J99"/>
  <c r="K99" s="1"/>
  <c r="K81"/>
  <c r="K42"/>
  <c r="K38"/>
  <c r="K34"/>
  <c r="K47"/>
  <c r="K95"/>
  <c r="K43"/>
  <c r="K48"/>
  <c r="K355" l="1"/>
  <c r="K403"/>
  <c r="K501"/>
  <c r="K640"/>
  <c r="K869"/>
  <c r="K729"/>
  <c r="K916"/>
  <c r="E6" i="153"/>
  <c r="E750" i="16"/>
  <c r="I748"/>
  <c r="J747"/>
  <c r="E124"/>
  <c r="I122"/>
  <c r="E23"/>
  <c r="I21"/>
  <c r="E378"/>
  <c r="J375"/>
  <c r="I376"/>
  <c r="J376"/>
  <c r="K774"/>
  <c r="K820"/>
  <c r="E569"/>
  <c r="J566"/>
  <c r="I567"/>
  <c r="J567"/>
  <c r="E1033"/>
  <c r="I1031"/>
  <c r="J1030"/>
  <c r="K49"/>
  <c r="K255"/>
  <c r="I328"/>
  <c r="E330"/>
  <c r="J327"/>
  <c r="J328"/>
  <c r="E475"/>
  <c r="J472"/>
  <c r="I473"/>
  <c r="J473"/>
  <c r="I614"/>
  <c r="E616"/>
  <c r="J613"/>
  <c r="J614"/>
  <c r="J703"/>
  <c r="E706"/>
  <c r="I704"/>
  <c r="E843"/>
  <c r="I841"/>
  <c r="J840"/>
  <c r="K1011"/>
  <c r="J888"/>
  <c r="E891"/>
  <c r="I889"/>
  <c r="I278"/>
  <c r="E280"/>
  <c r="J277"/>
  <c r="J278"/>
  <c r="I521"/>
  <c r="E523"/>
  <c r="J520"/>
  <c r="J521"/>
  <c r="E796"/>
  <c r="I794"/>
  <c r="J793"/>
  <c r="J936"/>
  <c r="E939"/>
  <c r="I937"/>
  <c r="E1128"/>
  <c r="I1126"/>
  <c r="J1125"/>
  <c r="E176"/>
  <c r="I174"/>
  <c r="K306"/>
  <c r="E73"/>
  <c r="I71"/>
  <c r="J203"/>
  <c r="K203" s="1"/>
  <c r="E228"/>
  <c r="I226"/>
  <c r="I424"/>
  <c r="E426"/>
  <c r="J423"/>
  <c r="J424"/>
  <c r="I660"/>
  <c r="E662"/>
  <c r="J659"/>
  <c r="J660"/>
  <c r="E987"/>
  <c r="I985"/>
  <c r="J984"/>
  <c r="K1088"/>
  <c r="J1105"/>
  <c r="K1105" s="1"/>
  <c r="E1080"/>
  <c r="I1078"/>
  <c r="J1077"/>
  <c r="K1162"/>
  <c r="J1178"/>
  <c r="K1178" s="1"/>
  <c r="K1136"/>
  <c r="J1153"/>
  <c r="K1153" s="1"/>
  <c r="K1225"/>
  <c r="G1226"/>
  <c r="K685"/>
  <c r="K151"/>
  <c r="K547"/>
  <c r="K964"/>
</calcChain>
</file>

<file path=xl/sharedStrings.xml><?xml version="1.0" encoding="utf-8"?>
<sst xmlns="http://schemas.openxmlformats.org/spreadsheetml/2006/main" count="4538" uniqueCount="704">
  <si>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</si>
  <si>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</si>
  <si>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</si>
  <si>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</si>
  <si>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</si>
  <si>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</si>
  <si>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</si>
  <si>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</si>
  <si>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</si>
  <si>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</si>
  <si>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</si>
  <si>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</si>
  <si>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</si>
  <si>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</si>
  <si>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</si>
  <si>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</si>
  <si>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</si>
  <si>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</si>
  <si>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</si>
  <si>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</si>
  <si>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</si>
  <si>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</si>
  <si>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</si>
  <si>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</si>
  <si>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</si>
  <si>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</si>
  <si>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</si>
  <si>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</si>
  <si>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</si>
  <si>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</si>
  <si>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</si>
  <si>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</si>
  <si>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</si>
  <si>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</si>
  <si>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</si>
  <si>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</si>
  <si>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</si>
  <si>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</si>
  <si>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</si>
  <si>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</si>
  <si>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</si>
  <si>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</si>
  <si>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</si>
  <si>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</si>
  <si>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</si>
  <si>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</si>
  <si>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</si>
  <si>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</si>
  <si>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</si>
  <si>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</si>
  <si>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</si>
  <si>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</si>
  <si>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t/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</si>
  <si>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</si>
  <si>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</si>
  <si>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</si>
  <si>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</si>
  <si>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</si>
  <si>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</si>
  <si>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</si>
  <si>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</si>
  <si>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</si>
  <si>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</si>
  <si>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</si>
  <si>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</si>
  <si>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</si>
  <si>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</si>
  <si>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</si>
  <si>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</si>
  <si>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</si>
  <si>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</si>
  <si>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</si>
  <si>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</si>
  <si>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</si>
  <si>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</si>
  <si>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</si>
  <si>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</si>
  <si>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</si>
  <si>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</si>
  <si>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</si>
  <si>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</si>
  <si>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</si>
  <si>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</si>
  <si>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</si>
  <si>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</si>
  <si>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</si>
  <si>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</si>
  <si>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</si>
  <si>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</si>
  <si>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</si>
  <si>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</si>
  <si>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</si>
  <si>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</si>
  <si>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</si>
  <si>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</si>
  <si>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</si>
  <si>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</si>
  <si>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</si>
  <si>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</si>
  <si>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</si>
  <si>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</si>
  <si>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</si>
  <si>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</si>
  <si>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</si>
  <si>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</si>
  <si>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</si>
  <si>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</si>
  <si>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</si>
  <si>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</si>
  <si>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</si>
  <si>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</si>
  <si>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</si>
  <si>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</si>
  <si>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</si>
  <si>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</si>
  <si>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</si>
  <si>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</si>
  <si>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</si>
  <si>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</si>
  <si>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</si>
  <si>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</si>
  <si>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</si>
  <si>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</si>
  <si>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</si>
  <si>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</si>
  <si>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</si>
  <si>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</si>
  <si>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</si>
  <si>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BALANCE CAISSES ET BANQUE AU 30  Mai  2021</t>
  </si>
  <si>
    <t>Balance au          01 Mai  2021</t>
  </si>
  <si>
    <t>Balance au 30 Mai 2021</t>
  </si>
  <si>
    <t>MAI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</si>
  <si>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</si>
  <si>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</si>
  <si>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</si>
  <si>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</si>
  <si>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</si>
  <si>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</si>
  <si>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</si>
  <si>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</si>
  <si>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</si>
  <si>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</si>
  <si>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</si>
  <si>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</si>
  <si>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</si>
  <si>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</si>
  <si>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</si>
  <si>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</si>
  <si>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</si>
  <si>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</si>
  <si>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</si>
  <si>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</si>
  <si>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</si>
  <si>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</si>
  <si>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</si>
  <si>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</si>
  <si>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</si>
  <si>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</si>
  <si>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</si>
  <si>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</si>
  <si>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</si>
  <si>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</si>
  <si>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</si>
  <si>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</si>
  <si>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</si>
  <si>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</si>
  <si>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</si>
  <si>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</si>
  <si>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</si>
  <si>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</si>
  <si>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</si>
  <si>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</si>
  <si>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</si>
  <si>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</si>
  <si>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</si>
  <si>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</si>
  <si>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</si>
  <si>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</si>
  <si>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</si>
  <si>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</si>
  <si>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</si>
  <si>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</si>
  <si>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</si>
  <si>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</si>
  <si>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</si>
  <si>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</si>
  <si>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</si>
  <si>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</si>
  <si>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</si>
  <si>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</si>
  <si>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</si>
  <si>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</si>
  <si>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</si>
  <si>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</si>
  <si>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</si>
  <si>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</si>
  <si>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</si>
  <si>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</si>
  <si>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</si>
  <si>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</si>
  <si>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</si>
  <si>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</si>
  <si>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</si>
  <si>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</si>
  <si>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</si>
  <si>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</si>
  <si>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</si>
  <si>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</si>
  <si>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</si>
  <si>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</si>
  <si>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</si>
  <si>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</si>
  <si>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</si>
  <si>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Balance au 31 MAI 2022</t>
  </si>
  <si>
    <t>BALANCE 31 MAI 2022</t>
  </si>
  <si>
    <t>BALANCE CAISSES ET BANQUE AU 31 MAI 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</si>
  <si>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</si>
  <si>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</si>
  <si>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</si>
  <si>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</si>
  <si>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</si>
  <si>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</si>
  <si>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</si>
  <si>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>Balance a   01 JUILLET 2022</t>
  </si>
  <si>
    <t>Balance au 31JUILLET 2022</t>
  </si>
  <si>
    <t>BALANCE CAISSES ET BANQUE AU 31 JUILLET 2022</t>
  </si>
  <si>
    <t>BALANCE 01 JUILLET 2022</t>
  </si>
  <si>
    <t>TOTAL DEPENSE EN JUILLET</t>
  </si>
  <si>
    <t>BALANCE 31 JUILLET 2022</t>
  </si>
  <si>
    <t>Bonus</t>
  </si>
  <si>
    <t>BALANCE 01 AOUT 2022</t>
  </si>
  <si>
    <t>TOTAL RECU EN AOUT</t>
  </si>
  <si>
    <t>TOTAL DEPENSE EN AOUT</t>
  </si>
  <si>
    <t>BALANCE 31 AOUT 2022</t>
  </si>
  <si>
    <t>TOTAL RECU EN JUILLET</t>
  </si>
  <si>
    <t>BALANCE CAISSES ET BANQUE AU 31 AOUT 2022</t>
  </si>
  <si>
    <t>Balance a   01 AOUT 2022</t>
  </si>
  <si>
    <t>Balance au 31 AOUT 2022</t>
  </si>
  <si>
    <t>Office Materials</t>
  </si>
  <si>
    <t>31/09/2022</t>
  </si>
  <si>
    <t>BALANCE 30 SEPTEMBRE 2022</t>
  </si>
  <si>
    <t>TOTAL DEPENSE EN SEPTEMBRE</t>
  </si>
  <si>
    <t>TOTAL RECU EN SEPTEMBRE</t>
  </si>
  <si>
    <t>BALANCE 01 SEPTEMBRE 2022</t>
  </si>
  <si>
    <t>BALANCE CAISSES ET BANQUE AU 30 SEPTEMBRE 2022</t>
  </si>
  <si>
    <t>BALANCE AU  01 SEPTEMBRE 2022</t>
  </si>
  <si>
    <t>Balance au 30 SEPTEMBRE 2022</t>
  </si>
  <si>
    <t>BALANCE 01 OCTOBRE 2022</t>
  </si>
  <si>
    <t>TOTAL RECU EN OCTOBRE</t>
  </si>
  <si>
    <t>TOTAL DEPENSE EN OCTOBRE</t>
  </si>
  <si>
    <t>BALANCE 31 OCTOBRE 2022</t>
  </si>
  <si>
    <t>BALANCE AU  01 OCTOBRE 2022</t>
  </si>
  <si>
    <t>Balance au 31 OCTOBRE 2022</t>
  </si>
  <si>
    <t>BALANCE CAISSES ET BANQUE AU 31 OCTOBRE 2022</t>
  </si>
  <si>
    <t>P10</t>
  </si>
  <si>
    <t>Donald</t>
  </si>
  <si>
    <t>BALANCE 01 NOVEMBRE 2022</t>
  </si>
  <si>
    <t>TOTAL RECU EN NOVEMBRE</t>
  </si>
  <si>
    <t>BALANCE 30 NOVEMBRE 2022</t>
  </si>
  <si>
    <t>Balance au 30 NOVEMBRE 2022</t>
  </si>
  <si>
    <t>BALANCE AU  01 NOVEMBRE 2022</t>
  </si>
  <si>
    <t>BALANCE CAISSES ET BANQUE AU 30 NOVEMBRE 2022</t>
  </si>
  <si>
    <t>BALANCE 01 DECEMBRE 2022</t>
  </si>
  <si>
    <t>BALANCE 31 DECEMBRE 2022</t>
  </si>
  <si>
    <t>BALANCE CAISSES ET BANQUE AU 31 DECEMBRE 2022</t>
  </si>
  <si>
    <t>BALANCE AU  01 DECEMBRE 2022</t>
  </si>
  <si>
    <t>Balance au 31 DECEMBRE 2022</t>
  </si>
  <si>
    <t>Internet</t>
  </si>
  <si>
    <t>T73</t>
  </si>
  <si>
    <t>D58</t>
  </si>
  <si>
    <t>Man Love</t>
  </si>
  <si>
    <t>BALANCE 01 JANVIER 2023</t>
  </si>
  <si>
    <t>BALANCE 31 JANVIER 2023</t>
  </si>
  <si>
    <t>BALANCE CAISSES ET BANQUE AU 31 JANVIER 2023</t>
  </si>
  <si>
    <t>BALANCE AU  01 JANVIER 2023</t>
  </si>
  <si>
    <t>Balance au 31 JANVIER 2023</t>
  </si>
  <si>
    <t>BALANCE 01 FEVRIER 2023</t>
  </si>
  <si>
    <t>BALANCE 28 FEVRIER 2023</t>
  </si>
  <si>
    <t>Balance au 28 FEVRIER 2023</t>
  </si>
  <si>
    <t>BALANCE AU  01 FEVRIER 2023</t>
  </si>
  <si>
    <t>BALANCE 01 MARS 2023</t>
  </si>
  <si>
    <t>TOTAL DEPENSE EN MARS</t>
  </si>
  <si>
    <t>BALANCE 31 MARS 2023</t>
  </si>
  <si>
    <t>BALANCE CAISSES ET BANQUE AU 31 MARS 2023</t>
  </si>
  <si>
    <t>BALANCE AU  01 MARS 2023</t>
  </si>
  <si>
    <t>Balance au 31 MARS 2023</t>
  </si>
  <si>
    <t>BALANCE CAISSES ET BANQUE AU 28 FEVRIER 2023</t>
  </si>
  <si>
    <t>BALANCE 01 AVRIL 2023</t>
  </si>
  <si>
    <t>BALANCE 30 AVRIL2023</t>
  </si>
  <si>
    <t>BALANCE CAISSES ET BANQUE AU 30 AVRIL 2023</t>
  </si>
  <si>
    <t>BALANCE AU  01 AVRIL 2023</t>
  </si>
  <si>
    <t>Balance au 30 AVRIL 2023</t>
  </si>
  <si>
    <t>BALANCE 01 MAI 2023</t>
  </si>
  <si>
    <t>BALANCE 31 MAI 2023</t>
  </si>
  <si>
    <t>BALANCE CAISSES ET BANQUE AU 31 MAI 2023</t>
  </si>
  <si>
    <t>BALANCE AU  01  MAI 2023</t>
  </si>
  <si>
    <t>Balance au 31 Mai 2023</t>
  </si>
  <si>
    <t>Donald-Roméo</t>
  </si>
  <si>
    <t>Oracle</t>
  </si>
  <si>
    <t>Travel Subsistence</t>
  </si>
  <si>
    <t>BALANCE 01 JUIN 2023</t>
  </si>
  <si>
    <t>BALANCE 30 JUIN 2023</t>
  </si>
  <si>
    <t>BALANCE CAISSES ET BANQUE AU 30 JUIN 2023</t>
  </si>
  <si>
    <t>BALANCE AU  01  JUIN 2023</t>
  </si>
  <si>
    <t>Balance au 30 Juin 2023</t>
  </si>
  <si>
    <t>Dovi</t>
  </si>
  <si>
    <t>DOVI</t>
  </si>
  <si>
    <t>Somme de Spent</t>
  </si>
  <si>
    <t>BALANCE 01 JUILLET 2023</t>
  </si>
  <si>
    <t>BALANCE CAISSES ET BANQUE AU 31 JUILLET 2023</t>
  </si>
  <si>
    <t>BALANCE AU  01  JUILLET 2023</t>
  </si>
  <si>
    <t>Balance au 31 Juillet 2023</t>
  </si>
  <si>
    <t>IT87</t>
  </si>
  <si>
    <t>Lawyer Fees</t>
  </si>
  <si>
    <t xml:space="preserve">Transport </t>
  </si>
  <si>
    <t>BALANCE 31 JUILLET 2023</t>
  </si>
  <si>
    <t>BALANCE 01 AOUT 2023</t>
  </si>
  <si>
    <t>BALANCE 31 AOUT 2023</t>
  </si>
  <si>
    <t>BALANCE AU  01 AOUT 2023</t>
  </si>
  <si>
    <t>Balance au 31 Août 2023</t>
  </si>
  <si>
    <t>Office</t>
  </si>
  <si>
    <t>BALANCE CAISSES ET BANQUE AU 31 AOUT 2023</t>
  </si>
  <si>
    <t>Oui</t>
  </si>
  <si>
    <t>OUI</t>
  </si>
  <si>
    <t>Frais de transfert charden farell à IT87</t>
  </si>
  <si>
    <t>Relevé</t>
  </si>
  <si>
    <t>Décharge</t>
  </si>
  <si>
    <t>Travel subsistence</t>
  </si>
  <si>
    <t>reçu de caisse/T73</t>
  </si>
  <si>
    <t>Trust building</t>
  </si>
  <si>
    <t>oui</t>
  </si>
  <si>
    <t>ECF</t>
  </si>
  <si>
    <t>BALANCE 01 SEPTEMBRE 2023</t>
  </si>
  <si>
    <t>BALANCE 30 SEPTEMBRE 2023</t>
  </si>
  <si>
    <t>BALANCE CAISSES ET BANQUE AU 30 SEPTEMBRE 2023</t>
  </si>
  <si>
    <t>BALANCE AU  01 SEPTEMBRE 2023</t>
  </si>
  <si>
    <t>Balance au 30 SEPTEMBRE 2023</t>
  </si>
  <si>
    <t>Transfer fees</t>
  </si>
  <si>
    <t>Lawyer fees</t>
  </si>
  <si>
    <t>Operation</t>
  </si>
  <si>
    <t>Frais de transfert charden farell à Hurielle</t>
  </si>
  <si>
    <t>Achat billet Owando- Brazzaville/Donald-Roméo</t>
  </si>
  <si>
    <t>Achat billet Dolisie-Brazzaville/IT87</t>
  </si>
  <si>
    <t>Rafraichissement OP</t>
  </si>
  <si>
    <t>Achat billet brazzaville - Pointe Noire/P29</t>
  </si>
  <si>
    <t>CONGO</t>
  </si>
  <si>
    <t>5.6</t>
  </si>
  <si>
    <t>1.1.1.9</t>
  </si>
  <si>
    <t>1.1.2.1</t>
  </si>
  <si>
    <t>1.1.1.7</t>
  </si>
  <si>
    <t>1.1.1.4</t>
  </si>
  <si>
    <t>1.1.1.1</t>
  </si>
  <si>
    <t>DSWF</t>
  </si>
  <si>
    <t>Sum of Spent</t>
  </si>
  <si>
    <t>BALANCE 01 OCTOBRE 2023</t>
  </si>
  <si>
    <t>BALANCE 31 OCTOBRE 2023</t>
  </si>
  <si>
    <t>BALANCE CAISSES ET BANQUE AU 31 OCTOBRE 2023</t>
  </si>
  <si>
    <t>BALANCE AU  01 OCTOBRE 2023</t>
  </si>
  <si>
    <t>Balance au 31 OCTOBRE 2023</t>
  </si>
  <si>
    <t>RAPPORT FINANCIER OCTOBRE 2023</t>
  </si>
  <si>
    <t>Solde au 01/10/2023</t>
  </si>
  <si>
    <t>Achat casquettes et porte- clé</t>
  </si>
  <si>
    <t>Trust Building</t>
  </si>
  <si>
    <t>Bonus du mois de Septembre 2023/Merveille</t>
  </si>
  <si>
    <t>Decharge</t>
  </si>
  <si>
    <t>Bonus du mois de Septembre 2023/Crepin</t>
  </si>
  <si>
    <t>Bonus du mois de Septembre 2023/Evariste</t>
  </si>
  <si>
    <t>Bonus du mois de Septembre 2023/Donald-Roméo</t>
  </si>
  <si>
    <t>Bonus du mois de Septembre 2023/Hurielle</t>
  </si>
  <si>
    <t>BCI-3667402/Appro caisse</t>
  </si>
  <si>
    <t>Bonus opération du 16 Septembre 2023 à Owando/Merveille</t>
  </si>
  <si>
    <t>Bonus opération du 16 Septembre 2023 à Owando/Crepin</t>
  </si>
  <si>
    <t>Bonus opération du 16 Septembre 2023 à Owando/Evariste</t>
  </si>
  <si>
    <t>Bonus opération du 16 Septembre 2023 à Owando/Donald-Roméo</t>
  </si>
  <si>
    <t>Hurielle/Avance frais de mission</t>
  </si>
  <si>
    <t>Achat punaise et corde/pour le forum UE</t>
  </si>
  <si>
    <t xml:space="preserve">Homéfa/retour caisse </t>
  </si>
  <si>
    <t>Donald-Roméo/Frais mission</t>
  </si>
  <si>
    <t>Oracle/Frais de mission</t>
  </si>
  <si>
    <t>Bonus du mois de Septembre 2023/Oracle</t>
  </si>
  <si>
    <t>Bonus Opération du 16 Septembre 2023 à Owando/oracle</t>
  </si>
  <si>
    <t>T73/Fonctionnement</t>
  </si>
  <si>
    <t>Crépin/Frais de mission</t>
  </si>
  <si>
    <t>Evariste/Fonctionnement</t>
  </si>
  <si>
    <t>Frais de notification appel d'offre/Recrutement avocats</t>
  </si>
  <si>
    <t>P29/Frais de mission</t>
  </si>
  <si>
    <t>BCI-3654576/Appro caisse</t>
  </si>
  <si>
    <t>T73/Frais de mission</t>
  </si>
  <si>
    <t>IT87/Frais de mission</t>
  </si>
  <si>
    <t>Hurielle/Frais de mission</t>
  </si>
  <si>
    <t>Merveille/Fonctionnement</t>
  </si>
  <si>
    <t>IT87/Fonctionnement</t>
  </si>
  <si>
    <t>Oracle/Fonctionnement</t>
  </si>
  <si>
    <t>Donald-Roméo/Fonctionnement</t>
  </si>
  <si>
    <t>Achat credit  teléphonique MTN/PALF/Deuxième partie Octobre 2023/Management</t>
  </si>
  <si>
    <t>Achat credit  teléphonique MTN/PALF/Deuxième partie Octobre 2023/Legal</t>
  </si>
  <si>
    <t>Achat credit  teléphonique MTN/PALF/Deuxième  partie Octobre 2023/Investigation</t>
  </si>
  <si>
    <t>Achat credit  teléphonique MTN/PALF/Deuxième partie Octobre 2023/Investigation Volontaire</t>
  </si>
  <si>
    <t>Achat credit  teléphonique MTN/PALF/Deuxième partie Octobre 2023/Media</t>
  </si>
  <si>
    <t>Achat credit  teléphonique airtel/PALF/Deuxième partie Octobre 2023/Management</t>
  </si>
  <si>
    <t>Achat credit  teléphonique airtel/PALF/Deuxième partie Octobre 2023/Legal</t>
  </si>
  <si>
    <t>Achat credit  teléphonique airtel/PALF/Deuxième partie Octobre 2023/Investigation</t>
  </si>
  <si>
    <t>Bonus média télécongo portant sur l'interpellation d'un présumé trafiquant le 10/10/2023 à Brazzaville</t>
  </si>
  <si>
    <t>Frais de mission maitre Marie Hélène à Owando du 18 au 20/10/2023</t>
  </si>
  <si>
    <t>Achat eau mineral 10 BONBONNES de 19 LITRES</t>
  </si>
  <si>
    <t>Achat 02 Cartouches d'encre Couleur 216A HP Laser</t>
  </si>
  <si>
    <t>Paiement Certificat d'hebergement de Wilson,Jasmin et Patricia</t>
  </si>
  <si>
    <t>Bonus média portant sur l'interpellation d'un présumé trafiquant le 10/10/2023 à Brazzaville</t>
  </si>
  <si>
    <t>Bonus média portant sur l'audience du 19/10/2023 au TGI d'Owando</t>
  </si>
  <si>
    <t>Frais de mission maitre Marie Helène à Dolisie et Poine-Noire du 23 au 28/10/2023</t>
  </si>
  <si>
    <t>Frais de transfert charden farell à T73 et P29</t>
  </si>
  <si>
    <t>Bonus média Portant sur l'opération du 10/10/2023</t>
  </si>
  <si>
    <t>Entretretien général Jardin, Bureau PALF Mois d'Octobre 2023</t>
  </si>
  <si>
    <t>Bonus media portant sur la condamnation de 04 trafiquants à Owando</t>
  </si>
  <si>
    <t>DOVI/Fonctionnement</t>
  </si>
  <si>
    <t>Règlement prestation technicienne de surface (mois de Septembre  2023)</t>
  </si>
  <si>
    <t>Reglemeent Facture Internet (Canal Box_Periode du 31/10 au 01/12/ 2023)</t>
  </si>
  <si>
    <t>Bonus opération du 10/10/2023 à Brazzaville/Donald-Roméo</t>
  </si>
  <si>
    <t>Bonus opération du 10/10/2023 à Brazzaville/Evariste</t>
  </si>
  <si>
    <t>Bonus opération du 10/10/2023 à Brazzaville/Oracle</t>
  </si>
  <si>
    <t>Bonus opération du 10/10/2023 à Brazzaville/Crepin</t>
  </si>
  <si>
    <t>Bonus opération du 10/10/2023 à Brazzaville/Hurielle</t>
  </si>
  <si>
    <t>Bonus du mois d'octobre 2023/Hurielle</t>
  </si>
  <si>
    <t>Bonus du mois d'octobre 2023/Oracle</t>
  </si>
  <si>
    <t>Bonus du mois d'octobre 2023/Evariste</t>
  </si>
  <si>
    <t>Bonus du mois d'octobre 2023/Donald-Roméo</t>
  </si>
  <si>
    <t>Bonus du mois d'octobre 2023/Merveille</t>
  </si>
  <si>
    <t>Bonus du mois d'octobre 2023/Crépin</t>
  </si>
  <si>
    <t>Agios du 31/08/2023 au 30//09/2023</t>
  </si>
  <si>
    <t>Reglement Facture Gardiennage Mois de Septembre 2023/3654571</t>
  </si>
  <si>
    <t>Paiement Honoraire Me LOCKO/Mois de Septembre 2023/3654572</t>
  </si>
  <si>
    <t>Grant</t>
  </si>
  <si>
    <t>Retrait especes/appro caisse/bord n°3654576</t>
  </si>
  <si>
    <t>Retrait especes/appro caisse/bord n°3654577</t>
  </si>
  <si>
    <t>Paiement salaire mois d'Octobre 2023/ Crépin IBOUILI IBOUILI/ CH N°3654578</t>
  </si>
  <si>
    <t>Paiement salaire mois d'Octobre 2023/MFOULOU Hurielle Gemmy/ CH N°3654580</t>
  </si>
  <si>
    <t>Paiement salaire mois d'Octobre 2023/PINDI BINGA Donald-Romé/ CH N°3654581</t>
  </si>
  <si>
    <t>Paiement salaire mois d'Octobre 2023/TALOULOU Oracle Ineffable/ CH N°3654582</t>
  </si>
  <si>
    <t>Paiement salaire mois d'Octobre 2023/MAHANGA Merveille/ CH N°3654583</t>
  </si>
  <si>
    <t>Paiement salaire mois d'Octobre 2023/ Evariste LELOUSSI/ CH N°3654584</t>
  </si>
  <si>
    <t>Paiement salaire mois d'Octobre 2023/ DOVI ZENNAWOE Homéfa/ CH N°3654585</t>
  </si>
  <si>
    <t>Reglement Honoraire du mois d'Octobre 2023/T73/ch:3654586</t>
  </si>
  <si>
    <t>Reglement Honoraire du mois d'Octobre 2023/P29/ch:3654587</t>
  </si>
  <si>
    <t>Releve</t>
  </si>
  <si>
    <t>Agios du 31/08/2023 au 30/09/2023</t>
  </si>
  <si>
    <t>bank fees</t>
  </si>
  <si>
    <t>Retrait espèces chèque N°3667403</t>
  </si>
  <si>
    <t>Paiement de prestation de service du militaire pour securité P29</t>
  </si>
  <si>
    <t>Reçu de caisse/Fonctionnement</t>
  </si>
  <si>
    <t>Reçu de caisse/Frais de mission</t>
  </si>
  <si>
    <t>CREPIN IBOUILI - CONGO Location Appartement pour Operation du 09 au 10/10/2023 à Brazzaville</t>
  </si>
  <si>
    <t>Reçu de P29/Frais de mission</t>
  </si>
  <si>
    <t>Raffraichissements, grillades et manioc pour 03 gendarmes, 01 EF et moi pendant l'attente de l'opération</t>
  </si>
  <si>
    <t>Bonus pour 18 gendarmes ayant participé à l'opération du 10/10/2023 à Brazzaville</t>
  </si>
  <si>
    <t>Bonus pour 01 EF ayant participé à l'opération du 10/10/2023 à Brazzaville</t>
  </si>
  <si>
    <t>CREPIN IBOUILI - CONGO Location Appartement pour Operation du 10 au 11/10/2023 à Brazzaville</t>
  </si>
  <si>
    <t>Cumul frais de transport local du mois d'Octobre 2023/Crépin IBOUILI- IBOUILI</t>
  </si>
  <si>
    <t>Reçu caisse/Frais de mission</t>
  </si>
  <si>
    <t>DONALD-ROMEO - CONGO Food Allowance du 03 au  04/10/2023 à NKIKALA/01 Nuitée</t>
  </si>
  <si>
    <t>DONALD-ROMEO - CONGO Frais d'hôtel/  01 Nuitée du 03 au 04/10/2023 à  Nkikala</t>
  </si>
  <si>
    <t>Reçu caisse de P29/Frais de mission</t>
  </si>
  <si>
    <t xml:space="preserve">Rafraichissement op à Brazzaville/ Oracle, deux gendarmes et moi( 04 plats de nourriture) </t>
  </si>
  <si>
    <t>Reçu caisse /Fonctionnement</t>
  </si>
  <si>
    <t>Achat billet Brazzaville-Owando/Donald-Roméo</t>
  </si>
  <si>
    <t>DONALD-ROMEO 6 CONGO Food Allowance Mission du 18 au  20/10/2023 à Owando/02 Nuitées</t>
  </si>
  <si>
    <t>DONALD-ROMEO - CONGO Frais d'hôtel 02  du 18 au 20/10/2023 à  Owando(02 Nuitées )</t>
  </si>
  <si>
    <t>Achat billet Brazzaville-Dolisie/Donald-Roméo</t>
  </si>
  <si>
    <t>DONALD-ROMEO - CONGO Food Allowance  du   25 au 28/10/2023 à Dolisie/03 Nuitées</t>
  </si>
  <si>
    <t>Cumul frais de jail visit  du mois d'Octobre 2023/Donald-Roméo</t>
  </si>
  <si>
    <t>Achat billet Dolisie-Brazzalle/Donald-Roméo</t>
  </si>
  <si>
    <t>DONALD-ROMEO Frais d'hôtel du 25 au 28/10/2023 à  Dolisie/ 03 Nuitées</t>
  </si>
  <si>
    <t>Cumul frais de transport local du mois d'Octobre 2023/Donald-Roméo</t>
  </si>
  <si>
    <t>Retour caisse/Frais de mission</t>
  </si>
  <si>
    <t>Retour caisse/appro caisse</t>
  </si>
  <si>
    <t>Remboursement reçu de la caisse pour prêt</t>
  </si>
  <si>
    <t>Reçu caisse/Fonctionnement</t>
  </si>
  <si>
    <t>Cumul frais de transport local du mois d'Octobre 2023/DOVI ZENNAWOE Homéfa</t>
  </si>
  <si>
    <t>Reçu de la caisse/Fonctionnement</t>
  </si>
  <si>
    <t>Reçu de la caisse/Frais de mission</t>
  </si>
  <si>
    <t>Achat du carburant pour la BJ des Gendarmes</t>
  </si>
  <si>
    <t>media</t>
  </si>
  <si>
    <t>Rafraichissement pour l'équipe de la BJ opération de Brazzaville.</t>
  </si>
  <si>
    <t>Achat et installation du logiciel de montage vidéo (Adob premier Pro)</t>
  </si>
  <si>
    <t>Cumul frais de transport local du mois d'Octobre 2023/Evariste LELOUSSI</t>
  </si>
  <si>
    <t>HURIELLE MFOULOU - CONGO Foodallowance du 02 AU 06/10/2023 à Pointe-Noire et Sibiti/04 Nuitées</t>
  </si>
  <si>
    <t>Frais de la matérialisation du cas EKOFO au Greffe correctionnel</t>
  </si>
  <si>
    <t>Court Fees</t>
  </si>
  <si>
    <t>Recu caisse/Frais de mission</t>
  </si>
  <si>
    <t>versement</t>
  </si>
  <si>
    <t>Achat billet Pointe Noire-Loudima/Hurielle</t>
  </si>
  <si>
    <t>HURIELLE MFOULOU - CONGO Frais d'Hôtel du 01 au 04 /10/2023 à Pointe Noire/02 Nuitées</t>
  </si>
  <si>
    <t>Billet Loudima-Sibiti/Hurielle</t>
  </si>
  <si>
    <t>HURIELLE MFOULOU - CONGO Frais d'Hôtel du 04 au 06/10/2023 à Sibiti/(02 Nuitées)</t>
  </si>
  <si>
    <t>Achat billet  Sibiti-NKAYI/Hurielle</t>
  </si>
  <si>
    <t>Achat billet NKAYI-Brazzaville/Hurielle</t>
  </si>
  <si>
    <t>Achat billet Brazzaville-Dolisie/Hurielle</t>
  </si>
  <si>
    <t>HURIELLE MFOULOU - CONGO FoodAllowance du 25 au 28/10/2023 à Dolisie/03 Nuitées</t>
  </si>
  <si>
    <t>Cumul frais de jails visits du mois d'Octobre 2023/Hurielle</t>
  </si>
  <si>
    <t>Achat billet de retour Dolisie-Brazzaville/Hurielle</t>
  </si>
  <si>
    <t>Cumul frais de transport local du mois d'Octobre 2023/Hurielle</t>
  </si>
  <si>
    <t>HURIELLE MFOULOU - CONGO Frais d'Hôtel du 25 au 28/10/2023 à Dolisie/03 Nuitées</t>
  </si>
  <si>
    <t>Reçu de Caisse/ Fonctionnement</t>
  </si>
  <si>
    <t>Reçu de Caisse/ Frais de mission</t>
  </si>
  <si>
    <t>Achat billet Brazzaville-Pointe Noire/T73</t>
  </si>
  <si>
    <t xml:space="preserve">IT87 - CONGO Food Allowance mission du 17 au 23/10/2023 à Pointe-Noire et Dolisie/6 Nuitées </t>
  </si>
  <si>
    <t>IT87 - CONGO Frais d'hôtel du 17 au 19/10/2023 à Pointe-Noire/(02 Nuitées)</t>
  </si>
  <si>
    <t>Achat billet Pointe Noire - Dolisie/IT87</t>
  </si>
  <si>
    <t>Cumul frais de trust building du mois d'Octobre 2023/IT87</t>
  </si>
  <si>
    <t>IT87 - CONGO Frais d'hôtel du 19 au 23/10/2023 à Dolisie/ (04 Nuitées)</t>
  </si>
  <si>
    <t>Cumul frais de ration du mois d'Octobre 2023/IT87</t>
  </si>
  <si>
    <t>Cumul frais de transport local du mois d'Octobre 2023/IT87</t>
  </si>
  <si>
    <t>Cumul frais de transport local du mois d'Octobre 2023/Merveille</t>
  </si>
  <si>
    <t xml:space="preserve">Versement </t>
  </si>
  <si>
    <t>Achat billet Brazzaville - Dolisie/Oracle</t>
  </si>
  <si>
    <t>ORACLE TALOULOU - CONGO Food allowance du 04 au 06 Octobre 2023/02 Nuitées</t>
  </si>
  <si>
    <t>Achat billet Dolisie - Brazzaville/Oracle</t>
  </si>
  <si>
    <t>Rafraichissement Op</t>
  </si>
  <si>
    <t>Achat billet Brazzaville - Pointe Noire/Oracle</t>
  </si>
  <si>
    <t>ORACLE TALOULOU - CONGO Food allowance du 23 au 28 Octobre 2023/05 Nuitées</t>
  </si>
  <si>
    <t>Achat billet  Pointe Noire  -  Loudima/Oracle</t>
  </si>
  <si>
    <t>Achat bille Loudima - Sibiti/Oracle</t>
  </si>
  <si>
    <t>Cumul frais de jails visits du mois d'Octobre 2023</t>
  </si>
  <si>
    <t>Jail visits</t>
  </si>
  <si>
    <t>Achat billet Sibiti - Nkayi/Oracle</t>
  </si>
  <si>
    <t>Achat billet Nkayi - Brazzaville/Oracle</t>
  </si>
  <si>
    <t>Cumul frais de transport local du mois d'Octobre 2023/Oracle TALOU</t>
  </si>
  <si>
    <t>Remis à Donald/Fonctionnement</t>
  </si>
  <si>
    <t>Remis à crépin/Frais de mission</t>
  </si>
  <si>
    <t>P29- CONGO Location appartement du  09 au 11/10/2023 à Brazzaville pour Opération/02Nuitées</t>
  </si>
  <si>
    <t>P29 - CONGO Food allowance du 17 au 28/10/2023 à Pointe-Noire,Nkayi et Dolisie/11 Nuitées</t>
  </si>
  <si>
    <t>Recu de caisse/Frais de mission</t>
  </si>
  <si>
    <t>P29-CONGO Frais d'hotel du 17 au 23/10/2023 à Pointe noire/06 Nuitées</t>
  </si>
  <si>
    <t>P29-CONGO Frais d'hotel du 23 au 26/10/2023 à Nkayi/03 Nuitées</t>
  </si>
  <si>
    <t>Achat billet nkayi-Dolisie/P29</t>
  </si>
  <si>
    <t>Cumul frais de trust building du mois d'Octobre 2023/P29</t>
  </si>
  <si>
    <t>Achat billet dolisie-Brazzaville/P29</t>
  </si>
  <si>
    <t>P29-CONGO Frais d'hotel du 26 au 28/10/2023 à Dolisie/02 Nuitées</t>
  </si>
  <si>
    <t>Achat billet: Brazzaville - Loudima/T73</t>
  </si>
  <si>
    <t>T73 - CONGO Food Allowance du 17/10 au 28/10/2023 (11nuitées)</t>
  </si>
  <si>
    <t>achat billet : Loudima - Sibiti/T73</t>
  </si>
  <si>
    <t>Achat billet :  Sibiti - Mvouti/ T73</t>
  </si>
  <si>
    <t>T73 - CONGO Frais d'hotel du 17 au 21/19/2023 (04 nuitées ) à Sibiti</t>
  </si>
  <si>
    <t>T73 - CONGO Frais d'hotel du 21 au 23/19/2023 (02 nuitées ) à Mvouti</t>
  </si>
  <si>
    <t>Achat billet : Mvouti - mouyondzi/T73</t>
  </si>
  <si>
    <t>T73 - CONGO Frais d'hotel du 23 au 26/10/2023 (03 nuitées ) à Mouyondzi</t>
  </si>
  <si>
    <t>Achat billet : mouyondzi pour Loutété/T73</t>
  </si>
  <si>
    <t>Cumul frais de trust building du mois d'Octobre 2023/T73</t>
  </si>
  <si>
    <t>Achat billet : Loutété pour Brazzaville/T73</t>
  </si>
  <si>
    <t>T73 - CONGO Frais d'hotel du 26 au 28/10/2023 (02 nuitées ) à Loutété</t>
  </si>
  <si>
    <t>Cumul frais de transport local du mois d'Octobre 2023/T73</t>
  </si>
  <si>
    <t>Acompte honoraire Me Hélène Marie MALONGA contrat N°60 Brazzaville/Cas MATONDO et consorts</t>
  </si>
  <si>
    <t>Acompte honoraire  Me Hélène Marie MALONGA contrat N°61 Pointe-Noire/Cas OKEMBA et consorts</t>
  </si>
  <si>
    <t>Acompte honoraire  Me Hélène Marie MALONGA contrat N°62 Owando/Cas OWOWO et consorts</t>
  </si>
  <si>
    <t>4.5</t>
  </si>
  <si>
    <t>4.3</t>
  </si>
  <si>
    <t>Reglement facture d'eau (LCDE) periode Septembre -Octobre  2023/Bureau PALF</t>
  </si>
  <si>
    <t>Taxe/Reglement facture d'eau (LCDE) periode Septembre -Octobre  2023/Bureau PALF</t>
  </si>
  <si>
    <t>4.4</t>
  </si>
  <si>
    <t>4.6</t>
  </si>
  <si>
    <t>2.2</t>
  </si>
  <si>
    <t>1.3.2</t>
  </si>
  <si>
    <t>Total Sum of Spent</t>
  </si>
  <si>
    <t>Total Sum of Received</t>
  </si>
  <si>
    <t>Sum of Received</t>
  </si>
  <si>
    <t>Étiquettes de lignes</t>
  </si>
  <si>
    <t>Total général</t>
  </si>
  <si>
    <t>Étiquettes de colonnes</t>
  </si>
  <si>
    <t>AVAAZ</t>
  </si>
  <si>
    <t>Website</t>
  </si>
  <si>
    <t>Travel Expenses</t>
  </si>
  <si>
    <t>Taxi pointe noire-nzassi/P29</t>
  </si>
  <si>
    <t>Taxi nzassi- pointe noire/P29</t>
  </si>
  <si>
    <t>Achat billet Pointe Noire-Nkayi/P29</t>
  </si>
  <si>
    <t>Cumul frais de transport local du mois d'Octobre 2023/P29</t>
  </si>
  <si>
    <t>RALFF/(AVAAZ+ECF)</t>
  </si>
  <si>
    <t>ORACLE TALOULOU - CONGO Frais d’hôtel du 04 au 06 Octobre 2023/02 Nuitées à Dolisie</t>
  </si>
  <si>
    <t>ORACLE TALOULOU - CONGO Frais d’hôtel du 23 au 25 Octobre 2023/02 Nuitées à Pointe Noire</t>
  </si>
  <si>
    <t>ORACLE TALOULOU - CONGO Frais d’hôtel du 25 au 28 Octobre 2023/03 Nuitées à sibiti</t>
  </si>
  <si>
    <t>Achat credit  teléphonique MTN/PALF/Première partie Octobre 2023/Management</t>
  </si>
  <si>
    <t>Achat credit  teléphonique MTN/PALF/Première partie Octobre 2023/Legal</t>
  </si>
  <si>
    <t>Achat credit  teléphonique MTN/PALF/Première partie Octobre 2023/Investigation</t>
  </si>
  <si>
    <t>Achat credit  teléphonique MTN/PALF/Première partie Octobre 2023/Investigation Volontaire</t>
  </si>
  <si>
    <t>Achat credit  teléphonique MTN/PALF/Première partie Octobre 2023/Media</t>
  </si>
  <si>
    <t>Achat credit  teléphonique Airtel/PALF/Première partie Octobre 2023/Management</t>
  </si>
  <si>
    <t>Achat credit  teléphonique Airtel/PALF/Première partie Octobre 2023/Legal</t>
  </si>
  <si>
    <t>Achat credit  teléphonique Airtel/PALF/Première partie Octobre 2023/Investigation</t>
  </si>
  <si>
    <t>Achat credit  teléphonique Airtel/PALF/Première partie Octobre 2023/Media</t>
  </si>
  <si>
    <t>Paiement CNSS Troisième trismestre 2023 /Juillet,Août et Septembre  2023/Crépin IBOUILI IBOUILI</t>
  </si>
  <si>
    <t>Paiement CNSS Troisième trismestre 2023 /Juillet,Août et Septembre  2023/Hurielle MFOULOU</t>
  </si>
  <si>
    <t>Paiement CNSS Troisième trismestre 2023 /Juillet,Août et Septembre  2023/Donald-Roméo PINDI</t>
  </si>
  <si>
    <t>Paiement CNSS Troisième trismestre 2023 /Juillet,Août et Septembre  2023/Oracle TALOULOU</t>
  </si>
  <si>
    <t>Paiement CNSS Troisième trismestre 2023 /Juillet,Août et Septembre  2023/Grace MOLENDE</t>
  </si>
  <si>
    <t>Paiement CNSS Troisième trismestre 2023 /Juillet,Août et Septembre  2023/Merveille MAHANGA</t>
  </si>
  <si>
    <t>Paiement CNSS Troisième trismestre 2023 /Juillet,Août et Septembre  2023/Evariste LELOUSSI</t>
  </si>
  <si>
    <t>Hurielle/Fonctionnement</t>
  </si>
  <si>
    <t>DOVI/Remboursement prêt</t>
  </si>
  <si>
    <t>Homéfa/Prêt /Appro caisse</t>
  </si>
  <si>
    <t xml:space="preserve">HELENE BLANCHARD- CONGO Food allowance du 02 au 09 Octobre 2023 </t>
  </si>
  <si>
    <t>Achat billet Brazzaville-Nkikala/Donald-Roméo</t>
  </si>
  <si>
    <t>Achat billet Nkikala-Brazzaville/Donald-Roméo</t>
  </si>
  <si>
    <t>RALFF-CO5122</t>
  </si>
  <si>
    <t>RALFF-CO5123</t>
  </si>
  <si>
    <t>RALFF-CO5124</t>
  </si>
  <si>
    <t>RALFF-CO5125</t>
  </si>
  <si>
    <t>RALFF-CO5126</t>
  </si>
  <si>
    <t>RALFF-CO5127</t>
  </si>
  <si>
    <t>RALFF-CO5128</t>
  </si>
  <si>
    <t>RALFF-CO5129</t>
  </si>
  <si>
    <t>RALFF-CO5130</t>
  </si>
  <si>
    <t>RALFF-CO5131</t>
  </si>
  <si>
    <t>RALFF-CO5132</t>
  </si>
  <si>
    <t>RALFF-CO5133</t>
  </si>
  <si>
    <t>RALFF-CO5134</t>
  </si>
  <si>
    <t>RALFF-CO5135</t>
  </si>
  <si>
    <t>RALFF-CO5136</t>
  </si>
  <si>
    <t>RALFF-CO5137</t>
  </si>
  <si>
    <t>RALFF-CO5138</t>
  </si>
  <si>
    <t>RALFF-CO5139</t>
  </si>
  <si>
    <t>RALFF-CO5140</t>
  </si>
  <si>
    <t>RALFF-CO5141</t>
  </si>
  <si>
    <t>RALFF-CO5142</t>
  </si>
  <si>
    <t>RALFF-CO5143</t>
  </si>
  <si>
    <t>RALFF-CO5144</t>
  </si>
  <si>
    <t>RALFF-CO5145</t>
  </si>
  <si>
    <t>RALFF-CO5146</t>
  </si>
  <si>
    <t>RALFF-CO5147</t>
  </si>
  <si>
    <t>RALFF-CO5148</t>
  </si>
  <si>
    <t>RALFF-CO5149</t>
  </si>
  <si>
    <t>RALFF-CO5150</t>
  </si>
  <si>
    <t>RALFF-CO5151</t>
  </si>
  <si>
    <t>RALFF-CO5152</t>
  </si>
  <si>
    <t>RALFF-CO5153</t>
  </si>
  <si>
    <t>RALFF-CO5154</t>
  </si>
  <si>
    <t>RALFF-CO5155</t>
  </si>
  <si>
    <t>RALFF-CO5156</t>
  </si>
  <si>
    <t>RALFF-CO5157</t>
  </si>
  <si>
    <t>RALFF-CO5158</t>
  </si>
  <si>
    <t>RALFF-CO5159</t>
  </si>
  <si>
    <t>RALFF-CO5160</t>
  </si>
  <si>
    <t>RALFF-CO5161</t>
  </si>
  <si>
    <t>RALFF-CO5162</t>
  </si>
  <si>
    <t>RALFF-CO5163</t>
  </si>
  <si>
    <t>RALFF-CO5164</t>
  </si>
  <si>
    <t>RALFF-CO5165</t>
  </si>
  <si>
    <t>RALFF-CO5166</t>
  </si>
  <si>
    <t>RALFF-CO5167</t>
  </si>
  <si>
    <t>RALFF-CO5168</t>
  </si>
  <si>
    <t>RALFF-CO5169</t>
  </si>
  <si>
    <t>RALFF-CO5170</t>
  </si>
  <si>
    <t>RALFF-CO5171</t>
  </si>
  <si>
    <t>RALFF-CO5172</t>
  </si>
  <si>
    <t>RALFF-CO5173</t>
  </si>
  <si>
    <t>RALFF-CO5174</t>
  </si>
  <si>
    <t>RALFF-CO5175</t>
  </si>
  <si>
    <t>RALFF-CO5176</t>
  </si>
  <si>
    <t>RALFF-CO5177</t>
  </si>
  <si>
    <t>RALFF-CO5178</t>
  </si>
  <si>
    <t>RALFF-CO5179</t>
  </si>
  <si>
    <t>RALFF-CO5180</t>
  </si>
  <si>
    <t>RALFF-CO5181</t>
  </si>
  <si>
    <t>RALFF-CO5182</t>
  </si>
  <si>
    <t>RALFF-CO5183</t>
  </si>
  <si>
    <t>RALFF-CO5184</t>
  </si>
  <si>
    <t>RALFF-CO5185</t>
  </si>
  <si>
    <t>RALFF-CO5186</t>
  </si>
  <si>
    <t>RALFF-CO5187</t>
  </si>
  <si>
    <t>RALFF-CO5188</t>
  </si>
  <si>
    <t>RALFF-CO5189</t>
  </si>
  <si>
    <t>RALFF-CO5190</t>
  </si>
  <si>
    <t>RALFF-CO5191</t>
  </si>
  <si>
    <t>RALFF-CO5192</t>
  </si>
  <si>
    <t>RALFF-CO5193</t>
  </si>
  <si>
    <t>RALFF-CO5194</t>
  </si>
  <si>
    <t>RALFF-CO5195</t>
  </si>
  <si>
    <t>RALFF-CO5196</t>
  </si>
  <si>
    <t>RALFF-CO5197</t>
  </si>
  <si>
    <t>RALFF-CO5198</t>
  </si>
  <si>
    <t>RALFF-CO5199</t>
  </si>
  <si>
    <t>RALFF-CO5200</t>
  </si>
  <si>
    <t>RALFF-CO5201</t>
  </si>
  <si>
    <t>RALFF-CO5202</t>
  </si>
  <si>
    <t>RALFF-CO5203</t>
  </si>
  <si>
    <t>RALFF-CO5204</t>
  </si>
  <si>
    <t>RALFF-CO5205</t>
  </si>
  <si>
    <t>RALFF-CO5206</t>
  </si>
  <si>
    <t>RALFF-CO5207</t>
  </si>
  <si>
    <t>RALFF-CO5208</t>
  </si>
  <si>
    <t>RALFF-CO5209</t>
  </si>
  <si>
    <t>RALFF-CO5210</t>
  </si>
  <si>
    <t>RALFF-CO5211</t>
  </si>
  <si>
    <t>RALFF-CO5212</t>
  </si>
  <si>
    <t>RALFF-CO5213</t>
  </si>
  <si>
    <t>RALFF-CO5214</t>
  </si>
  <si>
    <t>RALFF-CO5215</t>
  </si>
  <si>
    <t>RALFF-CO5216</t>
  </si>
  <si>
    <t>RALFF-CO5217</t>
  </si>
  <si>
    <t>RALFF-CO5218</t>
  </si>
  <si>
    <t>RALFF-CO5219</t>
  </si>
  <si>
    <t>RALFF-CO5220</t>
  </si>
  <si>
    <t>RALFF-CO5221</t>
  </si>
  <si>
    <t>RALFF-CO5222</t>
  </si>
  <si>
    <t>RALFF-CO5223</t>
  </si>
  <si>
    <t>Fonds reçu de Eagle/AVAAZ (24,500 USD)</t>
  </si>
  <si>
    <t>Fonds reçu de Eagle/DWSF (5,500 USD)</t>
  </si>
</sst>
</file>

<file path=xl/styles.xml><?xml version="1.0" encoding="utf-8"?>
<styleSheet xmlns="http://schemas.openxmlformats.org/spreadsheetml/2006/main">
  <numFmts count="11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[$-409]d\-mmm\-yy;@"/>
    <numFmt numFmtId="167" formatCode="[$-40C]0"/>
    <numFmt numFmtId="168" formatCode="&quot; &quot;#,##0&quot;    &quot;;&quot;-&quot;#,##0&quot;    &quot;;&quot; -&quot;#&quot;    &quot;;&quot; &quot;@&quot; &quot;"/>
    <numFmt numFmtId="169" formatCode="[$]d\ mmm\ yyyy;@"/>
    <numFmt numFmtId="170" formatCode="_-* #,##0\ _€_-;\-* #,##0\ _€_-;_-* &quot;-&quot;??\ _€_-;_-@"/>
    <numFmt numFmtId="171" formatCode="[$-40C]dd\-mmm\-yy;@"/>
    <numFmt numFmtId="172" formatCode="[$-40C]General"/>
    <numFmt numFmtId="173" formatCode="d\-m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2"/>
      <color rgb="FF000000"/>
      <name val="Calibri"/>
      <family val="2"/>
    </font>
    <font>
      <b/>
      <sz val="12"/>
      <color rgb="FFFF0000"/>
      <name val="Arial Narrow"/>
      <family val="2"/>
    </font>
    <font>
      <sz val="12"/>
      <color rgb="FF000000"/>
      <name val="Calibri"/>
      <family val="2"/>
    </font>
    <font>
      <b/>
      <sz val="14"/>
      <color rgb="FFFF000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22" fillId="0" borderId="0" applyBorder="0" applyProtection="0"/>
    <xf numFmtId="9" fontId="1" fillId="0" borderId="0" applyFont="0" applyFill="0" applyBorder="0" applyAlignment="0" applyProtection="0"/>
    <xf numFmtId="0" fontId="1" fillId="0" borderId="0" applyBorder="0">
      <alignment vertical="center"/>
    </xf>
    <xf numFmtId="164" fontId="1" fillId="0" borderId="0" applyFont="0" applyFill="0" applyBorder="0" applyAlignment="0" applyProtection="0">
      <alignment vertical="center"/>
    </xf>
    <xf numFmtId="164" fontId="50" fillId="0" borderId="0">
      <protection locked="0"/>
    </xf>
  </cellStyleXfs>
  <cellXfs count="30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Border="1"/>
    <xf numFmtId="165" fontId="0" fillId="0" borderId="0" xfId="0" applyNumberForma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/>
    <xf numFmtId="165" fontId="13" fillId="0" borderId="0" xfId="0" applyNumberFormat="1" applyFont="1" applyAlignment="1">
      <alignment vertical="center"/>
    </xf>
    <xf numFmtId="0" fontId="16" fillId="0" borderId="0" xfId="0" applyFont="1"/>
    <xf numFmtId="0" fontId="4" fillId="0" borderId="0" xfId="0" applyFont="1"/>
    <xf numFmtId="0" fontId="5" fillId="7" borderId="0" xfId="0" applyFont="1" applyFill="1" applyAlignment="1">
      <alignment horizontal="center"/>
    </xf>
    <xf numFmtId="0" fontId="5" fillId="0" borderId="0" xfId="0" applyFo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7" fillId="10" borderId="5" xfId="0" applyFont="1" applyFill="1" applyBorder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Border="1"/>
    <xf numFmtId="165" fontId="4" fillId="0" borderId="1" xfId="1" applyNumberFormat="1" applyFont="1" applyFill="1" applyBorder="1" applyProtection="1"/>
    <xf numFmtId="165" fontId="18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/>
    <xf numFmtId="0" fontId="5" fillId="0" borderId="4" xfId="0" applyFont="1" applyBorder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165" fontId="10" fillId="0" borderId="1" xfId="0" applyNumberFormat="1" applyFont="1" applyBorder="1"/>
    <xf numFmtId="0" fontId="17" fillId="10" borderId="4" xfId="0" applyFont="1" applyFill="1" applyBorder="1"/>
    <xf numFmtId="165" fontId="0" fillId="0" borderId="1" xfId="1" applyNumberFormat="1" applyFont="1" applyBorder="1" applyProtection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8" fillId="0" borderId="6" xfId="1" applyNumberFormat="1" applyFont="1" applyBorder="1" applyProtection="1"/>
    <xf numFmtId="165" fontId="18" fillId="0" borderId="1" xfId="1" applyNumberFormat="1" applyFont="1" applyBorder="1" applyAlignment="1" applyProtection="1">
      <alignment vertical="center"/>
    </xf>
    <xf numFmtId="165" fontId="18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8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8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0" fillId="0" borderId="0" xfId="1" applyNumberFormat="1" applyFont="1" applyBorder="1" applyProtection="1">
      <protection locked="0"/>
    </xf>
    <xf numFmtId="0" fontId="6" fillId="0" borderId="1" xfId="0" applyFont="1" applyBorder="1"/>
    <xf numFmtId="0" fontId="21" fillId="0" borderId="1" xfId="0" applyFont="1" applyBorder="1" applyAlignment="1">
      <alignment vertical="center"/>
    </xf>
    <xf numFmtId="165" fontId="22" fillId="0" borderId="1" xfId="1" applyNumberFormat="1" applyFont="1" applyBorder="1" applyProtection="1">
      <protection locked="0"/>
    </xf>
    <xf numFmtId="165" fontId="23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13" borderId="0" xfId="0" applyFont="1" applyFill="1" applyAlignment="1">
      <alignment horizontal="center"/>
    </xf>
    <xf numFmtId="3" fontId="23" fillId="0" borderId="0" xfId="0" applyNumberFormat="1" applyFont="1" applyAlignment="1">
      <alignment vertical="center"/>
    </xf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7" fillId="17" borderId="5" xfId="0" applyFont="1" applyFill="1" applyBorder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/>
    <xf numFmtId="165" fontId="4" fillId="0" borderId="3" xfId="1" applyNumberFormat="1" applyFont="1" applyFill="1" applyBorder="1" applyProtection="1"/>
    <xf numFmtId="165" fontId="23" fillId="0" borderId="1" xfId="1" applyNumberFormat="1" applyFont="1" applyFill="1" applyBorder="1" applyProtection="1"/>
    <xf numFmtId="165" fontId="27" fillId="0" borderId="1" xfId="1" applyNumberFormat="1" applyFont="1" applyFill="1" applyBorder="1" applyAlignment="1" applyProtection="1">
      <alignment horizontal="center" vertical="center"/>
    </xf>
    <xf numFmtId="165" fontId="22" fillId="0" borderId="1" xfId="1" applyNumberFormat="1" applyFont="1" applyFill="1" applyBorder="1" applyProtection="1"/>
    <xf numFmtId="165" fontId="27" fillId="0" borderId="1" xfId="1" applyNumberFormat="1" applyFont="1" applyFill="1" applyBorder="1" applyProtection="1"/>
    <xf numFmtId="165" fontId="22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/>
    <xf numFmtId="165" fontId="28" fillId="0" borderId="1" xfId="1" applyNumberFormat="1" applyFont="1" applyFill="1" applyBorder="1" applyProtection="1"/>
    <xf numFmtId="3" fontId="23" fillId="0" borderId="1" xfId="0" applyNumberFormat="1" applyFont="1" applyBorder="1" applyAlignment="1">
      <alignment vertical="center"/>
    </xf>
    <xf numFmtId="165" fontId="28" fillId="0" borderId="0" xfId="1" applyNumberFormat="1" applyFont="1" applyFill="1" applyBorder="1" applyProtection="1"/>
    <xf numFmtId="0" fontId="17" fillId="17" borderId="4" xfId="0" applyFont="1" applyFill="1" applyBorder="1"/>
    <xf numFmtId="165" fontId="29" fillId="0" borderId="3" xfId="1" applyNumberFormat="1" applyFont="1" applyFill="1" applyBorder="1" applyProtection="1"/>
    <xf numFmtId="165" fontId="27" fillId="0" borderId="6" xfId="1" applyNumberFormat="1" applyFont="1" applyFill="1" applyBorder="1" applyProtection="1"/>
    <xf numFmtId="165" fontId="27" fillId="18" borderId="1" xfId="1" applyNumberFormat="1" applyFont="1" applyFill="1" applyBorder="1" applyProtection="1"/>
    <xf numFmtId="165" fontId="27" fillId="18" borderId="1" xfId="1" applyNumberFormat="1" applyFont="1" applyFill="1" applyBorder="1" applyAlignment="1" applyProtection="1">
      <alignment vertical="center"/>
    </xf>
    <xf numFmtId="165" fontId="30" fillId="0" borderId="6" xfId="1" applyNumberFormat="1" applyFont="1" applyFill="1" applyBorder="1" applyProtection="1"/>
    <xf numFmtId="165" fontId="30" fillId="0" borderId="1" xfId="1" applyNumberFormat="1" applyFont="1" applyFill="1" applyBorder="1" applyProtection="1"/>
    <xf numFmtId="165" fontId="27" fillId="0" borderId="1" xfId="1" applyNumberFormat="1" applyFont="1" applyFill="1" applyBorder="1" applyAlignment="1" applyProtection="1">
      <alignment vertical="center"/>
    </xf>
    <xf numFmtId="165" fontId="23" fillId="0" borderId="0" xfId="0" applyNumberFormat="1" applyFont="1" applyAlignment="1">
      <alignment vertical="center"/>
    </xf>
    <xf numFmtId="0" fontId="23" fillId="0" borderId="1" xfId="0" applyFont="1" applyBorder="1" applyAlignment="1">
      <alignment vertical="center"/>
    </xf>
    <xf numFmtId="0" fontId="25" fillId="0" borderId="1" xfId="0" applyFont="1" applyBorder="1"/>
    <xf numFmtId="165" fontId="18" fillId="0" borderId="6" xfId="1" applyNumberFormat="1" applyFont="1" applyFill="1" applyBorder="1" applyProtection="1"/>
    <xf numFmtId="165" fontId="18" fillId="0" borderId="1" xfId="0" applyNumberFormat="1" applyFont="1" applyBorder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1" fillId="0" borderId="0" xfId="0" applyNumberFormat="1" applyFont="1" applyAlignment="1">
      <alignment vertical="center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/>
    <xf numFmtId="0" fontId="6" fillId="21" borderId="1" xfId="0" applyFont="1" applyFill="1" applyBorder="1"/>
    <xf numFmtId="0" fontId="21" fillId="21" borderId="1" xfId="0" applyFont="1" applyFill="1" applyBorder="1" applyAlignment="1">
      <alignment vertical="center"/>
    </xf>
    <xf numFmtId="165" fontId="22" fillId="21" borderId="1" xfId="1" applyNumberFormat="1" applyFont="1" applyFill="1" applyBorder="1" applyProtection="1">
      <protection locked="0"/>
    </xf>
    <xf numFmtId="165" fontId="23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8" fillId="21" borderId="1" xfId="1" applyNumberFormat="1" applyFont="1" applyFill="1" applyBorder="1" applyProtection="1"/>
    <xf numFmtId="165" fontId="4" fillId="21" borderId="1" xfId="0" applyNumberFormat="1" applyFont="1" applyFill="1" applyBorder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8" fillId="5" borderId="1" xfId="0" applyNumberFormat="1" applyFont="1" applyFill="1" applyBorder="1"/>
    <xf numFmtId="165" fontId="18" fillId="0" borderId="1" xfId="1" applyNumberFormat="1" applyFont="1" applyBorder="1" applyProtection="1"/>
    <xf numFmtId="165" fontId="18" fillId="0" borderId="0" xfId="1" applyNumberFormat="1" applyFont="1" applyProtection="1"/>
    <xf numFmtId="0" fontId="5" fillId="0" borderId="1" xfId="0" applyFont="1" applyBorder="1"/>
    <xf numFmtId="0" fontId="5" fillId="5" borderId="1" xfId="0" applyFont="1" applyFill="1" applyBorder="1"/>
    <xf numFmtId="0" fontId="5" fillId="21" borderId="1" xfId="0" applyFont="1" applyFill="1" applyBorder="1"/>
    <xf numFmtId="0" fontId="18" fillId="5" borderId="1" xfId="0" applyFont="1" applyFill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165" fontId="18" fillId="0" borderId="3" xfId="1" applyNumberFormat="1" applyFont="1" applyFill="1" applyBorder="1" applyProtection="1"/>
    <xf numFmtId="0" fontId="32" fillId="0" borderId="0" xfId="0" applyFont="1" applyAlignment="1">
      <alignment vertical="center"/>
    </xf>
    <xf numFmtId="165" fontId="34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4" xfId="0" applyFont="1" applyBorder="1"/>
    <xf numFmtId="0" fontId="39" fillId="0" borderId="0" xfId="0" applyFont="1"/>
    <xf numFmtId="0" fontId="39" fillId="0" borderId="1" xfId="0" applyFont="1" applyBorder="1"/>
    <xf numFmtId="165" fontId="18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8" fillId="22" borderId="1" xfId="0" applyNumberFormat="1" applyFont="1" applyFill="1" applyBorder="1"/>
    <xf numFmtId="0" fontId="1" fillId="0" borderId="1" xfId="0" applyFont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23" fillId="0" borderId="1" xfId="1" applyNumberFormat="1" applyFont="1" applyFill="1" applyBorder="1" applyProtection="1">
      <protection locked="0"/>
    </xf>
    <xf numFmtId="165" fontId="18" fillId="21" borderId="1" xfId="1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vertical="center"/>
    </xf>
    <xf numFmtId="14" fontId="40" fillId="0" borderId="1" xfId="3" applyNumberFormat="1" applyFont="1" applyBorder="1"/>
    <xf numFmtId="0" fontId="0" fillId="25" borderId="0" xfId="0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165" fontId="33" fillId="25" borderId="0" xfId="0" applyNumberFormat="1" applyFont="1" applyFill="1" applyAlignment="1">
      <alignment vertical="center"/>
    </xf>
    <xf numFmtId="165" fontId="31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0" fontId="33" fillId="0" borderId="0" xfId="7" applyNumberFormat="1" applyFont="1"/>
    <xf numFmtId="0" fontId="2" fillId="0" borderId="0" xfId="0" applyFont="1"/>
    <xf numFmtId="0" fontId="0" fillId="0" borderId="1" xfId="0" applyBorder="1"/>
    <xf numFmtId="0" fontId="40" fillId="0" borderId="1" xfId="0" applyFont="1" applyBorder="1"/>
    <xf numFmtId="0" fontId="42" fillId="0" borderId="1" xfId="0" applyFont="1" applyBorder="1" applyAlignment="1">
      <alignment vertical="center"/>
    </xf>
    <xf numFmtId="165" fontId="43" fillId="0" borderId="1" xfId="1" applyNumberFormat="1" applyFont="1" applyBorder="1" applyProtection="1">
      <protection locked="0"/>
    </xf>
    <xf numFmtId="165" fontId="44" fillId="0" borderId="0" xfId="0" applyNumberFormat="1" applyFont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169" fontId="24" fillId="0" borderId="1" xfId="0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3" fontId="24" fillId="0" borderId="1" xfId="1" applyNumberFormat="1" applyFont="1" applyFill="1" applyBorder="1" applyAlignment="1" applyProtection="1">
      <alignment vertical="center"/>
    </xf>
    <xf numFmtId="165" fontId="24" fillId="0" borderId="1" xfId="0" applyNumberFormat="1" applyFont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4" fillId="23" borderId="1" xfId="0" applyFont="1" applyFill="1" applyBorder="1" applyAlignment="1">
      <alignment vertical="center"/>
    </xf>
    <xf numFmtId="41" fontId="24" fillId="23" borderId="1" xfId="4" applyFont="1" applyFill="1" applyBorder="1" applyAlignment="1">
      <alignment horizontal="right" vertical="center"/>
    </xf>
    <xf numFmtId="41" fontId="24" fillId="0" borderId="1" xfId="4" applyFont="1" applyFill="1" applyBorder="1" applyAlignment="1" applyProtection="1">
      <alignment horizontal="right"/>
    </xf>
    <xf numFmtId="165" fontId="24" fillId="0" borderId="1" xfId="1" applyNumberFormat="1" applyFont="1" applyFill="1" applyBorder="1" applyAlignment="1" applyProtection="1">
      <alignment vertical="center"/>
    </xf>
    <xf numFmtId="0" fontId="45" fillId="0" borderId="1" xfId="0" applyFont="1" applyBorder="1" applyAlignment="1">
      <alignment vertical="center"/>
    </xf>
    <xf numFmtId="0" fontId="46" fillId="21" borderId="1" xfId="0" applyFont="1" applyFill="1" applyBorder="1" applyAlignment="1">
      <alignment vertical="center"/>
    </xf>
    <xf numFmtId="0" fontId="46" fillId="21" borderId="1" xfId="0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3" fontId="25" fillId="0" borderId="1" xfId="1" applyNumberFormat="1" applyFont="1" applyFill="1" applyBorder="1" applyAlignment="1" applyProtection="1">
      <alignment vertical="center"/>
    </xf>
    <xf numFmtId="165" fontId="24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165" fontId="25" fillId="0" borderId="1" xfId="0" applyNumberFormat="1" applyFont="1" applyBorder="1" applyAlignment="1">
      <alignment horizontal="center" vertical="center"/>
    </xf>
    <xf numFmtId="165" fontId="45" fillId="0" borderId="1" xfId="0" applyNumberFormat="1" applyFont="1" applyBorder="1" applyAlignment="1">
      <alignment horizontal="center" vertical="center"/>
    </xf>
    <xf numFmtId="0" fontId="4" fillId="0" borderId="11" xfId="0" applyFont="1" applyBorder="1"/>
    <xf numFmtId="165" fontId="24" fillId="0" borderId="1" xfId="1" applyNumberFormat="1" applyFont="1" applyFill="1" applyBorder="1"/>
    <xf numFmtId="165" fontId="48" fillId="0" borderId="0" xfId="1" applyNumberFormat="1" applyFont="1" applyBorder="1" applyProtection="1">
      <protection locked="0"/>
    </xf>
    <xf numFmtId="0" fontId="47" fillId="0" borderId="1" xfId="0" applyFont="1" applyBorder="1" applyAlignment="1">
      <alignment vertical="center"/>
    </xf>
    <xf numFmtId="0" fontId="47" fillId="0" borderId="1" xfId="0" applyFont="1" applyBorder="1"/>
    <xf numFmtId="165" fontId="24" fillId="0" borderId="1" xfId="1" applyNumberFormat="1" applyFont="1" applyFill="1" applyBorder="1" applyAlignment="1">
      <alignment horizontal="right"/>
    </xf>
    <xf numFmtId="169" fontId="24" fillId="12" borderId="1" xfId="0" applyNumberFormat="1" applyFont="1" applyFill="1" applyBorder="1"/>
    <xf numFmtId="0" fontId="24" fillId="12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/>
    </xf>
    <xf numFmtId="3" fontId="24" fillId="12" borderId="1" xfId="1" applyNumberFormat="1" applyFont="1" applyFill="1" applyBorder="1" applyAlignment="1" applyProtection="1">
      <alignment vertical="center"/>
    </xf>
    <xf numFmtId="165" fontId="24" fillId="12" borderId="1" xfId="1" applyNumberFormat="1" applyFont="1" applyFill="1" applyBorder="1" applyAlignment="1" applyProtection="1">
      <alignment vertical="center"/>
    </xf>
    <xf numFmtId="0" fontId="24" fillId="12" borderId="1" xfId="0" applyFont="1" applyFill="1" applyBorder="1" applyAlignment="1">
      <alignment horizontal="left" vertical="center"/>
    </xf>
    <xf numFmtId="165" fontId="24" fillId="0" borderId="1" xfId="1" applyNumberFormat="1" applyFont="1" applyFill="1" applyBorder="1" applyAlignment="1"/>
    <xf numFmtId="165" fontId="24" fillId="0" borderId="1" xfId="9" applyNumberFormat="1" applyFont="1" applyFill="1" applyBorder="1" applyAlignment="1"/>
    <xf numFmtId="3" fontId="33" fillId="0" borderId="0" xfId="0" applyNumberFormat="1" applyFont="1"/>
    <xf numFmtId="41" fontId="24" fillId="12" borderId="1" xfId="4" applyFont="1" applyFill="1" applyBorder="1" applyAlignment="1" applyProtection="1">
      <alignment horizontal="left"/>
    </xf>
    <xf numFmtId="3" fontId="51" fillId="24" borderId="1" xfId="1" applyNumberFormat="1" applyFont="1" applyFill="1" applyBorder="1" applyAlignment="1" applyProtection="1">
      <alignment vertical="center"/>
    </xf>
    <xf numFmtId="165" fontId="24" fillId="0" borderId="1" xfId="1" applyNumberFormat="1" applyFont="1" applyFill="1" applyBorder="1" applyAlignment="1">
      <alignment vertical="center"/>
    </xf>
    <xf numFmtId="3" fontId="24" fillId="0" borderId="1" xfId="1" applyNumberFormat="1" applyFont="1" applyFill="1" applyBorder="1" applyAlignment="1" applyProtection="1"/>
    <xf numFmtId="165" fontId="24" fillId="0" borderId="1" xfId="1" applyNumberFormat="1" applyFont="1" applyFill="1" applyBorder="1" applyAlignment="1" applyProtection="1">
      <alignment horizontal="left" vertical="center"/>
    </xf>
    <xf numFmtId="171" fontId="24" fillId="0" borderId="1" xfId="0" applyNumberFormat="1" applyFont="1" applyBorder="1" applyAlignment="1">
      <alignment vertical="center"/>
    </xf>
    <xf numFmtId="3" fontId="24" fillId="0" borderId="1" xfId="0" applyNumberFormat="1" applyFont="1" applyBorder="1"/>
    <xf numFmtId="171" fontId="24" fillId="0" borderId="1" xfId="0" applyNumberFormat="1" applyFont="1" applyBorder="1"/>
    <xf numFmtId="165" fontId="24" fillId="0" borderId="1" xfId="0" applyNumberFormat="1" applyFont="1" applyBorder="1"/>
    <xf numFmtId="171" fontId="24" fillId="0" borderId="1" xfId="2" applyNumberFormat="1" applyFont="1" applyBorder="1"/>
    <xf numFmtId="0" fontId="24" fillId="0" borderId="1" xfId="0" applyFont="1" applyBorder="1" applyAlignment="1">
      <alignment horizontal="right" vertical="center"/>
    </xf>
    <xf numFmtId="171" fontId="24" fillId="0" borderId="1" xfId="2" applyNumberFormat="1" applyFont="1" applyBorder="1" applyAlignment="1">
      <alignment vertical="top" wrapText="1"/>
    </xf>
    <xf numFmtId="0" fontId="24" fillId="0" borderId="1" xfId="0" applyFont="1" applyBorder="1" applyAlignment="1">
      <alignment horizontal="left"/>
    </xf>
    <xf numFmtId="165" fontId="24" fillId="0" borderId="1" xfId="10" applyNumberFormat="1" applyFont="1" applyBorder="1" applyProtection="1"/>
    <xf numFmtId="0" fontId="24" fillId="0" borderId="1" xfId="8" applyFont="1" applyBorder="1" applyAlignment="1"/>
    <xf numFmtId="2" fontId="24" fillId="0" borderId="1" xfId="0" applyNumberFormat="1" applyFont="1" applyBorder="1"/>
    <xf numFmtId="170" fontId="24" fillId="0" borderId="1" xfId="0" applyNumberFormat="1" applyFont="1" applyBorder="1"/>
    <xf numFmtId="17" fontId="24" fillId="0" borderId="1" xfId="0" applyNumberFormat="1" applyFont="1" applyBorder="1" applyAlignment="1">
      <alignment horizontal="left"/>
    </xf>
    <xf numFmtId="167" fontId="24" fillId="0" borderId="1" xfId="2" applyNumberFormat="1" applyFont="1" applyBorder="1" applyAlignment="1">
      <alignment vertical="top"/>
    </xf>
    <xf numFmtId="168" fontId="24" fillId="0" borderId="1" xfId="6" applyNumberFormat="1" applyFont="1" applyBorder="1" applyAlignment="1">
      <alignment vertical="top" wrapText="1"/>
    </xf>
    <xf numFmtId="168" fontId="24" fillId="0" borderId="1" xfId="6" applyNumberFormat="1" applyFont="1" applyBorder="1" applyAlignment="1">
      <alignment horizontal="right" vertical="top" wrapText="1"/>
    </xf>
    <xf numFmtId="167" fontId="24" fillId="0" borderId="1" xfId="2" applyNumberFormat="1" applyFont="1" applyBorder="1" applyAlignment="1">
      <alignment vertical="top" wrapText="1"/>
    </xf>
    <xf numFmtId="168" fontId="24" fillId="0" borderId="1" xfId="6" applyNumberFormat="1" applyFont="1" applyBorder="1" applyAlignment="1">
      <alignment wrapText="1"/>
    </xf>
    <xf numFmtId="0" fontId="24" fillId="0" borderId="1" xfId="0" applyFont="1" applyBorder="1" applyAlignment="1">
      <alignment horizontal="right"/>
    </xf>
    <xf numFmtId="0" fontId="24" fillId="0" borderId="1" xfId="2" applyFont="1" applyBorder="1"/>
    <xf numFmtId="172" fontId="24" fillId="0" borderId="1" xfId="2" applyNumberFormat="1" applyFont="1" applyBorder="1" applyAlignment="1">
      <alignment horizontal="left"/>
    </xf>
    <xf numFmtId="3" fontId="24" fillId="0" borderId="1" xfId="0" applyNumberFormat="1" applyFont="1" applyBorder="1" applyAlignment="1">
      <alignment horizontal="right"/>
    </xf>
    <xf numFmtId="170" fontId="24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165" fontId="24" fillId="0" borderId="1" xfId="1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165" fontId="24" fillId="0" borderId="1" xfId="9" applyNumberFormat="1" applyFont="1" applyFill="1" applyBorder="1" applyAlignment="1">
      <alignment horizontal="left"/>
    </xf>
    <xf numFmtId="0" fontId="24" fillId="0" borderId="1" xfId="2" applyFont="1" applyBorder="1" applyAlignment="1">
      <alignment horizontal="left"/>
    </xf>
    <xf numFmtId="168" fontId="24" fillId="0" borderId="1" xfId="6" applyNumberFormat="1" applyFont="1" applyBorder="1" applyAlignment="1">
      <alignment horizontal="left" vertical="top" wrapText="1"/>
    </xf>
    <xf numFmtId="0" fontId="24" fillId="0" borderId="1" xfId="8" applyFont="1" applyBorder="1" applyAlignment="1">
      <alignment horizontal="right"/>
    </xf>
    <xf numFmtId="173" fontId="24" fillId="0" borderId="1" xfId="2" applyNumberFormat="1" applyFont="1" applyBorder="1" applyAlignment="1">
      <alignment vertical="top" wrapText="1"/>
    </xf>
    <xf numFmtId="0" fontId="1" fillId="0" borderId="1" xfId="0" applyFont="1" applyBorder="1"/>
    <xf numFmtId="0" fontId="35" fillId="20" borderId="11" xfId="0" applyFont="1" applyFill="1" applyBorder="1" applyAlignment="1">
      <alignment horizontal="center" vertical="center"/>
    </xf>
    <xf numFmtId="0" fontId="35" fillId="20" borderId="11" xfId="0" applyFont="1" applyFill="1" applyBorder="1" applyAlignment="1">
      <alignment horizontal="right" vertical="center"/>
    </xf>
    <xf numFmtId="41" fontId="35" fillId="20" borderId="11" xfId="4" applyFont="1" applyFill="1" applyBorder="1" applyAlignment="1">
      <alignment horizontal="right" vertical="center"/>
    </xf>
    <xf numFmtId="0" fontId="35" fillId="20" borderId="11" xfId="0" applyFont="1" applyFill="1" applyBorder="1" applyAlignment="1">
      <alignment horizontal="left" vertical="center"/>
    </xf>
    <xf numFmtId="0" fontId="41" fillId="20" borderId="11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vertical="center"/>
    </xf>
    <xf numFmtId="0" fontId="7" fillId="0" borderId="1" xfId="0" applyFont="1" applyBorder="1"/>
    <xf numFmtId="0" fontId="45" fillId="0" borderId="1" xfId="0" applyFont="1" applyBorder="1"/>
    <xf numFmtId="165" fontId="45" fillId="0" borderId="1" xfId="0" applyNumberFormat="1" applyFont="1" applyBorder="1"/>
    <xf numFmtId="165" fontId="45" fillId="0" borderId="1" xfId="1" applyNumberFormat="1" applyFont="1" applyFill="1" applyBorder="1"/>
    <xf numFmtId="0" fontId="7" fillId="0" borderId="0" xfId="0" applyFont="1"/>
    <xf numFmtId="0" fontId="24" fillId="26" borderId="1" xfId="0" applyFont="1" applyFill="1" applyBorder="1" applyAlignment="1">
      <alignment vertical="center"/>
    </xf>
    <xf numFmtId="0" fontId="24" fillId="26" borderId="1" xfId="0" applyFont="1" applyFill="1" applyBorder="1" applyAlignment="1">
      <alignment horizontal="right" vertical="center"/>
    </xf>
    <xf numFmtId="165" fontId="24" fillId="26" borderId="1" xfId="1" applyNumberFormat="1" applyFont="1" applyFill="1" applyBorder="1" applyAlignment="1"/>
    <xf numFmtId="165" fontId="24" fillId="26" borderId="1" xfId="1" applyNumberFormat="1" applyFont="1" applyFill="1" applyBorder="1"/>
    <xf numFmtId="168" fontId="24" fillId="26" borderId="1" xfId="6" applyNumberFormat="1" applyFont="1" applyFill="1" applyBorder="1" applyAlignment="1">
      <alignment horizontal="right" vertical="top" wrapText="1"/>
    </xf>
    <xf numFmtId="0" fontId="24" fillId="26" borderId="1" xfId="0" applyFont="1" applyFill="1" applyBorder="1"/>
    <xf numFmtId="0" fontId="24" fillId="26" borderId="1" xfId="0" applyFont="1" applyFill="1" applyBorder="1" applyAlignment="1">
      <alignment horizontal="right"/>
    </xf>
    <xf numFmtId="165" fontId="24" fillId="26" borderId="1" xfId="9" applyNumberFormat="1" applyFont="1" applyFill="1" applyBorder="1" applyAlignment="1"/>
    <xf numFmtId="165" fontId="24" fillId="26" borderId="1" xfId="0" applyNumberFormat="1" applyFont="1" applyFill="1" applyBorder="1" applyAlignment="1">
      <alignment vertical="center"/>
    </xf>
    <xf numFmtId="167" fontId="24" fillId="26" borderId="1" xfId="2" applyNumberFormat="1" applyFont="1" applyFill="1" applyBorder="1" applyAlignment="1">
      <alignment horizontal="right" vertical="top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26" borderId="1" xfId="0" applyFont="1" applyFill="1" applyBorder="1"/>
    <xf numFmtId="0" fontId="0" fillId="26" borderId="1" xfId="0" applyFont="1" applyFill="1" applyBorder="1" applyAlignment="1">
      <alignment horizontal="right"/>
    </xf>
  </cellXfs>
  <cellStyles count="11">
    <cellStyle name="Comma 2" xfId="9"/>
    <cellStyle name="Excel Built-in Comma" xfId="6"/>
    <cellStyle name="Excel Built-in Normal" xfId="2"/>
    <cellStyle name="Milliers" xfId="1" builtinId="3"/>
    <cellStyle name="Milliers [0]" xfId="4" builtinId="6"/>
    <cellStyle name="Milliers 2" xfId="10"/>
    <cellStyle name="Milliers 3" xfId="5"/>
    <cellStyle name="Normal" xfId="0" builtinId="0"/>
    <cellStyle name="Normal 2" xfId="8"/>
    <cellStyle name="Normal_Total expenses by date" xfId="3"/>
    <cellStyle name="Pourcentage" xfId="7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5239.707526041668" createdVersion="6" refreshedVersion="3" minRefreshableVersion="3" recordCount="257">
  <cacheSource type="worksheet">
    <worksheetSource ref="A12:O269" sheet="DATA OCTOBRE 2023"/>
  </cacheSource>
  <cacheFields count="15">
    <cacheField name="Date" numFmtId="0">
      <sharedItems containsSemiMixedTypes="0" containsNonDate="0" containsDate="1" containsString="0" minDate="2023-10-01T00:00:00" maxDate="2023-11-01T00:00:00"/>
    </cacheField>
    <cacheField name="Details" numFmtId="0">
      <sharedItems/>
    </cacheField>
    <cacheField name="Type de dépenses" numFmtId="0">
      <sharedItems containsBlank="1" count="23">
        <m/>
        <s v="Trust Building"/>
        <s v="Bonus"/>
        <s v="Versement"/>
        <s v="Telephone"/>
        <s v="Transfer fees"/>
        <s v="Office Materials"/>
        <s v="Travel subsistence"/>
        <s v="bank fees"/>
        <s v="Personnel"/>
        <s v="Transport "/>
        <s v="Court Fees"/>
        <s v="Transport"/>
        <s v="Versement "/>
        <s v="Services"/>
        <s v="Lawyer Fees"/>
        <s v="Grant"/>
        <s v="Rent &amp; Utilities"/>
        <s v="Travel Expenses"/>
        <s v="Website"/>
        <s v="Jail visits"/>
        <s v="Internet"/>
        <s v="travel Expense" u="1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15000" maxValue="14845137"/>
    </cacheField>
    <cacheField name="Spent" numFmtId="0">
      <sharedItems containsString="0" containsBlank="1" containsNumber="1" containsInteger="1" minValue="2000" maxValue="2000000"/>
    </cacheField>
    <cacheField name="Balance" numFmtId="165">
      <sharedItems containsSemiMixedTypes="0" containsString="0" containsNumber="1" containsInteger="1" minValue="835738" maxValue="20649903"/>
    </cacheField>
    <cacheField name="Name" numFmtId="0">
      <sharedItems containsBlank="1" count="14">
        <m/>
        <s v="Caisse"/>
        <s v="BCI-Sous Compte"/>
        <s v="Donald-Roméo"/>
        <s v="DOVI"/>
        <s v="Hurielle"/>
        <s v="Crépin"/>
        <s v="Oracle"/>
        <s v="T73"/>
        <s v="BCI"/>
        <s v="Evariste"/>
        <s v="P29"/>
        <s v="IT87"/>
        <s v="Merveille"/>
      </sharedItems>
    </cacheField>
    <cacheField name="Receipt" numFmtId="0">
      <sharedItems containsBlank="1" containsMixedTypes="1" containsNumber="1" containsInteger="1" minValue="3654571" maxValue="3667403"/>
    </cacheField>
    <cacheField name="Donor" numFmtId="0">
      <sharedItems containsBlank="1" count="6">
        <m/>
        <s v="DSWF"/>
        <s v="AVAAZ"/>
        <s v="UE"/>
        <s v="ECF"/>
        <s v="Wildcat" u="1"/>
      </sharedItems>
    </cacheField>
    <cacheField name="Project" numFmtId="0">
      <sharedItems containsBlank="1" count="3">
        <m/>
        <s v="PALF"/>
        <s v="RALFF"/>
      </sharedItems>
    </cacheField>
    <cacheField name="Country" numFmtId="0">
      <sharedItems containsBlank="1"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">
  <r>
    <d v="2023-10-01T00:00:00"/>
    <s v="Solde au 01/10/2023"/>
    <x v="0"/>
    <m/>
    <m/>
    <m/>
    <n v="4625233"/>
    <x v="0"/>
    <m/>
    <x v="0"/>
    <x v="0"/>
    <m/>
    <m/>
    <m/>
    <m/>
  </r>
  <r>
    <d v="2023-10-01T00:00:00"/>
    <s v="Achat casquettes et porte- clé"/>
    <x v="1"/>
    <s v="Investingation"/>
    <m/>
    <n v="38045"/>
    <n v="4587188"/>
    <x v="1"/>
    <s v="OUI"/>
    <x v="1"/>
    <x v="1"/>
    <s v="CONGO"/>
    <m/>
    <m/>
    <m/>
  </r>
  <r>
    <d v="2023-10-02T00:00:00"/>
    <s v="Bonus du mois de Septembre 2023/Merveille"/>
    <x v="2"/>
    <s v="Office"/>
    <m/>
    <n v="20000"/>
    <n v="4567188"/>
    <x v="1"/>
    <s v="Decharge"/>
    <x v="2"/>
    <x v="1"/>
    <s v="CONGO"/>
    <m/>
    <m/>
    <m/>
  </r>
  <r>
    <d v="2023-10-02T00:00:00"/>
    <s v="Bonus du mois de Septembre 2023/Crepin"/>
    <x v="2"/>
    <s v="Legal"/>
    <m/>
    <n v="50000"/>
    <n v="4517188"/>
    <x v="1"/>
    <s v="Decharge"/>
    <x v="2"/>
    <x v="1"/>
    <s v="CONGO"/>
    <m/>
    <m/>
    <m/>
  </r>
  <r>
    <d v="2023-10-02T00:00:00"/>
    <s v="Bonus du mois de Septembre 2023/Evariste"/>
    <x v="2"/>
    <s v="Media"/>
    <m/>
    <n v="10000"/>
    <n v="4507188"/>
    <x v="1"/>
    <s v="Decharge"/>
    <x v="2"/>
    <x v="1"/>
    <s v="CONGO"/>
    <m/>
    <m/>
    <m/>
  </r>
  <r>
    <d v="2023-10-02T00:00:00"/>
    <s v="Bonus du mois de Septembre 2023/Donald-Roméo"/>
    <x v="2"/>
    <s v="Legal"/>
    <m/>
    <n v="20000"/>
    <n v="4487188"/>
    <x v="1"/>
    <s v="Decharge"/>
    <x v="2"/>
    <x v="1"/>
    <s v="CONGO"/>
    <m/>
    <m/>
    <m/>
  </r>
  <r>
    <d v="2023-10-02T00:00:00"/>
    <s v="Bonus du mois de Septembre 2023/Hurielle"/>
    <x v="2"/>
    <s v="Legal"/>
    <m/>
    <n v="20000"/>
    <n v="4467188"/>
    <x v="1"/>
    <s v="Decharge"/>
    <x v="2"/>
    <x v="1"/>
    <s v="CONGO"/>
    <m/>
    <m/>
    <m/>
  </r>
  <r>
    <d v="2023-10-02T00:00:00"/>
    <s v="BCI-3667402/Appro caisse"/>
    <x v="3"/>
    <m/>
    <n v="1000000"/>
    <m/>
    <n v="5467188"/>
    <x v="1"/>
    <m/>
    <x v="0"/>
    <x v="0"/>
    <m/>
    <m/>
    <m/>
    <m/>
  </r>
  <r>
    <d v="2023-10-02T00:00:00"/>
    <s v="Bonus opération du 16 Septembre 2023 à Owando/Merveille"/>
    <x v="2"/>
    <s v="Operation"/>
    <m/>
    <n v="25000"/>
    <n v="5442188"/>
    <x v="1"/>
    <s v="Decharge"/>
    <x v="2"/>
    <x v="1"/>
    <s v="CONGO"/>
    <m/>
    <m/>
    <m/>
  </r>
  <r>
    <d v="2023-10-02T00:00:00"/>
    <s v="Bonus opération du 16 Septembre 2023 à Owando/Crepin"/>
    <x v="2"/>
    <s v="Operation"/>
    <m/>
    <n v="55000"/>
    <n v="5387188"/>
    <x v="1"/>
    <s v="Decharge"/>
    <x v="2"/>
    <x v="1"/>
    <s v="CONGO"/>
    <m/>
    <m/>
    <m/>
  </r>
  <r>
    <d v="2023-10-02T00:00:00"/>
    <s v="Bonus opération du 16 Septembre 2023 à Owando/Evariste"/>
    <x v="2"/>
    <s v="Operation"/>
    <m/>
    <n v="30000"/>
    <n v="5357188"/>
    <x v="1"/>
    <s v="Decharge"/>
    <x v="2"/>
    <x v="1"/>
    <s v="CONGO"/>
    <m/>
    <m/>
    <m/>
  </r>
  <r>
    <d v="2023-10-02T00:00:00"/>
    <s v="Bonus opération du 16 Septembre 2023 à Owando/Donald-Roméo"/>
    <x v="2"/>
    <s v="Operation"/>
    <m/>
    <n v="35000"/>
    <n v="5322188"/>
    <x v="1"/>
    <s v="Decharge"/>
    <x v="2"/>
    <x v="1"/>
    <s v="CONGO"/>
    <m/>
    <m/>
    <m/>
  </r>
  <r>
    <d v="2023-10-02T00:00:00"/>
    <s v="Achat credit  teléphonique MTN/PALF/Première partie Octobre 2023/Management"/>
    <x v="4"/>
    <s v="Management"/>
    <m/>
    <n v="37000"/>
    <n v="5285188"/>
    <x v="1"/>
    <s v="OUI"/>
    <x v="2"/>
    <x v="2"/>
    <s v="CONGO"/>
    <m/>
    <s v="4.6"/>
    <m/>
  </r>
  <r>
    <d v="2023-10-02T00:00:00"/>
    <s v="Achat credit  teléphonique MTN/PALF/Première partie Octobre 2023/Legal"/>
    <x v="4"/>
    <s v="Legal"/>
    <m/>
    <n v="74000"/>
    <n v="5211188"/>
    <x v="1"/>
    <s v="OUI"/>
    <x v="2"/>
    <x v="2"/>
    <s v="CONGO"/>
    <m/>
    <s v="4.6"/>
    <m/>
  </r>
  <r>
    <d v="2023-10-02T00:00:00"/>
    <s v="Achat credit  teléphonique MTN/PALF/Première partie Octobre 2023/Investigation"/>
    <x v="4"/>
    <s v="Investingation"/>
    <m/>
    <n v="36000"/>
    <n v="5175188"/>
    <x v="1"/>
    <s v="OUI"/>
    <x v="2"/>
    <x v="2"/>
    <s v="CONGO"/>
    <m/>
    <s v="4.6"/>
    <m/>
  </r>
  <r>
    <d v="2023-10-02T00:00:00"/>
    <s v="Achat credit  teléphonique MTN/PALF/Première partie Octobre 2023/Investigation Volontaire"/>
    <x v="4"/>
    <s v="Investingation"/>
    <m/>
    <n v="26000"/>
    <n v="5149188"/>
    <x v="1"/>
    <s v="OUI"/>
    <x v="2"/>
    <x v="1"/>
    <s v="CONGO"/>
    <m/>
    <m/>
    <m/>
  </r>
  <r>
    <d v="2023-10-02T00:00:00"/>
    <s v="Achat credit  teléphonique MTN/PALF/Première partie Octobre 2023/Media"/>
    <x v="4"/>
    <s v="Media"/>
    <m/>
    <n v="10000"/>
    <n v="5139188"/>
    <x v="1"/>
    <s v="OUI"/>
    <x v="2"/>
    <x v="2"/>
    <s v="CONGO"/>
    <m/>
    <s v="4.6"/>
    <m/>
  </r>
  <r>
    <d v="2023-10-02T00:00:00"/>
    <s v="Achat credit  teléphonique Airtel/PALF/Première partie Octobre 2023/Management"/>
    <x v="4"/>
    <s v="Management"/>
    <m/>
    <n v="5000"/>
    <n v="5134188"/>
    <x v="1"/>
    <s v="OUI"/>
    <x v="2"/>
    <x v="2"/>
    <s v="CONGO"/>
    <m/>
    <s v="4.6"/>
    <m/>
  </r>
  <r>
    <d v="2023-10-02T00:00:00"/>
    <s v="Achat credit  teléphonique Airtel/PALF/Première partie Octobre 2023/Legal"/>
    <x v="4"/>
    <s v="Legal"/>
    <m/>
    <n v="10000"/>
    <n v="5124188"/>
    <x v="1"/>
    <s v="OUI"/>
    <x v="2"/>
    <x v="2"/>
    <s v="CONGO"/>
    <m/>
    <s v="4.6"/>
    <m/>
  </r>
  <r>
    <d v="2023-10-02T00:00:00"/>
    <s v="Achat credit  teléphonique Airtel/PALF/Première partie Octobre 2023/Investigation"/>
    <x v="4"/>
    <s v="Investingation"/>
    <m/>
    <n v="16000"/>
    <n v="5108188"/>
    <x v="1"/>
    <s v="OUI"/>
    <x v="2"/>
    <x v="2"/>
    <s v="CONGO"/>
    <m/>
    <s v="4.6"/>
    <m/>
  </r>
  <r>
    <d v="2023-10-02T00:00:00"/>
    <s v="Achat credit  teléphonique Airtel/PALF/Première partie Octobre 2023/Media"/>
    <x v="4"/>
    <s v="Media"/>
    <m/>
    <n v="11000"/>
    <n v="5097188"/>
    <x v="1"/>
    <s v="OUI"/>
    <x v="2"/>
    <x v="2"/>
    <s v="CONGO"/>
    <m/>
    <s v="4.6"/>
    <m/>
  </r>
  <r>
    <d v="2023-10-02T00:00:00"/>
    <s v="Hurielle/Avance frais de mission"/>
    <x v="3"/>
    <m/>
    <m/>
    <n v="150000"/>
    <n v="4947188"/>
    <x v="1"/>
    <m/>
    <x v="0"/>
    <x v="0"/>
    <m/>
    <m/>
    <m/>
    <m/>
  </r>
  <r>
    <d v="2023-10-02T00:00:00"/>
    <s v="Frais de transfert charden farell à Hurielle"/>
    <x v="5"/>
    <s v="Office"/>
    <m/>
    <n v="4500"/>
    <n v="4942688"/>
    <x v="1"/>
    <s v="OUI"/>
    <x v="3"/>
    <x v="2"/>
    <s v="CONGO"/>
    <m/>
    <s v="5.6"/>
    <m/>
  </r>
  <r>
    <d v="2023-10-02T00:00:00"/>
    <s v="Achat punaise et corde/pour le forum UE"/>
    <x v="6"/>
    <s v="Office"/>
    <m/>
    <n v="3000"/>
    <n v="4939688"/>
    <x v="1"/>
    <s v="OUI"/>
    <x v="3"/>
    <x v="2"/>
    <s v="CONGO"/>
    <m/>
    <s v="4.3"/>
    <m/>
  </r>
  <r>
    <d v="2023-10-02T00:00:00"/>
    <s v="Homéfa/retour caisse "/>
    <x v="3"/>
    <m/>
    <n v="20000"/>
    <m/>
    <n v="4959688"/>
    <x v="1"/>
    <m/>
    <x v="0"/>
    <x v="0"/>
    <m/>
    <m/>
    <m/>
    <m/>
  </r>
  <r>
    <d v="2023-10-02T00:00:00"/>
    <s v="Donald-Roméo/Frais mission"/>
    <x v="3"/>
    <m/>
    <m/>
    <n v="35000"/>
    <n v="4924688"/>
    <x v="1"/>
    <m/>
    <x v="0"/>
    <x v="0"/>
    <m/>
    <m/>
    <m/>
    <m/>
  </r>
  <r>
    <d v="2023-10-02T00:00:00"/>
    <s v="HELENE BLANCHARD- CONGO Food allowance du 02 au 09 Septembre 2023/Hélène"/>
    <x v="7"/>
    <s v="Management"/>
    <m/>
    <n v="70000"/>
    <n v="4854688"/>
    <x v="1"/>
    <s v="Decharge"/>
    <x v="3"/>
    <x v="2"/>
    <s v="CONGO"/>
    <m/>
    <s v="1.3.2"/>
    <m/>
  </r>
  <r>
    <d v="2023-10-02T00:00:00"/>
    <s v="Agios du 31/08/2023 au 30/09/2023"/>
    <x v="8"/>
    <s v="Office"/>
    <m/>
    <n v="32049"/>
    <n v="4822639"/>
    <x v="2"/>
    <s v="Releve"/>
    <x v="3"/>
    <x v="2"/>
    <s v="CONGO"/>
    <m/>
    <s v="5.6"/>
    <m/>
  </r>
  <r>
    <d v="2023-10-02T00:00:00"/>
    <s v="Retrait espèces chèque N°3667403"/>
    <x v="3"/>
    <m/>
    <m/>
    <n v="1000000"/>
    <n v="3822639"/>
    <x v="2"/>
    <n v="3667403"/>
    <x v="0"/>
    <x v="0"/>
    <m/>
    <m/>
    <m/>
    <m/>
  </r>
  <r>
    <d v="2023-10-02T00:00:00"/>
    <s v="Paiement CNSS Troisième trismestre 2023 /Juillet,Août et Septembre  2023/Crépin IBOUILI IBOUILI"/>
    <x v="9"/>
    <s v="Legal"/>
    <m/>
    <n v="222625"/>
    <n v="3600014"/>
    <x v="2"/>
    <n v="3667402"/>
    <x v="3"/>
    <x v="2"/>
    <s v="CONGO"/>
    <m/>
    <s v="1.1.1.7"/>
    <m/>
  </r>
  <r>
    <d v="2023-10-02T00:00:00"/>
    <s v="Paiement CNSS Troisième trismestre 2023 /Juillet,Août et Septembre  2023/Hurielle MFOULOU"/>
    <x v="9"/>
    <s v="Legal"/>
    <m/>
    <n v="68996"/>
    <n v="3531018"/>
    <x v="2"/>
    <n v="3667402"/>
    <x v="3"/>
    <x v="2"/>
    <s v="CONGO"/>
    <m/>
    <s v="1.1.1.7"/>
    <m/>
  </r>
  <r>
    <d v="2023-10-02T00:00:00"/>
    <s v="Paiement CNSS Troisième trismestre 2023 /Juillet,Août et Septembre  2023/Donald-Roméo PINDI"/>
    <x v="9"/>
    <s v="Legal"/>
    <m/>
    <n v="103493"/>
    <n v="3427525"/>
    <x v="2"/>
    <n v="3667402"/>
    <x v="3"/>
    <x v="2"/>
    <s v="CONGO"/>
    <m/>
    <s v="1.1.1.7"/>
    <m/>
  </r>
  <r>
    <d v="2023-10-02T00:00:00"/>
    <s v="Paiement CNSS Troisième trismestre 2023 /Juillet,Août et Septembre  2023/Oracle TALOULOU"/>
    <x v="9"/>
    <s v="Legal"/>
    <m/>
    <n v="44847"/>
    <n v="3382678"/>
    <x v="2"/>
    <n v="3667402"/>
    <x v="3"/>
    <x v="2"/>
    <s v="CONGO"/>
    <m/>
    <s v="1.1.1.7"/>
    <m/>
  </r>
  <r>
    <d v="2023-10-02T00:00:00"/>
    <s v="Paiement CNSS Troisième trismestre 2023 /Juillet,Août et Septembre  2023/Grace MOLENDE"/>
    <x v="9"/>
    <s v="Management"/>
    <m/>
    <n v="287314"/>
    <n v="3095364"/>
    <x v="2"/>
    <n v="3667402"/>
    <x v="3"/>
    <x v="2"/>
    <s v="CONGO"/>
    <m/>
    <s v="1.1.2.1"/>
    <m/>
  </r>
  <r>
    <d v="2023-10-02T00:00:00"/>
    <s v="Paiement CNSS Troisième trismestre 2023 /Juillet,Août et Septembre  2023/Merveille MAHANGA"/>
    <x v="9"/>
    <s v="Office"/>
    <m/>
    <n v="177548"/>
    <n v="2917816"/>
    <x v="2"/>
    <n v="3667402"/>
    <x v="3"/>
    <x v="2"/>
    <s v="CONGO"/>
    <m/>
    <s v="1.1.2.1"/>
    <m/>
  </r>
  <r>
    <d v="2023-10-02T00:00:00"/>
    <s v="Paiement CNSS Troisième trismestre 2023 /Juillet,Août et Septembre  2023/Evariste LELOUSSI"/>
    <x v="9"/>
    <s v="Media"/>
    <m/>
    <n v="125633"/>
    <n v="2792183"/>
    <x v="2"/>
    <n v="3667402"/>
    <x v="3"/>
    <x v="2"/>
    <s v="CONGO"/>
    <m/>
    <s v="1.1.1.4"/>
    <m/>
  </r>
  <r>
    <d v="2023-10-02T00:00:00"/>
    <s v="Reçu caisse/Frais de mission"/>
    <x v="3"/>
    <m/>
    <n v="35000"/>
    <m/>
    <n v="2827183"/>
    <x v="3"/>
    <m/>
    <x v="0"/>
    <x v="0"/>
    <m/>
    <m/>
    <m/>
    <m/>
  </r>
  <r>
    <d v="2023-10-02T00:00:00"/>
    <s v="Retour caisse/Frais de mission"/>
    <x v="3"/>
    <m/>
    <m/>
    <n v="20000"/>
    <n v="2807183"/>
    <x v="4"/>
    <m/>
    <x v="0"/>
    <x v="0"/>
    <m/>
    <m/>
    <m/>
    <m/>
  </r>
  <r>
    <d v="2023-10-02T00:00:00"/>
    <s v="HURIELLE MFOULOU - CONGO Foodallowance du 02 AU 06/10/2023 à Pointe-Noire et Sibiti/04 Nuitées"/>
    <x v="7"/>
    <s v="Legal"/>
    <m/>
    <n v="40000"/>
    <n v="2767183"/>
    <x v="5"/>
    <s v="Décharge"/>
    <x v="3"/>
    <x v="2"/>
    <s v="CONGO"/>
    <m/>
    <s v="1.3.2"/>
    <m/>
  </r>
  <r>
    <d v="2023-10-03T00:00:00"/>
    <s v="Oracle/Frais de mission"/>
    <x v="3"/>
    <m/>
    <m/>
    <n v="87000"/>
    <n v="2680183"/>
    <x v="1"/>
    <m/>
    <x v="0"/>
    <x v="0"/>
    <m/>
    <m/>
    <m/>
    <m/>
  </r>
  <r>
    <d v="2023-10-03T00:00:00"/>
    <s v="Bonus du mois de Septembre 2023/Oracle"/>
    <x v="2"/>
    <s v="Legal"/>
    <m/>
    <n v="20000"/>
    <n v="2660183"/>
    <x v="1"/>
    <s v="Decharge"/>
    <x v="2"/>
    <x v="1"/>
    <s v="CONGO"/>
    <m/>
    <m/>
    <m/>
  </r>
  <r>
    <d v="2023-10-03T00:00:00"/>
    <s v="Bonus Opération du 16 Septembre 2023 à Owando/oracle"/>
    <x v="2"/>
    <s v="Operation"/>
    <m/>
    <n v="25000"/>
    <n v="2635183"/>
    <x v="1"/>
    <s v="Decharge"/>
    <x v="2"/>
    <x v="1"/>
    <s v="CONGO"/>
    <m/>
    <m/>
    <m/>
  </r>
  <r>
    <d v="2023-10-03T00:00:00"/>
    <s v="T73/Fonctionnement"/>
    <x v="3"/>
    <m/>
    <m/>
    <n v="20000"/>
    <n v="2615183"/>
    <x v="1"/>
    <m/>
    <x v="0"/>
    <x v="0"/>
    <m/>
    <m/>
    <m/>
    <m/>
  </r>
  <r>
    <d v="2023-10-03T00:00:00"/>
    <s v="Crépin/Frais de mission"/>
    <x v="3"/>
    <m/>
    <m/>
    <n v="20000"/>
    <n v="2595183"/>
    <x v="1"/>
    <m/>
    <x v="0"/>
    <x v="0"/>
    <m/>
    <m/>
    <m/>
    <m/>
  </r>
  <r>
    <d v="2023-10-03T00:00:00"/>
    <s v="Paiement de prestation de service du militaire pour securité P29"/>
    <x v="2"/>
    <s v="Operation"/>
    <m/>
    <n v="20000"/>
    <n v="2575183"/>
    <x v="6"/>
    <s v="OUI"/>
    <x v="2"/>
    <x v="1"/>
    <s v="CONGO"/>
    <m/>
    <m/>
    <m/>
  </r>
  <r>
    <d v="2023-10-03T00:00:00"/>
    <s v="Achat bille Brazzaville-Nkikala/Donald-Roméo"/>
    <x v="10"/>
    <s v="Legal"/>
    <m/>
    <n v="2000"/>
    <n v="2573183"/>
    <x v="3"/>
    <s v="OUI"/>
    <x v="3"/>
    <x v="2"/>
    <s v="CONGO"/>
    <m/>
    <s v="2.2"/>
    <m/>
  </r>
  <r>
    <d v="2023-10-03T00:00:00"/>
    <s v="DONALD-ROMEO - CONGO Food Allowance du 03 au  04/10/2023 à NKIKALA/01 Nuitée"/>
    <x v="7"/>
    <s v="Legal"/>
    <m/>
    <n v="10000"/>
    <n v="2563183"/>
    <x v="3"/>
    <s v="Décharge"/>
    <x v="3"/>
    <x v="2"/>
    <s v="CONGO"/>
    <m/>
    <s v="1.3.2"/>
    <m/>
  </r>
  <r>
    <d v="2023-10-03T00:00:00"/>
    <s v="Frais de la matérialisation du cas EKOFO au Greffe correctionnel"/>
    <x v="11"/>
    <s v="Legal"/>
    <m/>
    <n v="10000"/>
    <n v="2553183"/>
    <x v="5"/>
    <s v="OUI"/>
    <x v="2"/>
    <x v="1"/>
    <s v="CONGO"/>
    <m/>
    <m/>
    <m/>
  </r>
  <r>
    <d v="2023-10-03T00:00:00"/>
    <s v="Recu caisse/Frais de mission"/>
    <x v="3"/>
    <m/>
    <n v="150000"/>
    <m/>
    <n v="2703183"/>
    <x v="5"/>
    <m/>
    <x v="0"/>
    <x v="0"/>
    <m/>
    <m/>
    <m/>
    <m/>
  </r>
  <r>
    <d v="2023-10-03T00:00:00"/>
    <s v="Achat billet Pointe Noire-Loudima/Hurielle"/>
    <x v="12"/>
    <s v="Legal"/>
    <m/>
    <n v="7000"/>
    <n v="2696183"/>
    <x v="5"/>
    <s v="OUI"/>
    <x v="3"/>
    <x v="2"/>
    <s v="CONGO"/>
    <m/>
    <s v="2.2"/>
    <m/>
  </r>
  <r>
    <d v="2023-10-03T00:00:00"/>
    <s v="Reçu caisse/Frais de mission"/>
    <x v="13"/>
    <m/>
    <n v="87000"/>
    <m/>
    <n v="2783183"/>
    <x v="7"/>
    <m/>
    <x v="0"/>
    <x v="0"/>
    <m/>
    <m/>
    <m/>
    <m/>
  </r>
  <r>
    <d v="2023-10-03T00:00:00"/>
    <s v="Achat billet Brazzaville - Dolisie/Oracle"/>
    <x v="12"/>
    <s v="Legal"/>
    <m/>
    <n v="10000"/>
    <n v="2773183"/>
    <x v="7"/>
    <s v="OUI"/>
    <x v="3"/>
    <x v="2"/>
    <s v="CONGO"/>
    <m/>
    <s v="2.2"/>
    <m/>
  </r>
  <r>
    <d v="2023-10-03T00:00:00"/>
    <s v="reçu de caisse/T73"/>
    <x v="3"/>
    <m/>
    <n v="20000"/>
    <m/>
    <n v="2793183"/>
    <x v="8"/>
    <m/>
    <x v="0"/>
    <x v="0"/>
    <m/>
    <m/>
    <m/>
    <m/>
  </r>
  <r>
    <d v="2023-10-04T00:00:00"/>
    <s v="Crépin/Frais de mission"/>
    <x v="3"/>
    <m/>
    <m/>
    <n v="20000"/>
    <n v="2773183"/>
    <x v="1"/>
    <m/>
    <x v="0"/>
    <x v="0"/>
    <m/>
    <m/>
    <m/>
    <m/>
  </r>
  <r>
    <d v="2023-10-04T00:00:00"/>
    <s v="Reglement Facture Gardiennage Mois de Septembre 2023/3654571"/>
    <x v="14"/>
    <s v="Office"/>
    <m/>
    <n v="260000"/>
    <n v="2513183"/>
    <x v="9"/>
    <n v="3654571"/>
    <x v="2"/>
    <x v="1"/>
    <s v="CONGO"/>
    <m/>
    <m/>
    <m/>
  </r>
  <r>
    <d v="2023-10-04T00:00:00"/>
    <s v="Reçu de caisse/Fonctionnement"/>
    <x v="3"/>
    <m/>
    <n v="20000"/>
    <m/>
    <n v="2533183"/>
    <x v="6"/>
    <m/>
    <x v="0"/>
    <x v="0"/>
    <m/>
    <m/>
    <m/>
    <m/>
  </r>
  <r>
    <d v="2023-10-04T00:00:00"/>
    <s v="Reçu de caisse/Fonctionnement"/>
    <x v="3"/>
    <m/>
    <n v="20000"/>
    <m/>
    <n v="2553183"/>
    <x v="6"/>
    <m/>
    <x v="0"/>
    <x v="0"/>
    <m/>
    <m/>
    <m/>
    <m/>
  </r>
  <r>
    <d v="2023-10-04T00:00:00"/>
    <s v="Paiement de prestation de service du militaire pour securité P29"/>
    <x v="2"/>
    <s v="Operation"/>
    <m/>
    <n v="20000"/>
    <n v="2533183"/>
    <x v="6"/>
    <s v="OUI"/>
    <x v="2"/>
    <x v="1"/>
    <s v="CONGO"/>
    <m/>
    <m/>
    <m/>
  </r>
  <r>
    <d v="2023-10-04T00:00:00"/>
    <s v="DONALD-ROMEO - CONGO Frais d'hôtel/  01 Nuitée du 03 au 04/10/2023 à  Nkikala"/>
    <x v="7"/>
    <s v="Legal"/>
    <m/>
    <n v="15000"/>
    <n v="2518183"/>
    <x v="3"/>
    <s v="OUI"/>
    <x v="3"/>
    <x v="2"/>
    <s v="CONGO"/>
    <m/>
    <s v="1.3.2"/>
    <m/>
  </r>
  <r>
    <d v="2023-10-04T00:00:00"/>
    <s v="Achat bille Nkikala-Brazzaville/Donald-Roméo"/>
    <x v="10"/>
    <s v="Legal"/>
    <m/>
    <n v="2000"/>
    <n v="2516183"/>
    <x v="3"/>
    <s v="OUI"/>
    <x v="3"/>
    <x v="2"/>
    <s v="CONGO"/>
    <m/>
    <s v="2.2"/>
    <m/>
  </r>
  <r>
    <d v="2023-10-04T00:00:00"/>
    <s v="HURIELLE MFOULOU - CONGO Frais d'Hôtel du 01 au 04 /10/2023 à Pointe Noire/02 Nuitées"/>
    <x v="7"/>
    <s v="Legal"/>
    <m/>
    <n v="30000"/>
    <n v="2486183"/>
    <x v="5"/>
    <s v="OUI"/>
    <x v="3"/>
    <x v="2"/>
    <s v="CONGO"/>
    <m/>
    <s v="1.3.2"/>
    <m/>
  </r>
  <r>
    <d v="2023-10-04T00:00:00"/>
    <s v="Billet Loudima-Sibiti/Hurielle"/>
    <x v="12"/>
    <s v="Legal"/>
    <m/>
    <n v="4000"/>
    <n v="2482183"/>
    <x v="5"/>
    <s v="OUI"/>
    <x v="3"/>
    <x v="2"/>
    <s v="CONGO"/>
    <m/>
    <s v="2.2"/>
    <m/>
  </r>
  <r>
    <d v="2023-10-04T00:00:00"/>
    <s v="ORACLE TALOULOU - CONGO Food allowance du 04 au 06 Octobre 2023/02 Nuitées"/>
    <x v="7"/>
    <s v="Legal"/>
    <m/>
    <n v="20000"/>
    <n v="2462183"/>
    <x v="7"/>
    <s v="Decharge"/>
    <x v="3"/>
    <x v="2"/>
    <s v="CONGO"/>
    <m/>
    <s v="1.3.2"/>
    <m/>
  </r>
  <r>
    <d v="2023-10-05T00:00:00"/>
    <s v="Evariste/Fonctionnement"/>
    <x v="3"/>
    <m/>
    <m/>
    <n v="20000"/>
    <n v="2442183"/>
    <x v="1"/>
    <m/>
    <x v="0"/>
    <x v="0"/>
    <m/>
    <m/>
    <m/>
    <m/>
  </r>
  <r>
    <d v="2023-10-05T00:00:00"/>
    <s v="Frais de notification appel d'offre/Recrutement avocats"/>
    <x v="2"/>
    <s v="Media"/>
    <m/>
    <n v="27000"/>
    <n v="2415183"/>
    <x v="1"/>
    <s v="OUI"/>
    <x v="2"/>
    <x v="1"/>
    <s v="CONGO"/>
    <m/>
    <m/>
    <m/>
  </r>
  <r>
    <d v="2023-10-05T00:00:00"/>
    <s v="Homéfa/Prêt /Appro caisse"/>
    <x v="3"/>
    <m/>
    <n v="400000"/>
    <m/>
    <n v="2815183"/>
    <x v="1"/>
    <m/>
    <x v="0"/>
    <x v="0"/>
    <m/>
    <m/>
    <m/>
    <m/>
  </r>
  <r>
    <d v="2023-10-05T00:00:00"/>
    <s v="P29/Frais de mission"/>
    <x v="3"/>
    <m/>
    <m/>
    <n v="260000"/>
    <n v="2555183"/>
    <x v="1"/>
    <m/>
    <x v="0"/>
    <x v="0"/>
    <m/>
    <m/>
    <m/>
    <m/>
  </r>
  <r>
    <d v="2023-10-05T00:00:00"/>
    <s v="Crépin/Frais de mission"/>
    <x v="3"/>
    <m/>
    <m/>
    <n v="130000"/>
    <n v="2425183"/>
    <x v="1"/>
    <m/>
    <x v="0"/>
    <x v="0"/>
    <m/>
    <m/>
    <m/>
    <m/>
  </r>
  <r>
    <d v="2023-10-05T00:00:00"/>
    <s v="Retour caisse/appro caisse"/>
    <x v="3"/>
    <m/>
    <m/>
    <n v="400000"/>
    <n v="2025183"/>
    <x v="4"/>
    <m/>
    <x v="0"/>
    <x v="0"/>
    <m/>
    <m/>
    <m/>
    <m/>
  </r>
  <r>
    <d v="2023-10-05T00:00:00"/>
    <s v="Reçu de la caisse/Fonctionnement"/>
    <x v="3"/>
    <m/>
    <n v="20000"/>
    <m/>
    <n v="2045183"/>
    <x v="10"/>
    <m/>
    <x v="0"/>
    <x v="0"/>
    <m/>
    <m/>
    <m/>
    <m/>
  </r>
  <r>
    <d v="2023-10-05T00:00:00"/>
    <s v="Reçu de caisse/Frais de mission"/>
    <x v="3"/>
    <m/>
    <n v="260000"/>
    <m/>
    <n v="2305183"/>
    <x v="11"/>
    <m/>
    <x v="0"/>
    <x v="0"/>
    <m/>
    <m/>
    <m/>
    <m/>
  </r>
  <r>
    <d v="2023-10-06T00:00:00"/>
    <s v="Agios du 31/08/2023 au 30//09/2023"/>
    <x v="14"/>
    <s v="Office"/>
    <m/>
    <n v="23345"/>
    <n v="2281838"/>
    <x v="9"/>
    <s v="Relevé"/>
    <x v="2"/>
    <x v="1"/>
    <s v="CONGO"/>
    <m/>
    <m/>
    <m/>
  </r>
  <r>
    <d v="2023-10-06T00:00:00"/>
    <s v="Reçu de caisse/Frais de mission"/>
    <x v="3"/>
    <m/>
    <n v="130000"/>
    <m/>
    <n v="2411838"/>
    <x v="6"/>
    <m/>
    <x v="0"/>
    <x v="0"/>
    <m/>
    <m/>
    <m/>
    <m/>
  </r>
  <r>
    <d v="2023-10-06T00:00:00"/>
    <s v="HURIELLE MFOULOU - CONGO Frais d'Hôtel du 04 au 06/10/2023 à Sibiti/(02 Nuitées)"/>
    <x v="7"/>
    <s v="Legal"/>
    <m/>
    <n v="30000"/>
    <n v="2381838"/>
    <x v="5"/>
    <s v="OUI"/>
    <x v="3"/>
    <x v="2"/>
    <s v="CONGO"/>
    <m/>
    <s v="1.3.2"/>
    <m/>
  </r>
  <r>
    <d v="2023-10-06T00:00:00"/>
    <s v="Achat billet  Sibiti-NKAYI/Hurielle"/>
    <x v="12"/>
    <s v="Legal"/>
    <m/>
    <n v="5000"/>
    <n v="2376838"/>
    <x v="5"/>
    <s v="OUI"/>
    <x v="3"/>
    <x v="2"/>
    <s v="CONGO"/>
    <m/>
    <s v="2.2"/>
    <m/>
  </r>
  <r>
    <d v="2023-10-06T00:00:00"/>
    <s v="Achat billet NKAYI-Brazzaville/Hurielle"/>
    <x v="12"/>
    <s v="Legal"/>
    <m/>
    <n v="8000"/>
    <n v="2368838"/>
    <x v="5"/>
    <s v="OUI"/>
    <x v="3"/>
    <x v="2"/>
    <s v="CONGO"/>
    <m/>
    <s v="2.2"/>
    <m/>
  </r>
  <r>
    <d v="2023-10-06T00:00:00"/>
    <s v="ORACLE TALOULOU - CONGO Frais d’hôtel du 04 au 06 Octobre 2023/02 Nuitées à Dolisie"/>
    <x v="7"/>
    <s v="Legal"/>
    <m/>
    <n v="30000"/>
    <n v="2338838"/>
    <x v="7"/>
    <s v="OUI"/>
    <x v="3"/>
    <x v="2"/>
    <s v="CONGO"/>
    <m/>
    <s v="1.3.2"/>
    <m/>
  </r>
  <r>
    <d v="2023-10-06T00:00:00"/>
    <s v="Achat billet Dolisie - Brazzaville/Oracle"/>
    <x v="12"/>
    <s v="Legal"/>
    <m/>
    <n v="10000"/>
    <n v="2328838"/>
    <x v="7"/>
    <s v="OUI"/>
    <x v="3"/>
    <x v="2"/>
    <s v="CONGO"/>
    <m/>
    <s v="2.2"/>
    <m/>
  </r>
  <r>
    <d v="2023-10-09T00:00:00"/>
    <s v="P29/Frais de mission"/>
    <x v="3"/>
    <m/>
    <m/>
    <n v="300000"/>
    <n v="2028838"/>
    <x v="1"/>
    <m/>
    <x v="0"/>
    <x v="0"/>
    <m/>
    <m/>
    <m/>
    <m/>
  </r>
  <r>
    <d v="2023-10-09T00:00:00"/>
    <s v="Evariste/Fonctionnement"/>
    <x v="3"/>
    <m/>
    <m/>
    <n v="35000"/>
    <n v="1993838"/>
    <x v="1"/>
    <m/>
    <x v="0"/>
    <x v="0"/>
    <m/>
    <m/>
    <m/>
    <m/>
  </r>
  <r>
    <d v="2023-10-09T00:00:00"/>
    <s v="Acompte honoraire Me Hélène Marie MALONGA contrat N°60 Brazzaville/Cas MATONDO et consorts"/>
    <x v="15"/>
    <s v="Legal"/>
    <m/>
    <n v="200000"/>
    <n v="1793838"/>
    <x v="9"/>
    <n v="3654573"/>
    <x v="2"/>
    <x v="1"/>
    <s v="CONGO"/>
    <m/>
    <m/>
    <m/>
  </r>
  <r>
    <d v="2023-10-09T00:00:00"/>
    <s v="Acompte honoraire  Me Hélène Marie MALONGA contrat N°61 Pointe-Noire/Cas OKEMBA et consorts"/>
    <x v="15"/>
    <s v="Legal"/>
    <m/>
    <n v="200000"/>
    <n v="1593838"/>
    <x v="9"/>
    <n v="3654574"/>
    <x v="2"/>
    <x v="1"/>
    <s v="CONGO"/>
    <m/>
    <m/>
    <m/>
  </r>
  <r>
    <d v="2023-10-09T00:00:00"/>
    <s v="Acompte honoraire  Me Hélène Marie MALONGA contrat N°62 Owando/Cas OWOWO et consorts"/>
    <x v="15"/>
    <s v="Legal"/>
    <m/>
    <n v="200000"/>
    <n v="1393838"/>
    <x v="9"/>
    <n v="3654575"/>
    <x v="2"/>
    <x v="1"/>
    <s v="CONGO"/>
    <m/>
    <m/>
    <m/>
  </r>
  <r>
    <d v="2023-10-09T00:00:00"/>
    <s v="Reçu caisse de P29/Frais de mission"/>
    <x v="3"/>
    <m/>
    <n v="20000"/>
    <m/>
    <n v="1413838"/>
    <x v="3"/>
    <m/>
    <x v="0"/>
    <x v="0"/>
    <m/>
    <m/>
    <m/>
    <m/>
  </r>
  <r>
    <d v="2023-10-09T00:00:00"/>
    <s v="Reçu de la caisse/Frais de mission"/>
    <x v="3"/>
    <m/>
    <n v="35000"/>
    <m/>
    <n v="1448838"/>
    <x v="10"/>
    <m/>
    <x v="0"/>
    <x v="0"/>
    <m/>
    <m/>
    <m/>
    <m/>
  </r>
  <r>
    <d v="2023-10-09T00:00:00"/>
    <s v="Reçu de caisse/Frais de mission"/>
    <x v="3"/>
    <m/>
    <n v="300000"/>
    <m/>
    <n v="1748838"/>
    <x v="11"/>
    <m/>
    <x v="0"/>
    <x v="0"/>
    <m/>
    <m/>
    <m/>
    <m/>
  </r>
  <r>
    <d v="2023-10-09T00:00:00"/>
    <s v="Remis à Donald/Fonctionnement"/>
    <x v="3"/>
    <m/>
    <m/>
    <n v="20000"/>
    <n v="1728838"/>
    <x v="11"/>
    <m/>
    <x v="0"/>
    <x v="0"/>
    <m/>
    <m/>
    <m/>
    <m/>
  </r>
  <r>
    <d v="2023-10-10T00:00:00"/>
    <s v="Paiement Honoraire Me LOCKO/Mois de Septembre 2023/3654572"/>
    <x v="15"/>
    <s v="Legal"/>
    <m/>
    <n v="150000"/>
    <n v="1578838"/>
    <x v="9"/>
    <n v="3654572"/>
    <x v="2"/>
    <x v="1"/>
    <s v="CONGO"/>
    <m/>
    <m/>
    <m/>
  </r>
  <r>
    <d v="2023-10-10T00:00:00"/>
    <s v="CREPIN IBOUILI - CONGO Location Appartement pour Operation du 09 au 10/10/2023 à Brazzaville"/>
    <x v="7"/>
    <s v="Operation"/>
    <m/>
    <n v="130000"/>
    <n v="1448838"/>
    <x v="6"/>
    <s v="OUI"/>
    <x v="2"/>
    <x v="1"/>
    <s v="CONGO"/>
    <m/>
    <m/>
    <m/>
  </r>
  <r>
    <d v="2023-10-10T00:00:00"/>
    <s v="Reçu de P29/Frais de mission"/>
    <x v="3"/>
    <m/>
    <n v="270000"/>
    <m/>
    <n v="1718838"/>
    <x v="6"/>
    <m/>
    <x v="0"/>
    <x v="0"/>
    <m/>
    <m/>
    <m/>
    <m/>
  </r>
  <r>
    <d v="2023-10-10T00:00:00"/>
    <s v="Raffraichissements, grillades et manioc pour 03 gendarmes, 01 EF et moi pendant l'attente de l'opération"/>
    <x v="7"/>
    <s v="Operation"/>
    <m/>
    <n v="7500"/>
    <n v="1711338"/>
    <x v="6"/>
    <s v="OUI"/>
    <x v="2"/>
    <x v="1"/>
    <s v="CONGO"/>
    <m/>
    <m/>
    <m/>
  </r>
  <r>
    <d v="2023-10-10T00:00:00"/>
    <s v="Bonus pour 18 gendarmes ayant participé à l'opération du 10/10/2023 à Brazzaville"/>
    <x v="2"/>
    <s v="Operation"/>
    <m/>
    <n v="160000"/>
    <n v="1551338"/>
    <x v="6"/>
    <s v="OUI"/>
    <x v="2"/>
    <x v="1"/>
    <s v="CONGO"/>
    <m/>
    <m/>
    <m/>
  </r>
  <r>
    <d v="2023-10-10T00:00:00"/>
    <s v="Bonus pour 01 EF ayant participé à l'opération du 10/10/2023 à Brazzaville"/>
    <x v="2"/>
    <s v="Operation"/>
    <m/>
    <n v="10000"/>
    <n v="1541338"/>
    <x v="6"/>
    <s v="OUI"/>
    <x v="2"/>
    <x v="1"/>
    <s v="CONGO"/>
    <m/>
    <m/>
    <m/>
  </r>
  <r>
    <d v="2023-10-10T00:00:00"/>
    <s v="Rafraichissement op à Brazzaville/ Oracle, deux gendarmes et moi( 04 plats de nourriture) "/>
    <x v="7"/>
    <s v="Operation"/>
    <m/>
    <n v="7000"/>
    <n v="1534338"/>
    <x v="3"/>
    <s v="OUI"/>
    <x v="2"/>
    <x v="1"/>
    <s v="CONGO"/>
    <m/>
    <m/>
    <m/>
  </r>
  <r>
    <d v="2023-10-10T00:00:00"/>
    <s v="Achat du carburant pour la BJ des Gendarmes"/>
    <x v="12"/>
    <s v="Media"/>
    <m/>
    <n v="25000"/>
    <n v="1509338"/>
    <x v="10"/>
    <s v="OUI"/>
    <x v="3"/>
    <x v="2"/>
    <s v="CONGO"/>
    <m/>
    <s v="2.2"/>
    <m/>
  </r>
  <r>
    <d v="2023-10-10T00:00:00"/>
    <s v="Rafraichissement pour l'équipe de la BJ opération de Brazzaville."/>
    <x v="7"/>
    <s v="Operation"/>
    <m/>
    <n v="10000"/>
    <n v="1499338"/>
    <x v="10"/>
    <s v="OUI"/>
    <x v="2"/>
    <x v="1"/>
    <s v="CONGO"/>
    <m/>
    <m/>
    <m/>
  </r>
  <r>
    <d v="2023-10-10T00:00:00"/>
    <s v="Rafraichissement OP"/>
    <x v="7"/>
    <s v="Operation"/>
    <m/>
    <n v="4200"/>
    <n v="1495138"/>
    <x v="5"/>
    <s v="OUI"/>
    <x v="2"/>
    <x v="1"/>
    <s v="CONGO"/>
    <m/>
    <m/>
    <m/>
  </r>
  <r>
    <d v="2023-10-10T00:00:00"/>
    <s v="Rafraichissement Op"/>
    <x v="7"/>
    <s v="Operation"/>
    <m/>
    <n v="4400"/>
    <n v="1490738"/>
    <x v="7"/>
    <s v="OUI"/>
    <x v="2"/>
    <x v="1"/>
    <s v="CONGO"/>
    <m/>
    <m/>
    <m/>
  </r>
  <r>
    <d v="2023-10-10T00:00:00"/>
    <s v="Remis à crépin/Frais de mission"/>
    <x v="3"/>
    <m/>
    <m/>
    <n v="270000"/>
    <n v="1220738"/>
    <x v="11"/>
    <m/>
    <x v="0"/>
    <x v="0"/>
    <m/>
    <m/>
    <m/>
    <m/>
  </r>
  <r>
    <d v="2023-10-11T00:00:00"/>
    <s v="CREPIN IBOUILI - CONGO Location Appartement pour Operation du 10 au 11/10/2023 à Brazzaville"/>
    <x v="7"/>
    <s v="Operation"/>
    <m/>
    <n v="125000"/>
    <n v="1095738"/>
    <x v="6"/>
    <s v="OUI"/>
    <x v="2"/>
    <x v="1"/>
    <s v="CONGO"/>
    <m/>
    <m/>
    <m/>
  </r>
  <r>
    <d v="2023-10-11T00:00:00"/>
    <s v="P29- CONGO Location appartement du  09 au 11/10/2023 à Brazzaville pour Opération/02Nuitées"/>
    <x v="7"/>
    <s v="Operation"/>
    <m/>
    <n v="260000"/>
    <n v="835738"/>
    <x v="11"/>
    <s v="OUI"/>
    <x v="2"/>
    <x v="1"/>
    <s v="CONGO"/>
    <m/>
    <m/>
    <m/>
  </r>
  <r>
    <d v="2023-10-13T00:00:00"/>
    <s v="Fonds reçu de Eagle/AVAAZ"/>
    <x v="16"/>
    <m/>
    <n v="14845137"/>
    <m/>
    <n v="15680875"/>
    <x v="9"/>
    <s v="Relevé"/>
    <x v="2"/>
    <x v="0"/>
    <m/>
    <m/>
    <m/>
    <m/>
  </r>
  <r>
    <d v="2023-10-13T00:00:00"/>
    <s v="Fonds reçu de Eagle/DWSF"/>
    <x v="16"/>
    <m/>
    <n v="2969028"/>
    <m/>
    <n v="18649903"/>
    <x v="9"/>
    <s v="Relevé"/>
    <x v="1"/>
    <x v="1"/>
    <s v="CONGO"/>
    <m/>
    <m/>
    <m/>
  </r>
  <r>
    <d v="2023-10-16T00:00:00"/>
    <s v="BCI-3654576/Appro caisse"/>
    <x v="3"/>
    <m/>
    <n v="2000000"/>
    <m/>
    <n v="20649903"/>
    <x v="1"/>
    <m/>
    <x v="0"/>
    <x v="0"/>
    <m/>
    <m/>
    <m/>
    <m/>
  </r>
  <r>
    <d v="2023-10-16T00:00:00"/>
    <s v="DOVI/Remboursement prêt"/>
    <x v="3"/>
    <m/>
    <m/>
    <n v="400000"/>
    <n v="20249903"/>
    <x v="1"/>
    <m/>
    <x v="0"/>
    <x v="0"/>
    <m/>
    <m/>
    <m/>
    <m/>
  </r>
  <r>
    <d v="2023-10-16T00:00:00"/>
    <s v="Evariste/Fonctionnement"/>
    <x v="3"/>
    <m/>
    <m/>
    <n v="15000"/>
    <n v="20234903"/>
    <x v="1"/>
    <m/>
    <x v="0"/>
    <x v="0"/>
    <m/>
    <m/>
    <m/>
    <m/>
  </r>
  <r>
    <d v="2023-10-16T00:00:00"/>
    <s v="P29/Frais de mission"/>
    <x v="3"/>
    <m/>
    <m/>
    <n v="190000"/>
    <n v="20044903"/>
    <x v="1"/>
    <m/>
    <x v="0"/>
    <x v="0"/>
    <m/>
    <m/>
    <m/>
    <m/>
  </r>
  <r>
    <d v="2023-10-16T00:00:00"/>
    <s v="T73/Frais de mission"/>
    <x v="3"/>
    <m/>
    <m/>
    <n v="190000"/>
    <n v="19854903"/>
    <x v="1"/>
    <m/>
    <x v="0"/>
    <x v="0"/>
    <m/>
    <m/>
    <m/>
    <m/>
  </r>
  <r>
    <d v="2023-10-16T00:00:00"/>
    <s v="IT87/Frais de mission"/>
    <x v="3"/>
    <m/>
    <m/>
    <n v="115000"/>
    <n v="19739903"/>
    <x v="1"/>
    <m/>
    <x v="0"/>
    <x v="0"/>
    <m/>
    <m/>
    <m/>
    <m/>
  </r>
  <r>
    <d v="2023-10-16T00:00:00"/>
    <s v="Hurielle/Fonctionnement"/>
    <x v="3"/>
    <m/>
    <m/>
    <n v="30000"/>
    <n v="19709903"/>
    <x v="1"/>
    <m/>
    <x v="0"/>
    <x v="0"/>
    <m/>
    <m/>
    <m/>
    <m/>
  </r>
  <r>
    <d v="2023-10-16T00:00:00"/>
    <s v="Merveille/Fonctionnement"/>
    <x v="3"/>
    <m/>
    <m/>
    <n v="30000"/>
    <n v="19679903"/>
    <x v="1"/>
    <m/>
    <x v="0"/>
    <x v="0"/>
    <m/>
    <m/>
    <m/>
    <m/>
  </r>
  <r>
    <d v="2023-10-16T00:00:00"/>
    <s v="IT87/Fonctionnement"/>
    <x v="3"/>
    <m/>
    <m/>
    <n v="20000"/>
    <n v="19659903"/>
    <x v="1"/>
    <m/>
    <x v="0"/>
    <x v="0"/>
    <m/>
    <m/>
    <m/>
    <m/>
  </r>
  <r>
    <d v="2023-10-16T00:00:00"/>
    <s v="Oracle/Fonctionnement"/>
    <x v="3"/>
    <m/>
    <m/>
    <n v="20000"/>
    <n v="19639903"/>
    <x v="1"/>
    <m/>
    <x v="0"/>
    <x v="0"/>
    <m/>
    <m/>
    <m/>
    <m/>
  </r>
  <r>
    <d v="2023-10-16T00:00:00"/>
    <s v="Donald-Roméo/Fonctionnement"/>
    <x v="3"/>
    <m/>
    <m/>
    <n v="20000"/>
    <n v="19619903"/>
    <x v="1"/>
    <m/>
    <x v="0"/>
    <x v="0"/>
    <m/>
    <m/>
    <m/>
    <m/>
  </r>
  <r>
    <d v="2023-10-16T00:00:00"/>
    <s v="Achat credit  teléphonique MTN/PALF/Deuxième partie Octobre 2023/Management"/>
    <x v="4"/>
    <s v="Management"/>
    <m/>
    <n v="15000"/>
    <n v="19604903"/>
    <x v="1"/>
    <s v="OUI"/>
    <x v="2"/>
    <x v="2"/>
    <s v="CONGO"/>
    <m/>
    <s v="4.6"/>
    <m/>
  </r>
  <r>
    <d v="2023-10-16T00:00:00"/>
    <s v="Achat credit  teléphonique MTN/PALF/Deuxième partie Octobre 2023/Legal"/>
    <x v="4"/>
    <s v="Legal"/>
    <m/>
    <n v="30000"/>
    <n v="19574903"/>
    <x v="1"/>
    <s v="OUI"/>
    <x v="2"/>
    <x v="2"/>
    <s v="CONGO"/>
    <m/>
    <s v="4.6"/>
    <m/>
  </r>
  <r>
    <d v="2023-10-16T00:00:00"/>
    <s v="Achat credit  teléphonique MTN/PALF/Deuxième  partie Octobre 2023/Investigation"/>
    <x v="4"/>
    <s v="Investingation"/>
    <m/>
    <n v="25000"/>
    <n v="19549903"/>
    <x v="1"/>
    <s v="OUI"/>
    <x v="4"/>
    <x v="2"/>
    <s v="CONGO"/>
    <m/>
    <s v="4.6"/>
    <m/>
  </r>
  <r>
    <d v="2023-10-16T00:00:00"/>
    <s v="Achat credit  teléphonique MTN/PALF/Deuxième partie Octobre 2023/Investigation Volontaire"/>
    <x v="4"/>
    <s v="Investingation"/>
    <m/>
    <n v="15000"/>
    <n v="19534903"/>
    <x v="1"/>
    <s v="OUI"/>
    <x v="4"/>
    <x v="1"/>
    <s v="CONGO"/>
    <m/>
    <m/>
    <m/>
  </r>
  <r>
    <d v="2023-10-16T00:00:00"/>
    <s v="Achat credit  teléphonique MTN/PALF/Deuxième partie Octobre 2023/Media"/>
    <x v="4"/>
    <s v="Media"/>
    <m/>
    <n v="10000"/>
    <n v="19524903"/>
    <x v="1"/>
    <s v="OUI"/>
    <x v="2"/>
    <x v="2"/>
    <s v="CONGO"/>
    <m/>
    <s v="4.6"/>
    <m/>
  </r>
  <r>
    <d v="2023-10-16T00:00:00"/>
    <s v="Achat credit  teléphonique airtel/PALF/Deuxième partie Octobre 2023/Management"/>
    <x v="4"/>
    <s v="Management"/>
    <m/>
    <n v="10000"/>
    <n v="19514903"/>
    <x v="1"/>
    <s v="OUI"/>
    <x v="2"/>
    <x v="2"/>
    <s v="CONGO"/>
    <m/>
    <s v="4.6"/>
    <m/>
  </r>
  <r>
    <d v="2023-10-16T00:00:00"/>
    <s v="Achat credit  teléphonique airtel/PALF/Deuxième partie Octobre 2023/Legal"/>
    <x v="4"/>
    <s v="Legal"/>
    <m/>
    <n v="10000"/>
    <n v="19504903"/>
    <x v="1"/>
    <s v="OUI"/>
    <x v="2"/>
    <x v="2"/>
    <s v="CONGO"/>
    <m/>
    <s v="4.6"/>
    <m/>
  </r>
  <r>
    <d v="2023-10-16T00:00:00"/>
    <s v="Achat credit  teléphonique airtel/PALF/Deuxième partie Octobre 2023/Investigation"/>
    <x v="4"/>
    <s v="Investingation"/>
    <m/>
    <n v="5000"/>
    <n v="19499903"/>
    <x v="1"/>
    <s v="OUI"/>
    <x v="4"/>
    <x v="2"/>
    <s v="CONGO"/>
    <m/>
    <s v="4.6"/>
    <m/>
  </r>
  <r>
    <d v="2023-10-16T00:00:00"/>
    <s v="Evariste/Fonctionnement"/>
    <x v="3"/>
    <m/>
    <m/>
    <n v="20000"/>
    <n v="19479903"/>
    <x v="1"/>
    <m/>
    <x v="0"/>
    <x v="0"/>
    <m/>
    <m/>
    <m/>
    <m/>
  </r>
  <r>
    <d v="2023-10-16T00:00:00"/>
    <s v="Bonus média télécongo portant sur l'interpellation d'un présumé trafiquant le 10/10/2023 à Brazzaville"/>
    <x v="2"/>
    <s v="Media"/>
    <m/>
    <n v="150000"/>
    <n v="19329903"/>
    <x v="1"/>
    <s v="Decharge"/>
    <x v="2"/>
    <x v="1"/>
    <s v="CONGO"/>
    <m/>
    <m/>
    <m/>
  </r>
  <r>
    <d v="2023-10-16T00:00:00"/>
    <s v="Retrait especes/appro caisse/bord n°3654576"/>
    <x v="3"/>
    <m/>
    <m/>
    <n v="2000000"/>
    <n v="17329903"/>
    <x v="9"/>
    <n v="3654576"/>
    <x v="0"/>
    <x v="0"/>
    <m/>
    <m/>
    <m/>
    <m/>
  </r>
  <r>
    <d v="2023-10-16T00:00:00"/>
    <s v="Reçu caisse /Fonctionnement"/>
    <x v="3"/>
    <m/>
    <n v="20000"/>
    <m/>
    <n v="17349903"/>
    <x v="3"/>
    <m/>
    <x v="0"/>
    <x v="0"/>
    <m/>
    <m/>
    <m/>
    <m/>
  </r>
  <r>
    <d v="2023-10-16T00:00:00"/>
    <s v="Remboursement reçu de la caisse pour prêt"/>
    <x v="3"/>
    <m/>
    <n v="400000"/>
    <m/>
    <n v="17749903"/>
    <x v="4"/>
    <m/>
    <x v="0"/>
    <x v="0"/>
    <m/>
    <m/>
    <m/>
    <m/>
  </r>
  <r>
    <d v="2023-10-16T00:00:00"/>
    <s v="Reçu de la caisse/Frais de mission"/>
    <x v="3"/>
    <m/>
    <n v="15000"/>
    <m/>
    <n v="17764903"/>
    <x v="10"/>
    <m/>
    <x v="0"/>
    <x v="0"/>
    <m/>
    <m/>
    <m/>
    <m/>
  </r>
  <r>
    <d v="2023-10-16T00:00:00"/>
    <s v="Reçu de la caisse/Fonctionnement"/>
    <x v="3"/>
    <m/>
    <n v="20000"/>
    <m/>
    <n v="17784903"/>
    <x v="10"/>
    <m/>
    <x v="0"/>
    <x v="0"/>
    <m/>
    <m/>
    <m/>
    <m/>
  </r>
  <r>
    <d v="2023-10-16T00:00:00"/>
    <s v="Recu caisse/Frais de mission"/>
    <x v="3"/>
    <m/>
    <n v="30000"/>
    <m/>
    <n v="17814903"/>
    <x v="5"/>
    <m/>
    <x v="0"/>
    <x v="0"/>
    <m/>
    <m/>
    <m/>
    <m/>
  </r>
  <r>
    <d v="2023-10-16T00:00:00"/>
    <s v="Reçu de Caisse/ Fonctionnement"/>
    <x v="3"/>
    <m/>
    <n v="20000"/>
    <m/>
    <n v="17834903"/>
    <x v="12"/>
    <m/>
    <x v="0"/>
    <x v="0"/>
    <m/>
    <m/>
    <m/>
    <m/>
  </r>
  <r>
    <d v="2023-10-16T00:00:00"/>
    <s v="Reçu de Caisse/ Frais de mission"/>
    <x v="3"/>
    <m/>
    <n v="115000"/>
    <m/>
    <n v="17949903"/>
    <x v="12"/>
    <m/>
    <x v="0"/>
    <x v="0"/>
    <m/>
    <m/>
    <m/>
    <m/>
  </r>
  <r>
    <d v="2023-10-16T00:00:00"/>
    <s v="Achat billet Brazzaville-Pointe Noire/T73"/>
    <x v="12"/>
    <s v="Investingation"/>
    <m/>
    <n v="15000"/>
    <n v="17934903"/>
    <x v="12"/>
    <s v="OUI"/>
    <x v="1"/>
    <x v="1"/>
    <s v="CONGO"/>
    <m/>
    <m/>
    <m/>
  </r>
  <r>
    <d v="2023-10-16T00:00:00"/>
    <s v="Reçu caisse/Fonctionnement"/>
    <x v="3"/>
    <m/>
    <n v="30000"/>
    <m/>
    <n v="17964903"/>
    <x v="13"/>
    <m/>
    <x v="0"/>
    <x v="0"/>
    <m/>
    <m/>
    <m/>
    <m/>
  </r>
  <r>
    <d v="2023-10-16T00:00:00"/>
    <s v="Reçu caisse/Fonctionnement"/>
    <x v="13"/>
    <m/>
    <n v="20000"/>
    <m/>
    <n v="17984903"/>
    <x v="7"/>
    <m/>
    <x v="0"/>
    <x v="0"/>
    <m/>
    <m/>
    <m/>
    <m/>
  </r>
  <r>
    <d v="2023-10-16T00:00:00"/>
    <s v="Achat billet brazzaville - Pointe Noire/P29"/>
    <x v="12"/>
    <s v="Investingation"/>
    <m/>
    <n v="15000"/>
    <n v="17969903"/>
    <x v="11"/>
    <s v="OUI"/>
    <x v="4"/>
    <x v="2"/>
    <s v="CONGO"/>
    <m/>
    <s v="2.2"/>
    <m/>
  </r>
  <r>
    <d v="2023-10-16T00:00:00"/>
    <s v="Reçu de caisse/Frais de mission"/>
    <x v="3"/>
    <m/>
    <n v="190000"/>
    <m/>
    <n v="18159903"/>
    <x v="11"/>
    <m/>
    <x v="0"/>
    <x v="0"/>
    <m/>
    <m/>
    <m/>
    <m/>
  </r>
  <r>
    <d v="2023-10-16T00:00:00"/>
    <s v="reçu de caisse/T73"/>
    <x v="3"/>
    <m/>
    <n v="190000"/>
    <m/>
    <n v="18349903"/>
    <x v="8"/>
    <m/>
    <x v="0"/>
    <x v="0"/>
    <m/>
    <m/>
    <m/>
    <m/>
  </r>
  <r>
    <d v="2023-10-16T00:00:00"/>
    <s v="Achat billet: Brazzaville - Loudima/T73"/>
    <x v="12"/>
    <s v="Investingation"/>
    <m/>
    <n v="9000"/>
    <n v="18340903"/>
    <x v="8"/>
    <s v="OUI"/>
    <x v="4"/>
    <x v="2"/>
    <s v="CONGO"/>
    <m/>
    <s v="2.2"/>
    <m/>
  </r>
  <r>
    <d v="2023-10-17T00:00:00"/>
    <s v="Reglement facture d'eau (LCDE) periode Septembre -Octobre  2023/Bureau PALF"/>
    <x v="17"/>
    <s v="Office"/>
    <m/>
    <n v="10448"/>
    <n v="18330455"/>
    <x v="1"/>
    <s v="OUI"/>
    <x v="3"/>
    <x v="2"/>
    <s v="CONGO"/>
    <m/>
    <s v="4.4"/>
    <m/>
  </r>
  <r>
    <d v="2023-10-17T00:00:00"/>
    <s v="Taxe/Reglement facture d'eau (LCDE) periode Septembre -Octobre  2023/Bureau PALF"/>
    <x v="17"/>
    <s v="Office"/>
    <m/>
    <n v="2302"/>
    <n v="18328153"/>
    <x v="1"/>
    <s v="OUI"/>
    <x v="2"/>
    <x v="1"/>
    <s v="CONGO"/>
    <m/>
    <m/>
    <m/>
  </r>
  <r>
    <d v="2023-10-17T00:00:00"/>
    <s v="Donald-Roméo/Frais mission"/>
    <x v="3"/>
    <m/>
    <m/>
    <n v="93000"/>
    <n v="18235153"/>
    <x v="1"/>
    <m/>
    <x v="0"/>
    <x v="0"/>
    <m/>
    <m/>
    <m/>
    <m/>
  </r>
  <r>
    <d v="2023-10-17T00:00:00"/>
    <s v="Frais de mission maitre Marie Hélène à Owando du 18 au 20/10/2023"/>
    <x v="15"/>
    <s v="Legal"/>
    <m/>
    <n v="72000"/>
    <n v="18163153"/>
    <x v="1"/>
    <s v="OUI"/>
    <x v="2"/>
    <x v="1"/>
    <s v="CONGO"/>
    <m/>
    <m/>
    <m/>
  </r>
  <r>
    <d v="2023-10-17T00:00:00"/>
    <s v="Achat eau mineral 10 BONBONNES de 19 LITRES"/>
    <x v="6"/>
    <s v="Office"/>
    <m/>
    <n v="25000"/>
    <n v="18138153"/>
    <x v="1"/>
    <s v="OUI"/>
    <x v="3"/>
    <x v="2"/>
    <s v="CONGO"/>
    <m/>
    <s v="4.3"/>
    <m/>
  </r>
  <r>
    <d v="2023-10-18T00:00:00"/>
    <s v="Achat 02 Cartouches d'encre Couleur 216A HP Laser"/>
    <x v="6"/>
    <s v="Office"/>
    <m/>
    <n v="127500"/>
    <n v="18010653"/>
    <x v="1"/>
    <s v="OUI"/>
    <x v="3"/>
    <x v="2"/>
    <s v="CONGO"/>
    <m/>
    <s v="4.3"/>
    <m/>
  </r>
  <r>
    <d v="2023-10-18T00:00:00"/>
    <s v="Paiement Certificat d'hebergement de Wilson,Jasmin et Patricia"/>
    <x v="18"/>
    <s v="Investingation"/>
    <m/>
    <n v="120000"/>
    <n v="17890653"/>
    <x v="1"/>
    <s v="OUI"/>
    <x v="2"/>
    <x v="1"/>
    <s v="CONGO"/>
    <m/>
    <m/>
    <m/>
  </r>
  <r>
    <d v="2023-10-17T00:00:00"/>
    <s v="Reçu caisse/Frais de mission"/>
    <x v="3"/>
    <m/>
    <n v="93000"/>
    <m/>
    <n v="17983653"/>
    <x v="3"/>
    <m/>
    <x v="0"/>
    <x v="0"/>
    <m/>
    <m/>
    <m/>
    <m/>
  </r>
  <r>
    <d v="2023-10-17T00:00:00"/>
    <s v="Achat billet Brazzaville-Owando/Donald-Roméo"/>
    <x v="10"/>
    <s v="Legal"/>
    <m/>
    <n v="8000"/>
    <n v="17975653"/>
    <x v="3"/>
    <s v="OUI"/>
    <x v="3"/>
    <x v="2"/>
    <s v="CONGO"/>
    <m/>
    <s v="2.2"/>
    <m/>
  </r>
  <r>
    <d v="2023-10-17T00:00:00"/>
    <s v="IT87 - CONGO Food Allowance mission du 17 au 23/10/2023 à Pointe-Noire et Dolisie/6 Nuitées "/>
    <x v="7"/>
    <s v="Investingation"/>
    <m/>
    <n v="60000"/>
    <n v="17915653"/>
    <x v="12"/>
    <s v="Décharge"/>
    <x v="1"/>
    <x v="1"/>
    <s v="CONGO"/>
    <m/>
    <m/>
    <m/>
  </r>
  <r>
    <d v="2023-10-17T00:00:00"/>
    <s v="P29 - CONGO Food allowance du 17 au 28/10/2023 à Pointe-Noire,Nkayi et Dolisie/11 Nuitées"/>
    <x v="7"/>
    <s v="Investingation"/>
    <m/>
    <n v="110000"/>
    <n v="17805653"/>
    <x v="11"/>
    <s v="Decharge"/>
    <x v="4"/>
    <x v="2"/>
    <s v="CONGO"/>
    <m/>
    <s v="1.3.2"/>
    <m/>
  </r>
  <r>
    <d v="2023-10-17T00:00:00"/>
    <s v="T73 - CONGO Food Allowance du 17/10 au 28/10/2023 (11nuitées)"/>
    <x v="7"/>
    <s v="Investingation"/>
    <m/>
    <n v="110000"/>
    <n v="17695653"/>
    <x v="8"/>
    <s v="Décharge"/>
    <x v="4"/>
    <x v="2"/>
    <s v="CONGO"/>
    <m/>
    <s v="1.3.2"/>
    <m/>
  </r>
  <r>
    <d v="2023-10-17T00:00:00"/>
    <s v="achat billet : Loudima - Sibiti/T73"/>
    <x v="12"/>
    <s v="Investingation"/>
    <m/>
    <n v="4000"/>
    <n v="17691653"/>
    <x v="8"/>
    <s v="OUI"/>
    <x v="4"/>
    <x v="2"/>
    <s v="CONGO"/>
    <m/>
    <s v="2.2"/>
    <m/>
  </r>
  <r>
    <d v="2023-10-19T00:00:00"/>
    <s v="Bonus média portant sur l'interpellation d'un présumé trafiquant le 10/10/2023 à Brazzaville"/>
    <x v="2"/>
    <s v="Media"/>
    <m/>
    <n v="70000"/>
    <n v="17621653"/>
    <x v="1"/>
    <s v="Decharge"/>
    <x v="2"/>
    <x v="1"/>
    <s v="CONGO"/>
    <m/>
    <m/>
    <m/>
  </r>
  <r>
    <d v="2023-10-19T00:00:00"/>
    <s v="Bonus média portant sur l'audience du 19/10/2023 au TGI d'Owando"/>
    <x v="2"/>
    <s v="Media"/>
    <m/>
    <n v="48000"/>
    <n v="17573653"/>
    <x v="1"/>
    <s v="Decharge"/>
    <x v="2"/>
    <x v="1"/>
    <s v="CONGO"/>
    <m/>
    <m/>
    <m/>
  </r>
  <r>
    <d v="2023-10-18T00:00:00"/>
    <s v="DONALD-ROMEO 6 CONGO Food Allowance Mission du 18 au  20/10/2023 à Owando/02 Nuitées"/>
    <x v="7"/>
    <s v="Legal"/>
    <m/>
    <n v="20000"/>
    <n v="17553653"/>
    <x v="3"/>
    <s v="Décharge"/>
    <x v="3"/>
    <x v="2"/>
    <s v="CONGO"/>
    <m/>
    <s v="1.3.2"/>
    <m/>
  </r>
  <r>
    <d v="2023-10-19T00:00:00"/>
    <s v="Achat et installation du logiciel de montage vidéo (Adob premier Pro)"/>
    <x v="19"/>
    <s v="Office"/>
    <m/>
    <n v="15000"/>
    <n v="17538653"/>
    <x v="10"/>
    <s v="OUI"/>
    <x v="2"/>
    <x v="1"/>
    <s v="CONGO"/>
    <m/>
    <m/>
    <m/>
  </r>
  <r>
    <d v="2023-10-19T00:00:00"/>
    <s v="IT87 - CONGO Frais d'hôtel du 17 au 19/10/2023 à Pointe-Noire/(02 Nuitées)"/>
    <x v="7"/>
    <s v="Investingation"/>
    <m/>
    <n v="30000"/>
    <n v="17508653"/>
    <x v="12"/>
    <s v="OUI"/>
    <x v="1"/>
    <x v="1"/>
    <s v="CONGO"/>
    <m/>
    <m/>
    <m/>
  </r>
  <r>
    <d v="2023-10-19T00:00:00"/>
    <s v="Achat billet Pointe Noire - Dolisie/IT87"/>
    <x v="12"/>
    <s v="Investingation"/>
    <m/>
    <n v="5000"/>
    <n v="17503653"/>
    <x v="12"/>
    <s v="OUI"/>
    <x v="1"/>
    <x v="1"/>
    <s v="CONGO"/>
    <m/>
    <m/>
    <m/>
  </r>
  <r>
    <d v="2023-10-20T00:00:00"/>
    <s v="BCI-3654576/Appro caisse"/>
    <x v="3"/>
    <m/>
    <n v="2000000"/>
    <m/>
    <n v="19503653"/>
    <x v="1"/>
    <m/>
    <x v="0"/>
    <x v="0"/>
    <m/>
    <m/>
    <m/>
    <m/>
  </r>
  <r>
    <d v="2023-10-20T00:00:00"/>
    <s v="P29/Frais de mission"/>
    <x v="3"/>
    <m/>
    <m/>
    <n v="194000"/>
    <n v="19309653"/>
    <x v="1"/>
    <m/>
    <x v="0"/>
    <x v="0"/>
    <m/>
    <m/>
    <m/>
    <m/>
  </r>
  <r>
    <d v="2023-10-20T00:00:00"/>
    <s v="T73/Frais de mission"/>
    <x v="3"/>
    <m/>
    <m/>
    <n v="191500"/>
    <n v="19118153"/>
    <x v="1"/>
    <m/>
    <x v="0"/>
    <x v="0"/>
    <m/>
    <m/>
    <m/>
    <m/>
  </r>
  <r>
    <d v="2023-10-20T00:00:00"/>
    <s v="IT87/Frais de mission"/>
    <x v="3"/>
    <m/>
    <m/>
    <n v="117000"/>
    <n v="19001153"/>
    <x v="1"/>
    <m/>
    <x v="0"/>
    <x v="0"/>
    <m/>
    <m/>
    <m/>
    <m/>
  </r>
  <r>
    <d v="2023-10-20T00:00:00"/>
    <s v="Oracle/Frais de mission"/>
    <x v="3"/>
    <m/>
    <m/>
    <n v="197000"/>
    <n v="18804153"/>
    <x v="1"/>
    <m/>
    <x v="0"/>
    <x v="0"/>
    <m/>
    <m/>
    <m/>
    <m/>
  </r>
  <r>
    <d v="2023-10-20T00:00:00"/>
    <s v="Frais de mission maitre Marie Helène à Dolisie et Poine-Noire du 23 au 28/10/2023"/>
    <x v="15"/>
    <s v="Legal"/>
    <m/>
    <n v="173000"/>
    <n v="18631153"/>
    <x v="1"/>
    <s v="OUI"/>
    <x v="2"/>
    <x v="1"/>
    <s v="CONGO"/>
    <m/>
    <m/>
    <m/>
  </r>
  <r>
    <d v="2023-10-20T00:00:00"/>
    <s v="Frais de transfert charden farell à T73 et P29"/>
    <x v="5"/>
    <s v="Office"/>
    <m/>
    <n v="11565"/>
    <n v="18619588"/>
    <x v="1"/>
    <s v="OUI"/>
    <x v="3"/>
    <x v="2"/>
    <s v="CONGO"/>
    <m/>
    <s v="5.6"/>
    <m/>
  </r>
  <r>
    <d v="2023-10-20T00:00:00"/>
    <s v="Frais de transfert charden farell à IT87"/>
    <x v="5"/>
    <s v="Office"/>
    <m/>
    <n v="3510"/>
    <n v="18616078"/>
    <x v="1"/>
    <s v="OUI"/>
    <x v="2"/>
    <x v="1"/>
    <s v="CONGO"/>
    <m/>
    <m/>
    <m/>
  </r>
  <r>
    <d v="2023-10-20T00:00:00"/>
    <s v="Retrait especes/appro caisse/bord n°3654577"/>
    <x v="3"/>
    <m/>
    <m/>
    <n v="2000000"/>
    <n v="16616078"/>
    <x v="9"/>
    <n v="3654577"/>
    <x v="0"/>
    <x v="0"/>
    <m/>
    <m/>
    <m/>
    <m/>
  </r>
  <r>
    <d v="2023-10-20T00:00:00"/>
    <s v="Achat billet Owando- Brazzaville/Donald-Roméo"/>
    <x v="10"/>
    <s v="Legal"/>
    <m/>
    <n v="8000"/>
    <n v="16608078"/>
    <x v="3"/>
    <s v="OUI"/>
    <x v="3"/>
    <x v="2"/>
    <s v="CONGO"/>
    <m/>
    <s v="2.2"/>
    <m/>
  </r>
  <r>
    <d v="2023-10-20T00:00:00"/>
    <s v="DONALD-ROMEO - CONGO Frais d'hôtel 02  du 18 au 20/10/2023 à  Owando(02 Nuitées )"/>
    <x v="7"/>
    <s v="Legal"/>
    <m/>
    <n v="30000"/>
    <n v="16578078"/>
    <x v="3"/>
    <s v="OUI"/>
    <x v="3"/>
    <x v="2"/>
    <s v="CONGO"/>
    <m/>
    <s v="1.3.2"/>
    <m/>
  </r>
  <r>
    <d v="2023-10-20T00:00:00"/>
    <s v="Reçu de Caisse/ Frais de mission"/>
    <x v="3"/>
    <m/>
    <n v="117000"/>
    <m/>
    <n v="16695078"/>
    <x v="12"/>
    <m/>
    <x v="0"/>
    <x v="0"/>
    <m/>
    <m/>
    <m/>
    <m/>
  </r>
  <r>
    <d v="2023-10-20T00:00:00"/>
    <s v="Reçu caisse/Frais de mission"/>
    <x v="13"/>
    <m/>
    <n v="197000"/>
    <m/>
    <n v="16892078"/>
    <x v="7"/>
    <m/>
    <x v="0"/>
    <x v="0"/>
    <m/>
    <m/>
    <m/>
    <m/>
  </r>
  <r>
    <d v="2023-10-20T00:00:00"/>
    <s v="Recu de caisse/Frais de mission"/>
    <x v="3"/>
    <m/>
    <n v="194000"/>
    <m/>
    <n v="17086078"/>
    <x v="11"/>
    <m/>
    <x v="0"/>
    <x v="0"/>
    <m/>
    <m/>
    <m/>
    <m/>
  </r>
  <r>
    <d v="2023-10-20T00:00:00"/>
    <s v="reçu de caisse/T73"/>
    <x v="3"/>
    <m/>
    <n v="191500"/>
    <m/>
    <n v="17277578"/>
    <x v="8"/>
    <m/>
    <x v="0"/>
    <x v="0"/>
    <m/>
    <m/>
    <m/>
    <m/>
  </r>
  <r>
    <d v="2023-10-21T00:00:00"/>
    <s v="Achat billet Brazzaville - Pointe Noire/Oracle"/>
    <x v="12"/>
    <s v="Legal"/>
    <m/>
    <n v="15000"/>
    <n v="17262578"/>
    <x v="7"/>
    <s v="OUI"/>
    <x v="3"/>
    <x v="2"/>
    <s v="CONGO"/>
    <m/>
    <s v="2.2"/>
    <m/>
  </r>
  <r>
    <d v="2023-10-21T00:00:00"/>
    <s v="Taxi pointe noire-nzassi/P29"/>
    <x v="12"/>
    <s v="Investingation"/>
    <m/>
    <n v="4000"/>
    <n v="17258578"/>
    <x v="11"/>
    <s v="OUI"/>
    <x v="4"/>
    <x v="1"/>
    <s v="CONGO"/>
    <m/>
    <m/>
    <m/>
  </r>
  <r>
    <d v="2023-10-21T00:00:00"/>
    <s v="Taxi nzassi- pointe noire/P29"/>
    <x v="12"/>
    <s v="Investingation"/>
    <m/>
    <n v="4000"/>
    <n v="17254578"/>
    <x v="11"/>
    <s v="OUI"/>
    <x v="4"/>
    <x v="1"/>
    <s v="CONGO"/>
    <m/>
    <m/>
    <m/>
  </r>
  <r>
    <d v="2023-10-21T00:00:00"/>
    <s v="Achat billet :  Sibiti - Mvouti/ T73"/>
    <x v="12"/>
    <s v="Investingation"/>
    <m/>
    <n v="10000"/>
    <n v="17244578"/>
    <x v="8"/>
    <s v="OUI"/>
    <x v="4"/>
    <x v="2"/>
    <s v="CONGO"/>
    <m/>
    <s v="2.2"/>
    <m/>
  </r>
  <r>
    <d v="2023-10-21T00:00:00"/>
    <s v="T73 - CONGO Frais d'hotel du 17 au 21/19/2023 (04 nuitées ) à Sibiti"/>
    <x v="7"/>
    <s v="Investingation"/>
    <m/>
    <n v="60000"/>
    <n v="17184578"/>
    <x v="8"/>
    <s v="OUI"/>
    <x v="4"/>
    <x v="2"/>
    <s v="CONGO"/>
    <m/>
    <s v="1.3.2"/>
    <m/>
  </r>
  <r>
    <d v="2023-10-22T00:00:00"/>
    <s v="Cumul frais de trust building du mois d'Octobre 2023/IT87"/>
    <x v="1"/>
    <s v="Investingation"/>
    <m/>
    <n v="13000"/>
    <n v="17171578"/>
    <x v="12"/>
    <s v="Décharge"/>
    <x v="1"/>
    <x v="1"/>
    <s v="CONGO"/>
    <m/>
    <m/>
    <m/>
  </r>
  <r>
    <d v="2023-10-23T00:00:00"/>
    <s v="Bonus média Portant sur l'opération du 10/10/2023"/>
    <x v="2"/>
    <s v="Media"/>
    <m/>
    <n v="22000"/>
    <n v="17149578"/>
    <x v="1"/>
    <s v="Decharge"/>
    <x v="2"/>
    <x v="1"/>
    <s v="CONGO"/>
    <m/>
    <m/>
    <m/>
  </r>
  <r>
    <d v="2023-10-23T00:00:00"/>
    <s v="Evariste/Fonctionnement"/>
    <x v="3"/>
    <m/>
    <m/>
    <n v="20000"/>
    <n v="17129578"/>
    <x v="1"/>
    <m/>
    <x v="0"/>
    <x v="0"/>
    <m/>
    <m/>
    <m/>
    <m/>
  </r>
  <r>
    <d v="2023-10-23T00:00:00"/>
    <s v="Reçu de la caisse/Fonctionnement"/>
    <x v="3"/>
    <m/>
    <n v="20000"/>
    <m/>
    <n v="17149578"/>
    <x v="10"/>
    <m/>
    <x v="0"/>
    <x v="0"/>
    <m/>
    <m/>
    <m/>
    <m/>
  </r>
  <r>
    <d v="2023-10-23T00:00:00"/>
    <s v="IT87 - CONGO Frais d'hôtel du 19 au 23/10/2023 à Dolisie/ (04 Nuitées)"/>
    <x v="7"/>
    <s v="Investingation"/>
    <m/>
    <n v="60000"/>
    <n v="17089578"/>
    <x v="12"/>
    <s v="OUI"/>
    <x v="1"/>
    <x v="1"/>
    <s v="CONGO"/>
    <m/>
    <m/>
    <m/>
  </r>
  <r>
    <d v="2023-10-23T00:00:00"/>
    <s v="Achat billet Dolisie-Brazzaville/IT87"/>
    <x v="12"/>
    <s v="Investingation"/>
    <m/>
    <n v="10000"/>
    <n v="17079578"/>
    <x v="12"/>
    <s v="OUI"/>
    <x v="1"/>
    <x v="1"/>
    <s v="CONGO"/>
    <m/>
    <m/>
    <m/>
  </r>
  <r>
    <d v="2023-10-23T00:00:00"/>
    <s v="ORACLE TALOULOU - CONGO Food allowance du 23 au 28 Octobre 2023/05 Nuitées"/>
    <x v="7"/>
    <s v="Legal"/>
    <m/>
    <n v="50000"/>
    <n v="17029578"/>
    <x v="7"/>
    <s v="Decharge"/>
    <x v="3"/>
    <x v="2"/>
    <s v="CONGO"/>
    <m/>
    <s v="1.3.2"/>
    <m/>
  </r>
  <r>
    <d v="2023-10-23T00:00:00"/>
    <s v="P29-CONGO Frais d'hotel du 17 au 23/10/2023 à Pointe noire/06 Nuitées"/>
    <x v="7"/>
    <s v="Investingation"/>
    <m/>
    <n v="90000"/>
    <n v="16939578"/>
    <x v="11"/>
    <s v="OUI"/>
    <x v="4"/>
    <x v="2"/>
    <s v="CONGO"/>
    <m/>
    <s v="1.3.2"/>
    <m/>
  </r>
  <r>
    <d v="2023-10-23T00:00:00"/>
    <s v="Achat billet Pointe Noire-Nkayi/P29"/>
    <x v="12"/>
    <s v="Investingation"/>
    <m/>
    <n v="6000"/>
    <n v="16933578"/>
    <x v="11"/>
    <s v="OUI"/>
    <x v="4"/>
    <x v="2"/>
    <s v="CONGO"/>
    <m/>
    <s v="2.2"/>
    <m/>
  </r>
  <r>
    <d v="2023-10-23T00:00:00"/>
    <s v="T73 - CONGO Frais d'hotel du 21 au 23/19/2023 (02 nuitées ) à Mvouti"/>
    <x v="7"/>
    <s v="Investingation"/>
    <m/>
    <n v="30000"/>
    <n v="16903578"/>
    <x v="8"/>
    <s v="OUI"/>
    <x v="4"/>
    <x v="1"/>
    <s v="CONGO"/>
    <m/>
    <m/>
    <m/>
  </r>
  <r>
    <d v="2023-10-23T00:00:00"/>
    <s v="Achat billet : Mvouti - mouyondzi/T73"/>
    <x v="12"/>
    <s v="Investingation"/>
    <m/>
    <n v="11000"/>
    <n v="16892578"/>
    <x v="8"/>
    <s v="OUI"/>
    <x v="4"/>
    <x v="2"/>
    <s v="CONGO"/>
    <m/>
    <s v="2.2"/>
    <m/>
  </r>
  <r>
    <d v="2023-10-24T00:00:00"/>
    <s v="Entretretien général Jardin, Bureau PALF Mois d'Octobre 2023"/>
    <x v="14"/>
    <s v="Office"/>
    <m/>
    <n v="20000"/>
    <n v="16872578"/>
    <x v="1"/>
    <s v="OUI"/>
    <x v="2"/>
    <x v="1"/>
    <s v="CONGO"/>
    <m/>
    <m/>
    <m/>
  </r>
  <r>
    <d v="2023-10-24T00:00:00"/>
    <s v="Hurielle/Frais de mission"/>
    <x v="3"/>
    <m/>
    <m/>
    <n v="126000"/>
    <n v="16746578"/>
    <x v="1"/>
    <m/>
    <x v="0"/>
    <x v="0"/>
    <m/>
    <m/>
    <m/>
    <m/>
  </r>
  <r>
    <d v="2023-10-24T00:00:00"/>
    <s v="Donald-Roméo/Frais mission"/>
    <x v="3"/>
    <m/>
    <m/>
    <n v="110000"/>
    <n v="16636578"/>
    <x v="1"/>
    <m/>
    <x v="0"/>
    <x v="0"/>
    <m/>
    <m/>
    <m/>
    <m/>
  </r>
  <r>
    <d v="2023-10-24T00:00:00"/>
    <s v="Reçu caisse/Frais de mission"/>
    <x v="3"/>
    <m/>
    <n v="110000"/>
    <m/>
    <n v="16746578"/>
    <x v="3"/>
    <m/>
    <x v="0"/>
    <x v="0"/>
    <m/>
    <m/>
    <m/>
    <m/>
  </r>
  <r>
    <d v="2023-10-24T00:00:00"/>
    <s v="Achat billet Brazzaville-Dolisie/Donald-Roméo"/>
    <x v="10"/>
    <s v="Legal"/>
    <m/>
    <n v="10000"/>
    <n v="16736578"/>
    <x v="3"/>
    <s v="OUI"/>
    <x v="3"/>
    <x v="2"/>
    <s v="CONGO"/>
    <m/>
    <s v="2.2"/>
    <m/>
  </r>
  <r>
    <d v="2023-10-24T00:00:00"/>
    <s v="Recu caisse/Frais de mission"/>
    <x v="3"/>
    <m/>
    <n v="126000"/>
    <m/>
    <n v="16862578"/>
    <x v="5"/>
    <m/>
    <x v="0"/>
    <x v="0"/>
    <m/>
    <m/>
    <m/>
    <m/>
  </r>
  <r>
    <d v="2023-10-24T00:00:00"/>
    <s v="Achat billet Brazzaville-Dolisie/Hurielle"/>
    <x v="12"/>
    <s v="Legal"/>
    <m/>
    <n v="10000"/>
    <n v="16852578"/>
    <x v="5"/>
    <s v="OUI"/>
    <x v="3"/>
    <x v="2"/>
    <s v="CONGO"/>
    <m/>
    <s v="2.2"/>
    <m/>
  </r>
  <r>
    <d v="2023-10-25T00:00:00"/>
    <s v="DONALD-ROMEO - CONGO Food Allowance  du   25 au 28/10/2023 à Dolisie/03 Nuitées"/>
    <x v="7"/>
    <s v="Legal"/>
    <m/>
    <n v="30000"/>
    <n v="16822578"/>
    <x v="3"/>
    <s v="OUI"/>
    <x v="3"/>
    <x v="2"/>
    <s v="CONGO"/>
    <m/>
    <s v="1.3.2"/>
    <m/>
  </r>
  <r>
    <d v="2023-10-25T00:00:00"/>
    <s v="HURIELLE MFOULOU - CONGO FoodAllowance du 25 au 28/10/2023 à Dolisie/03 Nuitées"/>
    <x v="7"/>
    <s v="Legal"/>
    <m/>
    <n v="30000"/>
    <n v="16792578"/>
    <x v="5"/>
    <s v="Décharge"/>
    <x v="3"/>
    <x v="2"/>
    <s v="CONGO"/>
    <m/>
    <s v="1.3.2"/>
    <m/>
  </r>
  <r>
    <d v="2023-10-25T00:00:00"/>
    <s v="ORACLE TALOULOU - CONGO Frais d’hôtel du 23 au 25 Octobre 2023/02 Nuitées à Pointe Noire"/>
    <x v="7"/>
    <s v="Legal"/>
    <m/>
    <n v="30000"/>
    <n v="16762578"/>
    <x v="7"/>
    <s v="OUI"/>
    <x v="3"/>
    <x v="2"/>
    <s v="CONGO"/>
    <m/>
    <s v="1.3.2"/>
    <m/>
  </r>
  <r>
    <d v="2023-10-25T00:00:00"/>
    <s v="Achat billet  Pointe Noire  -  Loudima/Oracle"/>
    <x v="12"/>
    <s v="Legal"/>
    <m/>
    <n v="6000"/>
    <n v="16756578"/>
    <x v="7"/>
    <s v="OUI"/>
    <x v="3"/>
    <x v="2"/>
    <s v="CONGO"/>
    <m/>
    <s v="2.2"/>
    <m/>
  </r>
  <r>
    <d v="2023-10-25T00:00:00"/>
    <s v="Achat bille Loudima - Sibiti/Oracle"/>
    <x v="12"/>
    <s v="Legal"/>
    <m/>
    <n v="4000"/>
    <n v="16752578"/>
    <x v="7"/>
    <s v="OUI"/>
    <x v="3"/>
    <x v="2"/>
    <s v="CONGO"/>
    <m/>
    <s v="2.2"/>
    <m/>
  </r>
  <r>
    <d v="2023-10-26T00:00:00"/>
    <s v="P29-CONGO Frais d'hotel du 23 au 26/10/2023 à Nkayi/03 Nuitées"/>
    <x v="7"/>
    <s v="Investingation"/>
    <m/>
    <n v="45000"/>
    <n v="16707578"/>
    <x v="11"/>
    <s v="OUI"/>
    <x v="4"/>
    <x v="2"/>
    <s v="CONGO"/>
    <m/>
    <s v="1.3.2"/>
    <m/>
  </r>
  <r>
    <d v="2023-10-26T00:00:00"/>
    <s v="Achat billet nkayi-Dolisie/P29"/>
    <x v="12"/>
    <s v="Investingation"/>
    <m/>
    <n v="3000"/>
    <n v="16704578"/>
    <x v="11"/>
    <s v="OUI"/>
    <x v="4"/>
    <x v="2"/>
    <s v="CONGO"/>
    <m/>
    <s v="2.2"/>
    <m/>
  </r>
  <r>
    <d v="2023-10-26T00:00:00"/>
    <s v="T73 - CONGO Frais d'hotel du 23 au 26/10/2023 (03 nuitées ) à Mouyondzi"/>
    <x v="7"/>
    <s v="Investingation"/>
    <m/>
    <n v="45000"/>
    <n v="16659578"/>
    <x v="8"/>
    <s v="OUI"/>
    <x v="4"/>
    <x v="2"/>
    <s v="CONGO"/>
    <m/>
    <s v="1.3.2"/>
    <m/>
  </r>
  <r>
    <d v="2023-10-26T00:00:00"/>
    <s v="Achat billet : mouyondzi pour Loutété/T73"/>
    <x v="12"/>
    <s v="Investingation"/>
    <m/>
    <n v="5000"/>
    <n v="16654578"/>
    <x v="8"/>
    <s v="OUI"/>
    <x v="4"/>
    <x v="2"/>
    <s v="CONGO"/>
    <m/>
    <s v="2.2"/>
    <m/>
  </r>
  <r>
    <d v="2023-10-27T00:00:00"/>
    <s v="Bonus media portant sur la condamnation de 04 trafiquants à Owando"/>
    <x v="2"/>
    <s v="Media"/>
    <m/>
    <n v="42000"/>
    <n v="16612578"/>
    <x v="1"/>
    <s v="Decharge"/>
    <x v="2"/>
    <x v="1"/>
    <s v="CONGO"/>
    <m/>
    <m/>
    <m/>
  </r>
  <r>
    <d v="2023-10-27T00:00:00"/>
    <s v="DOVI/Fonctionnement"/>
    <x v="3"/>
    <m/>
    <m/>
    <n v="20000"/>
    <n v="16592578"/>
    <x v="1"/>
    <m/>
    <x v="0"/>
    <x v="0"/>
    <m/>
    <m/>
    <m/>
    <m/>
  </r>
  <r>
    <d v="2023-10-27T00:00:00"/>
    <s v="Cumul frais de jail visit  du mois d'Octobre 2023/Donald-Roméo"/>
    <x v="20"/>
    <s v="Legal"/>
    <m/>
    <n v="22000"/>
    <n v="16570578"/>
    <x v="3"/>
    <s v="Décharge"/>
    <x v="2"/>
    <x v="1"/>
    <s v="CONGO"/>
    <m/>
    <m/>
    <m/>
  </r>
  <r>
    <d v="2023-10-27T00:00:00"/>
    <s v="Reçu caisse/Fonctionnement"/>
    <x v="3"/>
    <m/>
    <n v="20000"/>
    <m/>
    <n v="16590578"/>
    <x v="4"/>
    <m/>
    <x v="0"/>
    <x v="0"/>
    <m/>
    <m/>
    <m/>
    <m/>
  </r>
  <r>
    <d v="2023-10-27T00:00:00"/>
    <s v="Cumul frais de transport local du mois d'Octobre 2023/Evariste LELOUSSI"/>
    <x v="12"/>
    <s v="Media"/>
    <m/>
    <n v="51000"/>
    <n v="16539578"/>
    <x v="10"/>
    <s v="Décharge"/>
    <x v="3"/>
    <x v="2"/>
    <s v="CONGO"/>
    <m/>
    <s v="2.2"/>
    <m/>
  </r>
  <r>
    <d v="2023-10-27T00:00:00"/>
    <s v="Cumul frais de jails visits du mois d'Octobre 2023/Hurielle"/>
    <x v="20"/>
    <s v="Legal"/>
    <m/>
    <n v="29000"/>
    <n v="16510578"/>
    <x v="5"/>
    <s v="Décharge"/>
    <x v="2"/>
    <x v="1"/>
    <s v="CONGO"/>
    <m/>
    <m/>
    <m/>
  </r>
  <r>
    <d v="2023-10-27T00:00:00"/>
    <s v="Cumul frais de jails visits du mois d'Octobre 2023"/>
    <x v="20"/>
    <s v="Legal"/>
    <m/>
    <n v="26000"/>
    <n v="16484578"/>
    <x v="7"/>
    <s v="Decharge"/>
    <x v="2"/>
    <x v="1"/>
    <s v="CONGO"/>
    <m/>
    <m/>
    <m/>
  </r>
  <r>
    <d v="2023-10-27T00:00:00"/>
    <s v="Cumul frais de trust building du mois d'Octobre 2023/P29"/>
    <x v="1"/>
    <s v="Investingation"/>
    <m/>
    <n v="52500"/>
    <n v="16432078"/>
    <x v="11"/>
    <s v="Decharge"/>
    <x v="1"/>
    <x v="1"/>
    <s v="CONGO"/>
    <m/>
    <m/>
    <m/>
  </r>
  <r>
    <d v="2023-10-27T00:00:00"/>
    <s v="Cumul frais de trust building du mois d'Octobre 2023/T73"/>
    <x v="1"/>
    <s v="Investingation"/>
    <m/>
    <n v="16000"/>
    <n v="16416078"/>
    <x v="8"/>
    <s v="OUI"/>
    <x v="1"/>
    <x v="1"/>
    <s v="CONGO"/>
    <m/>
    <m/>
    <m/>
  </r>
  <r>
    <d v="2023-10-28T00:00:00"/>
    <s v="Achat billet Dolisie-Brazzalle/Donald-Roméo"/>
    <x v="10"/>
    <s v="Legal"/>
    <m/>
    <n v="10000"/>
    <n v="16406078"/>
    <x v="3"/>
    <s v="OUI"/>
    <x v="3"/>
    <x v="2"/>
    <s v="CONGO"/>
    <m/>
    <s v="2.2"/>
    <m/>
  </r>
  <r>
    <d v="2023-10-28T00:00:00"/>
    <s v="DONALD-ROMEO Frais d'hôtel du 25 au 28/10/2023 à  Dolisie/ 03 Nuitées"/>
    <x v="7"/>
    <s v="Legal"/>
    <m/>
    <n v="45000"/>
    <n v="16361078"/>
    <x v="3"/>
    <s v="OUI"/>
    <x v="3"/>
    <x v="2"/>
    <s v="CONGO"/>
    <m/>
    <s v="1.3.2"/>
    <m/>
  </r>
  <r>
    <d v="2023-10-28T00:00:00"/>
    <s v="Cumul frais de transport local du mois d'Octobre 2023/Donald-Roméo"/>
    <x v="10"/>
    <s v="Legal"/>
    <m/>
    <n v="42900"/>
    <n v="16318178"/>
    <x v="3"/>
    <s v="Décharge"/>
    <x v="3"/>
    <x v="2"/>
    <s v="CONGO"/>
    <m/>
    <s v="2.2"/>
    <m/>
  </r>
  <r>
    <d v="2023-10-28T00:00:00"/>
    <s v="Achat billet de retour Dolisie-Brazzaville/Hurielle"/>
    <x v="12"/>
    <s v="Legal"/>
    <m/>
    <n v="10000"/>
    <n v="16308178"/>
    <x v="5"/>
    <s v="OUI"/>
    <x v="3"/>
    <x v="2"/>
    <s v="CONGO"/>
    <m/>
    <s v="2.2"/>
    <m/>
  </r>
  <r>
    <d v="2023-10-28T00:00:00"/>
    <s v="HURIELLE MFOULOU - CONGO Frais d'Hôtel du 25 au 28/10/2023 à Dolisie/03 Nuitées"/>
    <x v="7"/>
    <s v="Legal"/>
    <m/>
    <n v="45000"/>
    <n v="16263178"/>
    <x v="5"/>
    <s v="OUI"/>
    <x v="3"/>
    <x v="2"/>
    <s v="CONGO"/>
    <m/>
    <s v="1.3.2"/>
    <m/>
  </r>
  <r>
    <d v="2023-10-28T00:00:00"/>
    <s v="Cumul frais de transport local du mois d'Octobre 2023/Hurielle"/>
    <x v="12"/>
    <s v="Legal"/>
    <m/>
    <n v="57300"/>
    <n v="16205878"/>
    <x v="5"/>
    <s v="Décharge"/>
    <x v="3"/>
    <x v="2"/>
    <s v="CONGO"/>
    <m/>
    <s v="2.2"/>
    <m/>
  </r>
  <r>
    <d v="2023-10-28T00:00:00"/>
    <s v="ORACLE TALOULOU - CONGO Frais d’hôtel du 25 au 28 Octobre 2023/03 Nuitées à sibiti"/>
    <x v="7"/>
    <s v="Legal"/>
    <m/>
    <n v="45000"/>
    <n v="16160878"/>
    <x v="7"/>
    <s v="OUI"/>
    <x v="3"/>
    <x v="2"/>
    <s v="CONGO"/>
    <m/>
    <s v="1.3.2"/>
    <m/>
  </r>
  <r>
    <d v="2023-10-28T00:00:00"/>
    <s v="Achat billet Sibiti - Nkayi/Oracle"/>
    <x v="12"/>
    <s v="Legal"/>
    <m/>
    <n v="5000"/>
    <n v="16155878"/>
    <x v="7"/>
    <s v="OUI"/>
    <x v="3"/>
    <x v="2"/>
    <s v="CONGO"/>
    <m/>
    <s v="2.2"/>
    <m/>
  </r>
  <r>
    <d v="2023-10-28T00:00:00"/>
    <s v="Achat billet Nkayi - Brazzaville/Oracle"/>
    <x v="12"/>
    <s v="Legal"/>
    <m/>
    <n v="6000"/>
    <n v="16149878"/>
    <x v="7"/>
    <s v="OUI"/>
    <x v="3"/>
    <x v="2"/>
    <s v="CONGO"/>
    <m/>
    <s v="2.2"/>
    <m/>
  </r>
  <r>
    <d v="2023-10-28T00:00:00"/>
    <s v="Cumul frais de transport local du mois d'Octobre 2023/Oracle TALOU"/>
    <x v="12"/>
    <s v="Legal"/>
    <m/>
    <n v="64700"/>
    <n v="16085178"/>
    <x v="7"/>
    <s v="Decharge"/>
    <x v="3"/>
    <x v="2"/>
    <s v="CONGO"/>
    <m/>
    <s v="2.2"/>
    <m/>
  </r>
  <r>
    <d v="2023-10-28T00:00:00"/>
    <s v="Achat billet dolisie-Brazzaville/P29"/>
    <x v="12"/>
    <s v="Investingation"/>
    <m/>
    <n v="7000"/>
    <n v="16078178"/>
    <x v="11"/>
    <s v="OUI"/>
    <x v="4"/>
    <x v="2"/>
    <s v="CONGO"/>
    <m/>
    <s v="2.2"/>
    <m/>
  </r>
  <r>
    <d v="2023-10-28T00:00:00"/>
    <s v="P29-CONGO Frais d'hotel du 26 au 28/10/2023 à Dolisie/02 Nuitées"/>
    <x v="7"/>
    <s v="Investingation"/>
    <m/>
    <n v="30000"/>
    <n v="16048178"/>
    <x v="11"/>
    <s v="OUI"/>
    <x v="4"/>
    <x v="2"/>
    <s v="CONGO"/>
    <m/>
    <s v="1.3.2"/>
    <m/>
  </r>
  <r>
    <d v="2023-10-28T00:00:00"/>
    <s v="Cumul frais de transport local du mois d'Octobre 2023/P29"/>
    <x v="12"/>
    <s v="Investingation"/>
    <m/>
    <n v="73200"/>
    <n v="15974978"/>
    <x v="11"/>
    <s v="Decharge"/>
    <x v="4"/>
    <x v="2"/>
    <s v="CONGO"/>
    <m/>
    <s v="2.2"/>
    <m/>
  </r>
  <r>
    <d v="2023-10-28T00:00:00"/>
    <s v="Achat billet : Loutété pour Brazzaville/T73"/>
    <x v="12"/>
    <s v="Investingation"/>
    <m/>
    <n v="6000"/>
    <n v="15968978"/>
    <x v="8"/>
    <s v="Décharge"/>
    <x v="4"/>
    <x v="2"/>
    <s v="CONGO"/>
    <m/>
    <s v="2.2"/>
    <m/>
  </r>
  <r>
    <d v="2023-10-28T00:00:00"/>
    <s v="T73 - CONGO Frais d'hotel du 26 au 28/10/2023 (02 nuitées ) à Loutété"/>
    <x v="7"/>
    <s v="Investingation"/>
    <m/>
    <n v="30000"/>
    <n v="15938978"/>
    <x v="8"/>
    <s v="OUI"/>
    <x v="4"/>
    <x v="2"/>
    <s v="CONGO"/>
    <m/>
    <s v="1.3.2"/>
    <m/>
  </r>
  <r>
    <d v="2023-10-28T00:00:00"/>
    <s v="Cumul frais de transport local du mois d'Octobre 2023/T73"/>
    <x v="12"/>
    <s v="Investingation"/>
    <m/>
    <n v="46000"/>
    <n v="15892978"/>
    <x v="8"/>
    <s v="Décharge"/>
    <x v="4"/>
    <x v="2"/>
    <s v="CONGO"/>
    <m/>
    <s v="2.2"/>
    <m/>
  </r>
  <r>
    <d v="2023-10-30T00:00:00"/>
    <s v="Règlement prestation technicienne de surface (mois de Septembre  2023)"/>
    <x v="14"/>
    <s v="Office"/>
    <m/>
    <n v="75625"/>
    <n v="15817353"/>
    <x v="1"/>
    <s v="OUI"/>
    <x v="2"/>
    <x v="1"/>
    <s v="CONGO"/>
    <m/>
    <m/>
    <m/>
  </r>
  <r>
    <d v="2023-10-31T00:00:00"/>
    <s v="Reglemeent Facture Internet (Canal Box_Periode du 31/10 au 01/12/ 2023)"/>
    <x v="21"/>
    <s v="Office"/>
    <m/>
    <n v="45050"/>
    <n v="15772303"/>
    <x v="1"/>
    <s v="OUI"/>
    <x v="3"/>
    <x v="2"/>
    <s v="CONGO"/>
    <m/>
    <s v="4.5"/>
    <m/>
  </r>
  <r>
    <d v="2023-10-31T00:00:00"/>
    <s v="Bonus opération du 10/10/2023 à Brazzaville/Donald-Roméo"/>
    <x v="2"/>
    <s v="Operation"/>
    <m/>
    <n v="25000"/>
    <n v="15747303"/>
    <x v="1"/>
    <s v="Decharge"/>
    <x v="2"/>
    <x v="1"/>
    <s v="CONGO"/>
    <m/>
    <m/>
    <m/>
  </r>
  <r>
    <d v="2023-10-31T00:00:00"/>
    <s v="Bonus opération du 10/10/2023 à Brazzaville/Evariste"/>
    <x v="2"/>
    <s v="Operation"/>
    <m/>
    <n v="25000"/>
    <n v="15722303"/>
    <x v="1"/>
    <s v="Decharge"/>
    <x v="2"/>
    <x v="1"/>
    <s v="CONGO"/>
    <m/>
    <m/>
    <m/>
  </r>
  <r>
    <d v="2023-10-31T00:00:00"/>
    <s v="Bonus opération du 10/10/2023 à Brazzaville/Oracle"/>
    <x v="2"/>
    <s v="Operation"/>
    <m/>
    <n v="25000"/>
    <n v="15697303"/>
    <x v="1"/>
    <s v="Decharge"/>
    <x v="2"/>
    <x v="1"/>
    <s v="CONGO"/>
    <m/>
    <m/>
    <m/>
  </r>
  <r>
    <d v="2023-10-31T00:00:00"/>
    <s v="Bonus opération du 10/10/2023 à Brazzaville/Crepin"/>
    <x v="2"/>
    <s v="Operation"/>
    <m/>
    <n v="35000"/>
    <n v="15662303"/>
    <x v="1"/>
    <s v="Decharge"/>
    <x v="2"/>
    <x v="1"/>
    <s v="CONGO"/>
    <m/>
    <m/>
    <m/>
  </r>
  <r>
    <d v="2023-10-31T00:00:00"/>
    <s v="Bonus opération du 10/10/2023 à Brazzaville/Hurielle"/>
    <x v="2"/>
    <s v="Operation"/>
    <m/>
    <n v="25000"/>
    <n v="15637303"/>
    <x v="1"/>
    <s v="Decharge"/>
    <x v="2"/>
    <x v="1"/>
    <s v="CONGO"/>
    <m/>
    <m/>
    <m/>
  </r>
  <r>
    <d v="2023-10-31T00:00:00"/>
    <s v="Bonus du mois d'octobre 2023/Hurielle"/>
    <x v="2"/>
    <s v="Legal"/>
    <m/>
    <n v="20000"/>
    <n v="15617303"/>
    <x v="1"/>
    <s v="Decharge"/>
    <x v="2"/>
    <x v="1"/>
    <s v="CONGO"/>
    <m/>
    <m/>
    <m/>
  </r>
  <r>
    <d v="2023-10-31T00:00:00"/>
    <s v="Bonus du mois d'octobre 2023/Oracle"/>
    <x v="2"/>
    <s v="Legal"/>
    <m/>
    <n v="20000"/>
    <n v="15597303"/>
    <x v="1"/>
    <s v="Decharge"/>
    <x v="2"/>
    <x v="1"/>
    <s v="CONGO"/>
    <m/>
    <m/>
    <m/>
  </r>
  <r>
    <d v="2023-10-31T00:00:00"/>
    <s v="Bonus du mois d'octobre 2023/Evariste"/>
    <x v="2"/>
    <s v="Media"/>
    <m/>
    <n v="10000"/>
    <n v="15587303"/>
    <x v="1"/>
    <s v="Decharge"/>
    <x v="2"/>
    <x v="1"/>
    <s v="CONGO"/>
    <m/>
    <m/>
    <m/>
  </r>
  <r>
    <d v="2023-10-31T00:00:00"/>
    <s v="Bonus du mois d'octobre 2023/Donald-Roméo"/>
    <x v="2"/>
    <s v="Legal"/>
    <m/>
    <n v="20000"/>
    <n v="15567303"/>
    <x v="1"/>
    <s v="Decharge"/>
    <x v="2"/>
    <x v="1"/>
    <s v="CONGO"/>
    <m/>
    <m/>
    <m/>
  </r>
  <r>
    <d v="2023-10-31T00:00:00"/>
    <s v="Bonus du mois d'octobre 2023/Merveille"/>
    <x v="2"/>
    <s v="Office"/>
    <m/>
    <n v="20000"/>
    <n v="15547303"/>
    <x v="1"/>
    <s v="Decharge"/>
    <x v="2"/>
    <x v="1"/>
    <s v="CONGO"/>
    <m/>
    <m/>
    <m/>
  </r>
  <r>
    <d v="2023-10-31T00:00:00"/>
    <s v="Bonus du mois d'octobre 2023/Crépin"/>
    <x v="2"/>
    <s v="Legal"/>
    <m/>
    <n v="50000"/>
    <n v="15497303"/>
    <x v="1"/>
    <s v="Decharge"/>
    <x v="2"/>
    <x v="1"/>
    <s v="CONGO"/>
    <m/>
    <m/>
    <m/>
  </r>
  <r>
    <d v="2023-10-31T00:00:00"/>
    <s v="Paiement salaire mois d'Octobre 2023/ Crépin IBOUILI IBOUILI/ CH N°3654578"/>
    <x v="9"/>
    <s v="Legal"/>
    <m/>
    <n v="359500"/>
    <n v="15137803"/>
    <x v="9"/>
    <n v="3654578"/>
    <x v="3"/>
    <x v="2"/>
    <s v="CONGO"/>
    <m/>
    <s v="1.1.1.7"/>
    <m/>
  </r>
  <r>
    <d v="2023-10-31T00:00:00"/>
    <s v="Paiement salaire mois d'Octobre 2023/MFOULOU Hurielle Gemmy/ CH N°3654580"/>
    <x v="9"/>
    <s v="Legal"/>
    <m/>
    <n v="200000"/>
    <n v="14937803"/>
    <x v="9"/>
    <n v="3654580"/>
    <x v="3"/>
    <x v="2"/>
    <s v="CONGO"/>
    <m/>
    <s v="1.1.1.7"/>
    <m/>
  </r>
  <r>
    <d v="2023-10-31T00:00:00"/>
    <s v="Paiement salaire mois d'Octobre 2023/PINDI BINGA Donald-Romé/ CH N°3654581"/>
    <x v="9"/>
    <s v="Legal"/>
    <m/>
    <n v="200000"/>
    <n v="14737803"/>
    <x v="9"/>
    <n v="3654581"/>
    <x v="3"/>
    <x v="2"/>
    <s v="CONGO"/>
    <m/>
    <s v="1.1.1.7"/>
    <m/>
  </r>
  <r>
    <d v="2023-10-31T00:00:00"/>
    <s v="Paiement salaire mois d'Octobre 2023/TALOULOU Oracle Ineffable/ CH N°3654582"/>
    <x v="9"/>
    <s v="Legal"/>
    <m/>
    <n v="200000"/>
    <n v="14537803"/>
    <x v="9"/>
    <n v="3654582"/>
    <x v="3"/>
    <x v="2"/>
    <s v="CONGO"/>
    <m/>
    <s v="1.1.1.7"/>
    <m/>
  </r>
  <r>
    <d v="2023-10-31T00:00:00"/>
    <s v="Paiement salaire mois d'Octobre 2023/MAHANGA Merveille/ CH N°3654583"/>
    <x v="9"/>
    <s v="Office"/>
    <m/>
    <n v="300000"/>
    <n v="14237803"/>
    <x v="9"/>
    <n v="3654583"/>
    <x v="3"/>
    <x v="2"/>
    <s v="CONGO"/>
    <m/>
    <s v="1.1.2.1"/>
    <m/>
  </r>
  <r>
    <d v="2023-10-31T00:00:00"/>
    <s v="Paiement salaire mois d'Octobre 2023/ Evariste LELOUSSI/ CH N°3654584"/>
    <x v="9"/>
    <s v="Media"/>
    <m/>
    <n v="235600"/>
    <n v="14002203"/>
    <x v="9"/>
    <n v="3654584"/>
    <x v="3"/>
    <x v="2"/>
    <s v="CONGO"/>
    <m/>
    <s v="1.1.1.4"/>
    <m/>
  </r>
  <r>
    <d v="2023-10-31T00:00:00"/>
    <s v="Paiement salaire mois d'Octobre 2023/ DOVI ZENNAWOE Homéfa/ CH N°3654585"/>
    <x v="9"/>
    <s v="Management"/>
    <m/>
    <n v="918340"/>
    <n v="13083863"/>
    <x v="9"/>
    <n v="3654585"/>
    <x v="3"/>
    <x v="2"/>
    <s v="CONGO"/>
    <m/>
    <s v="1.1.1.1"/>
    <m/>
  </r>
  <r>
    <d v="2023-10-31T00:00:00"/>
    <s v="Reglement Honoraire du mois d'Octobre 2023/T73/ch:3654586"/>
    <x v="9"/>
    <s v="Investingation"/>
    <m/>
    <n v="275000"/>
    <n v="12808863"/>
    <x v="9"/>
    <n v="3654586"/>
    <x v="4"/>
    <x v="2"/>
    <s v="CONGO"/>
    <m/>
    <s v="1.1.1.9"/>
    <m/>
  </r>
  <r>
    <d v="2023-10-31T00:00:00"/>
    <s v="Reglement Honoraire du mois d'Octobre 2023/P29/ch:3654587"/>
    <x v="9"/>
    <s v="Investingation"/>
    <m/>
    <n v="410000"/>
    <n v="12398863"/>
    <x v="9"/>
    <n v="3654587"/>
    <x v="4"/>
    <x v="2"/>
    <s v="CONGO"/>
    <m/>
    <s v="1.1.1.9"/>
    <m/>
  </r>
  <r>
    <d v="2023-10-31T00:00:00"/>
    <s v="Cumul frais de transport local du mois d'Octobre 2023/Crépin IBOUILI- IBOUILI"/>
    <x v="12"/>
    <s v="Management"/>
    <m/>
    <n v="15500"/>
    <n v="12383363"/>
    <x v="6"/>
    <s v="Décharge"/>
    <x v="3"/>
    <x v="2"/>
    <s v="CONGO"/>
    <m/>
    <s v="2.2"/>
    <m/>
  </r>
  <r>
    <d v="2023-10-31T00:00:00"/>
    <s v="Cumul frais de transport local du mois d'Octobre 2023/DOVI ZENNAWOE Homéfa"/>
    <x v="12"/>
    <s v="Management"/>
    <m/>
    <n v="45000"/>
    <n v="12338363"/>
    <x v="4"/>
    <s v="Décharge"/>
    <x v="3"/>
    <x v="2"/>
    <s v="CONGO"/>
    <m/>
    <s v="2.2"/>
    <m/>
  </r>
  <r>
    <d v="2023-10-31T00:00:00"/>
    <s v="Cumul frais de ration du mois d'Octobre 2023/IT87"/>
    <x v="7"/>
    <s v="Investingation"/>
    <m/>
    <n v="13000"/>
    <n v="12325363"/>
    <x v="12"/>
    <s v="Decharge"/>
    <x v="1"/>
    <x v="1"/>
    <s v="CONGO"/>
    <m/>
    <m/>
    <m/>
  </r>
  <r>
    <d v="2023-10-31T00:00:00"/>
    <s v="Cumul frais de transport local du mois d'Octobre 2023/IT87"/>
    <x v="12"/>
    <s v="Investingation"/>
    <m/>
    <n v="58200"/>
    <n v="12267163"/>
    <x v="12"/>
    <s v="Decharge"/>
    <x v="1"/>
    <x v="1"/>
    <s v="CONGO"/>
    <m/>
    <m/>
    <m/>
  </r>
  <r>
    <d v="2023-10-31T00:00:00"/>
    <s v="Cumul frais de transport local du mois d'Octobre 2023/Merveille"/>
    <x v="12"/>
    <s v="Office"/>
    <m/>
    <n v="41500"/>
    <n v="12225663"/>
    <x v="13"/>
    <s v="Decharge"/>
    <x v="3"/>
    <x v="2"/>
    <s v="CONGO"/>
    <m/>
    <s v="2.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3:AS19" firstHeaderRow="1" firstDataRow="3" firstDataCol="1"/>
  <pivotFields count="15">
    <pivotField showAll="0"/>
    <pivotField showAll="0"/>
    <pivotField axis="axisCol" showAll="0">
      <items count="24">
        <item x="8"/>
        <item x="2"/>
        <item x="11"/>
        <item x="16"/>
        <item x="21"/>
        <item x="20"/>
        <item x="15"/>
        <item x="6"/>
        <item x="9"/>
        <item x="17"/>
        <item x="14"/>
        <item x="4"/>
        <item x="5"/>
        <item x="12"/>
        <item x="10"/>
        <item m="1" x="22"/>
        <item x="7"/>
        <item x="1"/>
        <item x="3"/>
        <item x="13"/>
        <item x="0"/>
        <item x="18"/>
        <item x="19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5">
        <item x="9"/>
        <item x="2"/>
        <item x="1"/>
        <item x="6"/>
        <item x="3"/>
        <item x="4"/>
        <item x="10"/>
        <item x="5"/>
        <item x="12"/>
        <item x="13"/>
        <item x="7"/>
        <item x="11"/>
        <item x="8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2"/>
    <field x="-2"/>
  </colFields>
  <colItems count="4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1"/>
      <x/>
    </i>
    <i r="1" i="1">
      <x v="1"/>
    </i>
    <i>
      <x v="22"/>
      <x/>
    </i>
    <i r="1" i="1">
      <x v="1"/>
    </i>
    <i t="grand">
      <x/>
    </i>
    <i t="grand" i="1">
      <x/>
    </i>
  </colItems>
  <dataFields count="2">
    <dataField name="Sum of Spent" fld="5" baseField="7" baseItem="0"/>
    <dataField name="Sum of Received" fld="4" baseField="7" baseItem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4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F17" firstHeaderRow="1" firstDataRow="2" firstDataCol="1"/>
  <pivotFields count="15">
    <pivotField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Col" showAll="0">
      <items count="7">
        <item x="3"/>
        <item m="1" x="5"/>
        <item x="0"/>
        <item x="2"/>
        <item x="1"/>
        <item x="4"/>
        <item t="default"/>
      </items>
    </pivotField>
    <pivotField axis="axisRow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5">
    <i>
      <x/>
    </i>
    <i>
      <x v="3"/>
    </i>
    <i>
      <x v="4"/>
    </i>
    <i>
      <x v="5"/>
    </i>
    <i t="grand">
      <x/>
    </i>
  </colItems>
  <dataFields count="1"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8" firstHeaderRow="1" firstDataRow="1" firstDataCol="1"/>
  <pivotFields count="15">
    <pivotField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7">
        <item x="3"/>
        <item m="1" x="5"/>
        <item h="1" x="0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566"/>
  <sheetViews>
    <sheetView zoomScale="86" zoomScaleNormal="86" workbookViewId="0">
      <pane xSplit="1" topLeftCell="E1" activePane="topRight" state="frozen"/>
      <selection pane="topRight" activeCell="A9" sqref="A9:XFD9"/>
    </sheetView>
  </sheetViews>
  <sheetFormatPr baseColWidth="10" defaultColWidth="9.140625" defaultRowHeight="15"/>
  <cols>
    <col min="1" max="1" width="26.7109375" customWidth="1"/>
    <col min="2" max="2" width="23.42578125" customWidth="1"/>
    <col min="3" max="3" width="27.7109375" customWidth="1"/>
    <col min="4" max="4" width="25.5703125" customWidth="1"/>
    <col min="5" max="5" width="16" customWidth="1"/>
    <col min="6" max="6" width="17.7109375" customWidth="1"/>
    <col min="7" max="7" width="15.85546875" customWidth="1"/>
    <col min="8" max="8" width="15.7109375" customWidth="1"/>
    <col min="9" max="9" width="18.85546875" customWidth="1"/>
    <col min="10" max="10" width="17.28515625" customWidth="1"/>
    <col min="11" max="11" width="14.7109375" customWidth="1"/>
    <col min="12" max="12" width="15.28515625" customWidth="1"/>
    <col min="13" max="13" width="15.85546875" customWidth="1"/>
    <col min="14" max="14" width="12" customWidth="1"/>
    <col min="15" max="15" width="11.5703125" customWidth="1"/>
  </cols>
  <sheetData>
    <row r="3" spans="1:15" ht="15.75">
      <c r="A3" s="6" t="s">
        <v>36</v>
      </c>
      <c r="B3" s="6" t="s">
        <v>1</v>
      </c>
      <c r="C3" s="6">
        <v>45200</v>
      </c>
      <c r="D3" s="7" t="s">
        <v>37</v>
      </c>
      <c r="E3" s="7" t="s">
        <v>38</v>
      </c>
      <c r="F3" s="7" t="s">
        <v>39</v>
      </c>
      <c r="G3" s="7" t="s">
        <v>40</v>
      </c>
      <c r="H3" s="6">
        <v>45230</v>
      </c>
      <c r="I3" s="7" t="s">
        <v>41</v>
      </c>
      <c r="K3" s="45"/>
      <c r="L3" s="45" t="s">
        <v>42</v>
      </c>
      <c r="M3" s="45" t="s">
        <v>43</v>
      </c>
      <c r="N3" s="45" t="s">
        <v>44</v>
      </c>
      <c r="O3" s="45" t="s">
        <v>45</v>
      </c>
    </row>
    <row r="4" spans="1:15" ht="16.5">
      <c r="A4" s="58" t="str">
        <f>K4</f>
        <v>BCI</v>
      </c>
      <c r="B4" s="59" t="s">
        <v>46</v>
      </c>
      <c r="C4" s="61">
        <v>1128360</v>
      </c>
      <c r="D4" s="61">
        <f>+L4</f>
        <v>0</v>
      </c>
      <c r="E4" s="61">
        <f>+N4</f>
        <v>4131785</v>
      </c>
      <c r="F4" s="61">
        <f>+M4</f>
        <v>4000000</v>
      </c>
      <c r="G4" s="61">
        <f t="shared" ref="G4:G19" si="0">+O4</f>
        <v>17814165</v>
      </c>
      <c r="H4" s="61">
        <v>10810740</v>
      </c>
      <c r="I4" s="61">
        <f>+C4+D4-E4-F4+G4</f>
        <v>10810740</v>
      </c>
      <c r="J4" s="9">
        <f>I4-H4</f>
        <v>0</v>
      </c>
      <c r="K4" s="45" t="s">
        <v>24</v>
      </c>
      <c r="L4" s="178">
        <v>0</v>
      </c>
      <c r="M4" s="178">
        <v>4000000</v>
      </c>
      <c r="N4" s="178">
        <v>4131785</v>
      </c>
      <c r="O4" s="178">
        <v>17814165</v>
      </c>
    </row>
    <row r="5" spans="1:15" ht="16.5">
      <c r="A5" s="58" t="str">
        <f t="shared" ref="A5:A19" si="1">K5</f>
        <v>BCI-Sous Compte</v>
      </c>
      <c r="B5" s="59" t="s">
        <v>46</v>
      </c>
      <c r="C5" s="61">
        <v>2160340</v>
      </c>
      <c r="D5" s="61">
        <f>+L5</f>
        <v>0</v>
      </c>
      <c r="E5" s="61">
        <f t="shared" ref="E5:E10" si="2">+N5</f>
        <v>1062505</v>
      </c>
      <c r="F5" s="61">
        <f t="shared" ref="F5:F12" si="3">+M5</f>
        <v>1000000</v>
      </c>
      <c r="G5" s="61">
        <f t="shared" si="0"/>
        <v>0</v>
      </c>
      <c r="H5" s="61">
        <v>97835</v>
      </c>
      <c r="I5" s="61">
        <f t="shared" ref="I5:I10" si="4">+C5+D5-E5-F5+G5</f>
        <v>97835</v>
      </c>
      <c r="J5" s="9">
        <f t="shared" ref="J5:J19" si="5">I5-H5</f>
        <v>0</v>
      </c>
      <c r="K5" s="45" t="s">
        <v>148</v>
      </c>
      <c r="L5" s="178">
        <v>0</v>
      </c>
      <c r="M5" s="178">
        <v>1000000</v>
      </c>
      <c r="N5" s="178">
        <v>1062505</v>
      </c>
      <c r="O5" s="178">
        <v>0</v>
      </c>
    </row>
    <row r="6" spans="1:15" ht="16.5">
      <c r="A6" s="58" t="str">
        <f t="shared" si="1"/>
        <v>Caisse</v>
      </c>
      <c r="B6" s="59" t="s">
        <v>25</v>
      </c>
      <c r="C6" s="61">
        <v>334975</v>
      </c>
      <c r="D6" s="61">
        <f t="shared" ref="D6:D19" si="6">+L6</f>
        <v>5420000</v>
      </c>
      <c r="E6" s="61">
        <f t="shared" si="2"/>
        <v>2090545</v>
      </c>
      <c r="F6" s="61">
        <f t="shared" si="3"/>
        <v>3195500</v>
      </c>
      <c r="G6" s="61">
        <f t="shared" si="0"/>
        <v>0</v>
      </c>
      <c r="H6" s="61">
        <v>468930</v>
      </c>
      <c r="I6" s="61">
        <f t="shared" si="4"/>
        <v>468930</v>
      </c>
      <c r="J6" s="9">
        <f t="shared" si="5"/>
        <v>0</v>
      </c>
      <c r="K6" s="45" t="s">
        <v>25</v>
      </c>
      <c r="L6" s="178">
        <v>5420000</v>
      </c>
      <c r="M6" s="178">
        <v>3195500</v>
      </c>
      <c r="N6" s="178">
        <v>2090545</v>
      </c>
      <c r="O6" s="178">
        <v>0</v>
      </c>
    </row>
    <row r="7" spans="1:15" ht="16.5">
      <c r="A7" s="58" t="str">
        <f t="shared" si="1"/>
        <v>Crépin</v>
      </c>
      <c r="B7" s="59" t="s">
        <v>2</v>
      </c>
      <c r="C7" s="61">
        <v>223370</v>
      </c>
      <c r="D7" s="61">
        <f t="shared" si="6"/>
        <v>440000</v>
      </c>
      <c r="E7" s="61">
        <f t="shared" si="2"/>
        <v>488000</v>
      </c>
      <c r="F7" s="61">
        <f t="shared" si="3"/>
        <v>0</v>
      </c>
      <c r="G7" s="61">
        <f t="shared" si="0"/>
        <v>0</v>
      </c>
      <c r="H7" s="61">
        <v>175370</v>
      </c>
      <c r="I7" s="61">
        <f t="shared" si="4"/>
        <v>175370</v>
      </c>
      <c r="J7" s="9">
        <f t="shared" si="5"/>
        <v>0</v>
      </c>
      <c r="K7" s="45" t="s">
        <v>47</v>
      </c>
      <c r="L7" s="178">
        <v>440000</v>
      </c>
      <c r="M7" s="178">
        <v>0</v>
      </c>
      <c r="N7" s="178">
        <v>488000</v>
      </c>
      <c r="O7" s="178">
        <v>0</v>
      </c>
    </row>
    <row r="8" spans="1:15" ht="16.5">
      <c r="A8" s="58" t="str">
        <f t="shared" si="1"/>
        <v>Donald-Roméo</v>
      </c>
      <c r="B8" s="59" t="s">
        <v>154</v>
      </c>
      <c r="C8" s="61">
        <v>1605</v>
      </c>
      <c r="D8" s="61">
        <f t="shared" si="6"/>
        <v>278000</v>
      </c>
      <c r="E8" s="61">
        <f t="shared" si="2"/>
        <v>261900</v>
      </c>
      <c r="F8" s="61">
        <f t="shared" si="3"/>
        <v>0</v>
      </c>
      <c r="G8" s="61">
        <f t="shared" si="0"/>
        <v>0</v>
      </c>
      <c r="H8" s="61">
        <v>17705</v>
      </c>
      <c r="I8" s="61">
        <f t="shared" si="4"/>
        <v>17705</v>
      </c>
      <c r="J8" s="9">
        <f t="shared" si="5"/>
        <v>0</v>
      </c>
      <c r="K8" s="45" t="s">
        <v>297</v>
      </c>
      <c r="L8" s="178">
        <v>278000</v>
      </c>
      <c r="M8" s="178">
        <v>0</v>
      </c>
      <c r="N8" s="178">
        <v>261900</v>
      </c>
      <c r="O8" s="178">
        <v>0</v>
      </c>
    </row>
    <row r="9" spans="1:15" ht="16.5">
      <c r="A9" s="58" t="str">
        <f t="shared" si="1"/>
        <v>Dovi</v>
      </c>
      <c r="B9" s="59" t="s">
        <v>2</v>
      </c>
      <c r="C9" s="61">
        <v>58000</v>
      </c>
      <c r="D9" s="61">
        <f t="shared" si="6"/>
        <v>420000</v>
      </c>
      <c r="E9" s="61">
        <f t="shared" si="2"/>
        <v>45000</v>
      </c>
      <c r="F9" s="61">
        <f t="shared" si="3"/>
        <v>420000</v>
      </c>
      <c r="G9" s="61">
        <f t="shared" si="0"/>
        <v>0</v>
      </c>
      <c r="H9" s="61">
        <v>13000</v>
      </c>
      <c r="I9" s="61">
        <f t="shared" si="4"/>
        <v>13000</v>
      </c>
      <c r="J9" s="9">
        <f t="shared" si="5"/>
        <v>0</v>
      </c>
      <c r="K9" s="45" t="s">
        <v>305</v>
      </c>
      <c r="L9" s="178">
        <v>420000</v>
      </c>
      <c r="M9" s="178">
        <v>420000</v>
      </c>
      <c r="N9" s="178">
        <v>45000</v>
      </c>
      <c r="O9" s="178">
        <v>0</v>
      </c>
    </row>
    <row r="10" spans="1:15" ht="16.5">
      <c r="A10" s="58" t="str">
        <f t="shared" si="1"/>
        <v>Evariste</v>
      </c>
      <c r="B10" s="59" t="s">
        <v>155</v>
      </c>
      <c r="C10" s="61">
        <v>2475</v>
      </c>
      <c r="D10" s="61">
        <f t="shared" si="6"/>
        <v>110000</v>
      </c>
      <c r="E10" s="61">
        <f t="shared" si="2"/>
        <v>101000</v>
      </c>
      <c r="F10" s="61">
        <f t="shared" si="3"/>
        <v>0</v>
      </c>
      <c r="G10" s="61">
        <f t="shared" si="0"/>
        <v>0</v>
      </c>
      <c r="H10" s="61">
        <v>11475</v>
      </c>
      <c r="I10" s="61">
        <f t="shared" si="4"/>
        <v>11475</v>
      </c>
      <c r="J10" s="9">
        <f t="shared" si="5"/>
        <v>0</v>
      </c>
      <c r="K10" s="45" t="s">
        <v>31</v>
      </c>
      <c r="L10" s="178">
        <v>110000</v>
      </c>
      <c r="M10" s="178">
        <v>0</v>
      </c>
      <c r="N10" s="178">
        <v>101000</v>
      </c>
      <c r="O10" s="178">
        <v>0</v>
      </c>
    </row>
    <row r="11" spans="1:15" ht="16.5">
      <c r="A11" s="58" t="str">
        <f t="shared" si="1"/>
        <v>I55S</v>
      </c>
      <c r="B11" s="115" t="s">
        <v>4</v>
      </c>
      <c r="C11" s="117">
        <v>233614</v>
      </c>
      <c r="D11" s="117">
        <f t="shared" si="6"/>
        <v>0</v>
      </c>
      <c r="E11" s="117">
        <f>+N11</f>
        <v>0</v>
      </c>
      <c r="F11" s="117">
        <f t="shared" si="3"/>
        <v>0</v>
      </c>
      <c r="G11" s="117">
        <f t="shared" si="0"/>
        <v>0</v>
      </c>
      <c r="H11" s="117">
        <v>233614</v>
      </c>
      <c r="I11" s="117">
        <f>+C11+D11-E11-F11+G11</f>
        <v>233614</v>
      </c>
      <c r="J11" s="9">
        <f t="shared" si="5"/>
        <v>0</v>
      </c>
      <c r="K11" s="45" t="s">
        <v>84</v>
      </c>
      <c r="L11" s="178">
        <v>0</v>
      </c>
      <c r="M11" s="178">
        <v>0</v>
      </c>
      <c r="N11" s="178">
        <v>0</v>
      </c>
      <c r="O11" s="178">
        <v>0</v>
      </c>
    </row>
    <row r="12" spans="1:15" ht="16.5">
      <c r="A12" s="58" t="str">
        <f t="shared" si="1"/>
        <v>I73X</v>
      </c>
      <c r="B12" s="115" t="s">
        <v>4</v>
      </c>
      <c r="C12" s="117">
        <v>249769</v>
      </c>
      <c r="D12" s="117">
        <f t="shared" si="6"/>
        <v>0</v>
      </c>
      <c r="E12" s="117">
        <f>+N12</f>
        <v>0</v>
      </c>
      <c r="F12" s="117">
        <f t="shared" si="3"/>
        <v>0</v>
      </c>
      <c r="G12" s="117">
        <f t="shared" si="0"/>
        <v>0</v>
      </c>
      <c r="H12" s="117">
        <v>249769</v>
      </c>
      <c r="I12" s="117">
        <f t="shared" ref="I12:I19" si="7">+C12+D12-E12-F12+G12</f>
        <v>249769</v>
      </c>
      <c r="J12" s="9">
        <f t="shared" si="5"/>
        <v>0</v>
      </c>
      <c r="K12" s="45" t="s">
        <v>83</v>
      </c>
      <c r="L12" s="178">
        <v>0</v>
      </c>
      <c r="M12" s="178">
        <v>0</v>
      </c>
      <c r="N12" s="178">
        <v>0</v>
      </c>
      <c r="O12" s="178">
        <v>0</v>
      </c>
    </row>
    <row r="13" spans="1:15" ht="16.5">
      <c r="A13" s="58" t="str">
        <f t="shared" si="1"/>
        <v>Grace</v>
      </c>
      <c r="B13" s="59" t="s">
        <v>2</v>
      </c>
      <c r="C13" s="181">
        <v>0</v>
      </c>
      <c r="D13" s="61">
        <f t="shared" si="6"/>
        <v>0</v>
      </c>
      <c r="E13" s="61">
        <f t="shared" ref="E13:E19" si="8">+N13</f>
        <v>0</v>
      </c>
      <c r="F13" s="61">
        <f>+M13</f>
        <v>0</v>
      </c>
      <c r="G13" s="61">
        <f t="shared" si="0"/>
        <v>0</v>
      </c>
      <c r="H13" s="181">
        <v>0</v>
      </c>
      <c r="I13" s="181">
        <f t="shared" si="7"/>
        <v>0</v>
      </c>
      <c r="J13" s="9">
        <f t="shared" si="5"/>
        <v>0</v>
      </c>
      <c r="K13" s="183" t="s">
        <v>143</v>
      </c>
      <c r="L13" s="178">
        <v>0</v>
      </c>
      <c r="M13" s="178">
        <v>0</v>
      </c>
      <c r="N13" s="178">
        <v>0</v>
      </c>
      <c r="O13" s="178">
        <v>0</v>
      </c>
    </row>
    <row r="14" spans="1:15" ht="16.5">
      <c r="A14" s="58" t="str">
        <f t="shared" si="1"/>
        <v>Hurielle</v>
      </c>
      <c r="B14" s="97" t="s">
        <v>154</v>
      </c>
      <c r="C14" s="61">
        <v>26700</v>
      </c>
      <c r="D14" s="61">
        <f t="shared" si="6"/>
        <v>306000</v>
      </c>
      <c r="E14" s="61">
        <f t="shared" si="8"/>
        <v>319500</v>
      </c>
      <c r="F14" s="61">
        <f t="shared" ref="F14:F19" si="9">+M14</f>
        <v>0</v>
      </c>
      <c r="G14" s="61">
        <f t="shared" si="0"/>
        <v>0</v>
      </c>
      <c r="H14" s="181">
        <v>13200</v>
      </c>
      <c r="I14" s="181">
        <f t="shared" si="7"/>
        <v>13200</v>
      </c>
      <c r="J14" s="9">
        <f t="shared" si="5"/>
        <v>0</v>
      </c>
      <c r="K14" s="45" t="s">
        <v>197</v>
      </c>
      <c r="L14" s="178">
        <v>306000</v>
      </c>
      <c r="M14" s="178">
        <v>0</v>
      </c>
      <c r="N14" s="178">
        <v>319500</v>
      </c>
      <c r="O14" s="178">
        <v>0</v>
      </c>
    </row>
    <row r="15" spans="1:15" ht="16.5">
      <c r="A15" s="58" t="str">
        <f t="shared" si="1"/>
        <v>IT87</v>
      </c>
      <c r="B15" s="59" t="s">
        <v>4</v>
      </c>
      <c r="C15" s="181">
        <v>26400</v>
      </c>
      <c r="D15" s="61">
        <f t="shared" si="6"/>
        <v>252000</v>
      </c>
      <c r="E15" s="61">
        <f t="shared" si="8"/>
        <v>264200</v>
      </c>
      <c r="F15" s="61">
        <f t="shared" si="9"/>
        <v>0</v>
      </c>
      <c r="G15" s="61">
        <f t="shared" si="0"/>
        <v>0</v>
      </c>
      <c r="H15" s="181">
        <v>14200</v>
      </c>
      <c r="I15" s="181">
        <f t="shared" si="7"/>
        <v>14200</v>
      </c>
      <c r="J15" s="9">
        <f t="shared" si="5"/>
        <v>0</v>
      </c>
      <c r="K15" s="183" t="s">
        <v>312</v>
      </c>
      <c r="L15" s="178">
        <v>252000</v>
      </c>
      <c r="M15" s="178">
        <v>0</v>
      </c>
      <c r="N15" s="178">
        <v>264200</v>
      </c>
      <c r="O15" s="178">
        <v>0</v>
      </c>
    </row>
    <row r="16" spans="1:15" ht="16.5">
      <c r="A16" s="58" t="str">
        <f t="shared" si="1"/>
        <v>Merveille</v>
      </c>
      <c r="B16" s="97" t="s">
        <v>320</v>
      </c>
      <c r="C16" s="61">
        <v>12400</v>
      </c>
      <c r="D16" s="61">
        <f t="shared" si="6"/>
        <v>30000</v>
      </c>
      <c r="E16" s="61">
        <f t="shared" si="8"/>
        <v>41500</v>
      </c>
      <c r="F16" s="61">
        <f t="shared" si="9"/>
        <v>0</v>
      </c>
      <c r="G16" s="61">
        <f t="shared" si="0"/>
        <v>0</v>
      </c>
      <c r="H16" s="181">
        <v>900</v>
      </c>
      <c r="I16" s="181">
        <f t="shared" si="7"/>
        <v>900</v>
      </c>
      <c r="J16" s="9">
        <f t="shared" si="5"/>
        <v>0</v>
      </c>
      <c r="K16" s="45" t="s">
        <v>93</v>
      </c>
      <c r="L16" s="178">
        <v>30000</v>
      </c>
      <c r="M16" s="178">
        <v>0</v>
      </c>
      <c r="N16" s="178">
        <v>41500</v>
      </c>
      <c r="O16" s="178">
        <v>0</v>
      </c>
    </row>
    <row r="17" spans="1:15" ht="16.5">
      <c r="A17" s="58" t="str">
        <f t="shared" si="1"/>
        <v>Oracle</v>
      </c>
      <c r="B17" s="97" t="s">
        <v>154</v>
      </c>
      <c r="C17" s="61">
        <v>36825</v>
      </c>
      <c r="D17" s="61">
        <f t="shared" si="6"/>
        <v>304000</v>
      </c>
      <c r="E17" s="61">
        <f t="shared" si="8"/>
        <v>326100</v>
      </c>
      <c r="F17" s="61">
        <f t="shared" si="9"/>
        <v>0</v>
      </c>
      <c r="G17" s="61">
        <f t="shared" si="0"/>
        <v>0</v>
      </c>
      <c r="H17" s="181">
        <v>14725</v>
      </c>
      <c r="I17" s="181">
        <f t="shared" si="7"/>
        <v>14725</v>
      </c>
      <c r="J17" s="9">
        <f t="shared" si="5"/>
        <v>0</v>
      </c>
      <c r="K17" s="45" t="s">
        <v>298</v>
      </c>
      <c r="L17" s="178">
        <v>304000</v>
      </c>
      <c r="M17" s="178">
        <v>0</v>
      </c>
      <c r="N17" s="178">
        <v>326100</v>
      </c>
      <c r="O17" s="178">
        <v>0</v>
      </c>
    </row>
    <row r="18" spans="1:15" ht="16.5">
      <c r="A18" s="58" t="str">
        <f t="shared" si="1"/>
        <v>P29</v>
      </c>
      <c r="B18" s="59" t="s">
        <v>4</v>
      </c>
      <c r="C18" s="61">
        <v>86900</v>
      </c>
      <c r="D18" s="61">
        <f t="shared" si="6"/>
        <v>944000</v>
      </c>
      <c r="E18" s="61">
        <f t="shared" si="8"/>
        <v>699700</v>
      </c>
      <c r="F18" s="61">
        <f t="shared" si="9"/>
        <v>290000</v>
      </c>
      <c r="G18" s="61">
        <f t="shared" si="0"/>
        <v>0</v>
      </c>
      <c r="H18" s="181">
        <v>41200</v>
      </c>
      <c r="I18" s="181">
        <f t="shared" si="7"/>
        <v>41200</v>
      </c>
      <c r="J18" s="9">
        <f t="shared" si="5"/>
        <v>0</v>
      </c>
      <c r="K18" s="45" t="s">
        <v>29</v>
      </c>
      <c r="L18" s="178">
        <v>944000</v>
      </c>
      <c r="M18" s="178">
        <v>290000</v>
      </c>
      <c r="N18" s="178">
        <v>699700</v>
      </c>
      <c r="O18" s="178">
        <v>0</v>
      </c>
    </row>
    <row r="19" spans="1:15" ht="16.5">
      <c r="A19" s="58" t="str">
        <f t="shared" si="1"/>
        <v>T73</v>
      </c>
      <c r="B19" s="59" t="s">
        <v>4</v>
      </c>
      <c r="C19" s="61">
        <v>43500</v>
      </c>
      <c r="D19" s="61">
        <f t="shared" si="6"/>
        <v>401500</v>
      </c>
      <c r="E19" s="61">
        <f t="shared" si="8"/>
        <v>382000</v>
      </c>
      <c r="F19" s="61">
        <f t="shared" si="9"/>
        <v>0</v>
      </c>
      <c r="G19" s="61">
        <f t="shared" si="0"/>
        <v>0</v>
      </c>
      <c r="H19" s="181">
        <v>63000</v>
      </c>
      <c r="I19" s="181">
        <f t="shared" si="7"/>
        <v>63000</v>
      </c>
      <c r="J19" s="9">
        <f t="shared" si="5"/>
        <v>0</v>
      </c>
      <c r="K19" s="45" t="s">
        <v>268</v>
      </c>
      <c r="L19" s="178">
        <v>401500</v>
      </c>
      <c r="M19" s="178">
        <v>0</v>
      </c>
      <c r="N19" s="178">
        <v>382000</v>
      </c>
      <c r="O19" s="178">
        <v>0</v>
      </c>
    </row>
    <row r="20" spans="1:15" ht="16.5">
      <c r="A20" s="10" t="s">
        <v>50</v>
      </c>
      <c r="B20" s="11"/>
      <c r="C20" s="12">
        <f t="shared" ref="C20:I20" si="10">SUM(C4:C19)</f>
        <v>4625233</v>
      </c>
      <c r="D20" s="57">
        <f t="shared" si="10"/>
        <v>8905500</v>
      </c>
      <c r="E20" s="57">
        <f t="shared" si="10"/>
        <v>10213735</v>
      </c>
      <c r="F20" s="57">
        <f t="shared" si="10"/>
        <v>8905500</v>
      </c>
      <c r="G20" s="57">
        <f t="shared" si="10"/>
        <v>17814165</v>
      </c>
      <c r="H20" s="57">
        <f t="shared" si="10"/>
        <v>12225663</v>
      </c>
      <c r="I20" s="57">
        <f t="shared" si="10"/>
        <v>12225663</v>
      </c>
      <c r="J20" s="9"/>
      <c r="K20" s="3"/>
      <c r="L20" s="47">
        <f>+SUM(L4:L19)</f>
        <v>8905500</v>
      </c>
      <c r="M20" s="47">
        <f>+SUM(M4:M19)</f>
        <v>8905500</v>
      </c>
      <c r="N20" s="47">
        <f>+SUM(N4:N19)</f>
        <v>10213735</v>
      </c>
      <c r="O20" s="47">
        <f>+SUM(O4:O19)</f>
        <v>17814165</v>
      </c>
    </row>
    <row r="21" spans="1:15" ht="16.5">
      <c r="A21" s="10"/>
      <c r="B21" s="11"/>
      <c r="C21" s="12"/>
      <c r="D21" s="13"/>
      <c r="E21" s="12"/>
      <c r="F21" s="13"/>
      <c r="G21" s="12"/>
      <c r="H21" s="12"/>
      <c r="I21" s="13" t="b">
        <f>I20=D23</f>
        <v>1</v>
      </c>
      <c r="J21" s="9"/>
      <c r="L21" s="5"/>
      <c r="M21" s="5"/>
      <c r="N21" s="5"/>
      <c r="O21" s="5"/>
    </row>
    <row r="22" spans="1:15" ht="16.5">
      <c r="A22" s="10" t="s">
        <v>354</v>
      </c>
      <c r="B22" s="11" t="s">
        <v>248</v>
      </c>
      <c r="C22" s="12" t="s">
        <v>249</v>
      </c>
      <c r="D22" s="12" t="s">
        <v>355</v>
      </c>
      <c r="E22" s="12" t="s">
        <v>51</v>
      </c>
      <c r="F22" s="12"/>
      <c r="G22" s="12">
        <f>+D20-F20</f>
        <v>0</v>
      </c>
      <c r="H22" s="12"/>
      <c r="I22" s="207"/>
    </row>
    <row r="23" spans="1:15" ht="16.5">
      <c r="A23" s="14">
        <f>C20</f>
        <v>4625233</v>
      </c>
      <c r="B23" s="15">
        <f>G20</f>
        <v>17814165</v>
      </c>
      <c r="C23" s="12">
        <f>E20</f>
        <v>10213735</v>
      </c>
      <c r="D23" s="12">
        <f>A23+B23-C23</f>
        <v>12225663</v>
      </c>
      <c r="E23" s="13">
        <f>I20-D23</f>
        <v>0</v>
      </c>
      <c r="F23" s="12"/>
      <c r="G23" s="12"/>
      <c r="H23" s="12"/>
      <c r="I23" s="12"/>
    </row>
    <row r="24" spans="1:15" ht="16.5">
      <c r="A24" s="14"/>
      <c r="B24" s="15"/>
      <c r="C24" s="12"/>
      <c r="D24" s="12"/>
      <c r="E24" s="13"/>
      <c r="F24" s="12"/>
      <c r="G24" s="12"/>
      <c r="H24" s="12"/>
      <c r="I24" s="12"/>
    </row>
    <row r="25" spans="1:15">
      <c r="A25" s="16" t="s">
        <v>52</v>
      </c>
      <c r="B25" s="16"/>
      <c r="C25" s="16"/>
      <c r="D25" s="17"/>
      <c r="E25" s="17"/>
      <c r="F25" s="17"/>
      <c r="G25" s="17"/>
      <c r="H25" s="17"/>
      <c r="I25" s="17"/>
    </row>
    <row r="26" spans="1:15">
      <c r="A26" s="18" t="s">
        <v>356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5">
      <c r="A27" s="19"/>
      <c r="B27" s="17"/>
      <c r="C27" s="20"/>
      <c r="D27" s="20"/>
      <c r="E27" s="20"/>
      <c r="F27" s="20"/>
      <c r="G27" s="20"/>
      <c r="H27" s="17"/>
      <c r="I27" s="17"/>
    </row>
    <row r="28" spans="1:15">
      <c r="A28" s="166" t="s">
        <v>53</v>
      </c>
      <c r="B28" s="168" t="s">
        <v>54</v>
      </c>
      <c r="C28" s="170" t="s">
        <v>357</v>
      </c>
      <c r="D28" s="171" t="s">
        <v>55</v>
      </c>
      <c r="E28" s="172"/>
      <c r="F28" s="172"/>
      <c r="G28" s="173"/>
      <c r="H28" s="174" t="s">
        <v>56</v>
      </c>
      <c r="I28" s="162" t="s">
        <v>57</v>
      </c>
      <c r="J28" s="205"/>
    </row>
    <row r="29" spans="1:15" ht="25.5">
      <c r="A29" s="167"/>
      <c r="B29" s="169"/>
      <c r="C29" s="22"/>
      <c r="D29" s="21" t="s">
        <v>24</v>
      </c>
      <c r="E29" s="21" t="s">
        <v>25</v>
      </c>
      <c r="F29" s="22" t="s">
        <v>123</v>
      </c>
      <c r="G29" s="21" t="s">
        <v>58</v>
      </c>
      <c r="H29" s="175"/>
      <c r="I29" s="163"/>
      <c r="J29" s="165" t="s">
        <v>358</v>
      </c>
      <c r="K29" s="142"/>
    </row>
    <row r="30" spans="1:15">
      <c r="A30" s="23"/>
      <c r="B30" s="24" t="s">
        <v>59</v>
      </c>
      <c r="C30" s="25"/>
      <c r="D30" s="25"/>
      <c r="E30" s="25"/>
      <c r="F30" s="25"/>
      <c r="G30" s="25"/>
      <c r="H30" s="25"/>
      <c r="I30" s="26"/>
      <c r="J30" s="165"/>
      <c r="K30" s="142"/>
    </row>
    <row r="31" spans="1:15">
      <c r="A31" s="121" t="s">
        <v>90</v>
      </c>
      <c r="B31" s="126" t="str">
        <f t="shared" ref="B31:B43" si="11">A7</f>
        <v>Crépin</v>
      </c>
      <c r="C31" s="32">
        <f t="shared" ref="C31:C43" si="12">+C7</f>
        <v>223370</v>
      </c>
      <c r="D31" s="31"/>
      <c r="E31" s="32">
        <f>+D7</f>
        <v>440000</v>
      </c>
      <c r="F31" s="32"/>
      <c r="G31" s="32"/>
      <c r="H31" s="55">
        <f t="shared" ref="H31:H43" si="13">+F7</f>
        <v>0</v>
      </c>
      <c r="I31" s="32">
        <f t="shared" ref="I31:I43" si="14">+E7</f>
        <v>488000</v>
      </c>
      <c r="J31" s="30">
        <f t="shared" ref="J31:J32" si="15">+SUM(C31:G31)-(H31+I31)</f>
        <v>175370</v>
      </c>
      <c r="K31" s="143" t="b">
        <f t="shared" ref="K31:K43" si="16">J31=I7</f>
        <v>1</v>
      </c>
    </row>
    <row r="32" spans="1:15">
      <c r="A32" s="121" t="str">
        <f>+A31</f>
        <v>OCTOBRE</v>
      </c>
      <c r="B32" s="126" t="str">
        <f t="shared" si="11"/>
        <v>Donald-Roméo</v>
      </c>
      <c r="C32" s="32">
        <f t="shared" si="12"/>
        <v>1605</v>
      </c>
      <c r="D32" s="31"/>
      <c r="E32" s="32">
        <f t="shared" ref="E32:E34" si="17">+D8</f>
        <v>278000</v>
      </c>
      <c r="F32" s="32"/>
      <c r="G32" s="32"/>
      <c r="H32" s="55">
        <f t="shared" si="13"/>
        <v>0</v>
      </c>
      <c r="I32" s="32">
        <f t="shared" si="14"/>
        <v>261900</v>
      </c>
      <c r="J32" s="30">
        <f t="shared" si="15"/>
        <v>17705</v>
      </c>
      <c r="K32" s="143" t="b">
        <f t="shared" si="16"/>
        <v>1</v>
      </c>
    </row>
    <row r="33" spans="1:11">
      <c r="A33" s="121" t="str">
        <f t="shared" ref="A33:A43" si="18">+A32</f>
        <v>OCTOBRE</v>
      </c>
      <c r="B33" s="126" t="str">
        <f t="shared" si="11"/>
        <v>Dovi</v>
      </c>
      <c r="C33" s="32">
        <f t="shared" si="12"/>
        <v>58000</v>
      </c>
      <c r="D33" s="31"/>
      <c r="E33" s="32">
        <f t="shared" si="17"/>
        <v>420000</v>
      </c>
      <c r="F33" s="32"/>
      <c r="G33" s="32"/>
      <c r="H33" s="55">
        <f t="shared" si="13"/>
        <v>420000</v>
      </c>
      <c r="I33" s="32">
        <f t="shared" si="14"/>
        <v>45000</v>
      </c>
      <c r="J33" s="30">
        <f t="shared" ref="J33" si="19">+SUM(C33:G33)-(H33+I33)</f>
        <v>13000</v>
      </c>
      <c r="K33" s="143" t="b">
        <f t="shared" si="16"/>
        <v>1</v>
      </c>
    </row>
    <row r="34" spans="1:11">
      <c r="A34" s="121" t="str">
        <f t="shared" si="18"/>
        <v>OCTOBRE</v>
      </c>
      <c r="B34" s="126" t="str">
        <f t="shared" si="11"/>
        <v>Evariste</v>
      </c>
      <c r="C34" s="32">
        <f t="shared" si="12"/>
        <v>2475</v>
      </c>
      <c r="D34" s="31"/>
      <c r="E34" s="32">
        <f t="shared" si="17"/>
        <v>110000</v>
      </c>
      <c r="F34" s="32"/>
      <c r="G34" s="32"/>
      <c r="H34" s="55">
        <f t="shared" si="13"/>
        <v>0</v>
      </c>
      <c r="I34" s="32">
        <f t="shared" si="14"/>
        <v>101000</v>
      </c>
      <c r="J34" s="30">
        <f t="shared" ref="J34" si="20">+SUM(C34:G34)-(H34+I34)</f>
        <v>11475</v>
      </c>
      <c r="K34" s="143" t="b">
        <f t="shared" si="16"/>
        <v>1</v>
      </c>
    </row>
    <row r="35" spans="1:11">
      <c r="A35" s="121" t="str">
        <f t="shared" si="18"/>
        <v>OCTOBRE</v>
      </c>
      <c r="B35" s="128" t="str">
        <f t="shared" si="11"/>
        <v>I55S</v>
      </c>
      <c r="C35" s="119">
        <f t="shared" si="12"/>
        <v>233614</v>
      </c>
      <c r="D35" s="122"/>
      <c r="E35" s="119">
        <f>+D11</f>
        <v>0</v>
      </c>
      <c r="F35" s="136"/>
      <c r="G35" s="136"/>
      <c r="H35" s="154">
        <f t="shared" si="13"/>
        <v>0</v>
      </c>
      <c r="I35" s="119">
        <f t="shared" si="14"/>
        <v>0</v>
      </c>
      <c r="J35" s="120">
        <f>+SUM(C35:G35)-(H35+I35)</f>
        <v>233614</v>
      </c>
      <c r="K35" s="143" t="b">
        <f t="shared" si="16"/>
        <v>1</v>
      </c>
    </row>
    <row r="36" spans="1:11">
      <c r="A36" s="121" t="str">
        <f t="shared" si="18"/>
        <v>OCTOBRE</v>
      </c>
      <c r="B36" s="128" t="str">
        <f t="shared" si="11"/>
        <v>I73X</v>
      </c>
      <c r="C36" s="119">
        <f t="shared" si="12"/>
        <v>249769</v>
      </c>
      <c r="D36" s="122"/>
      <c r="E36" s="119">
        <f>+D12</f>
        <v>0</v>
      </c>
      <c r="F36" s="136"/>
      <c r="G36" s="136"/>
      <c r="H36" s="154">
        <f t="shared" si="13"/>
        <v>0</v>
      </c>
      <c r="I36" s="119">
        <f t="shared" si="14"/>
        <v>0</v>
      </c>
      <c r="J36" s="120">
        <f t="shared" ref="J36:J43" si="21">+SUM(C36:G36)-(H36+I36)</f>
        <v>249769</v>
      </c>
      <c r="K36" s="143" t="b">
        <f t="shared" si="16"/>
        <v>1</v>
      </c>
    </row>
    <row r="37" spans="1:11">
      <c r="A37" s="121" t="str">
        <f t="shared" si="18"/>
        <v>OCTOBRE</v>
      </c>
      <c r="B37" s="126" t="str">
        <f t="shared" si="11"/>
        <v>Grace</v>
      </c>
      <c r="C37" s="32">
        <f t="shared" si="12"/>
        <v>0</v>
      </c>
      <c r="D37" s="31"/>
      <c r="E37" s="32">
        <f>+D13</f>
        <v>0</v>
      </c>
      <c r="F37" s="32"/>
      <c r="G37" s="103"/>
      <c r="H37" s="55">
        <f t="shared" si="13"/>
        <v>0</v>
      </c>
      <c r="I37" s="32">
        <f t="shared" si="14"/>
        <v>0</v>
      </c>
      <c r="J37" s="30">
        <f t="shared" si="21"/>
        <v>0</v>
      </c>
      <c r="K37" s="143" t="b">
        <f t="shared" si="16"/>
        <v>1</v>
      </c>
    </row>
    <row r="38" spans="1:11">
      <c r="A38" s="121" t="str">
        <f t="shared" si="18"/>
        <v>OCTOBRE</v>
      </c>
      <c r="B38" s="126" t="str">
        <f t="shared" si="11"/>
        <v>Hurielle</v>
      </c>
      <c r="C38" s="32">
        <f t="shared" si="12"/>
        <v>26700</v>
      </c>
      <c r="D38" s="31"/>
      <c r="E38" s="32">
        <f t="shared" ref="E38:E43" si="22">+D14</f>
        <v>306000</v>
      </c>
      <c r="F38" s="32"/>
      <c r="G38" s="103"/>
      <c r="H38" s="55">
        <f t="shared" si="13"/>
        <v>0</v>
      </c>
      <c r="I38" s="32">
        <f t="shared" si="14"/>
        <v>319500</v>
      </c>
      <c r="J38" s="30">
        <f t="shared" si="21"/>
        <v>13200</v>
      </c>
      <c r="K38" s="143" t="b">
        <f t="shared" si="16"/>
        <v>1</v>
      </c>
    </row>
    <row r="39" spans="1:11">
      <c r="A39" s="121" t="str">
        <f t="shared" si="18"/>
        <v>OCTOBRE</v>
      </c>
      <c r="B39" s="126" t="str">
        <f t="shared" si="11"/>
        <v>IT87</v>
      </c>
      <c r="C39" s="32">
        <f t="shared" si="12"/>
        <v>26400</v>
      </c>
      <c r="D39" s="31"/>
      <c r="E39" s="32">
        <f t="shared" si="22"/>
        <v>252000</v>
      </c>
      <c r="F39" s="32"/>
      <c r="G39" s="103"/>
      <c r="H39" s="55">
        <f t="shared" si="13"/>
        <v>0</v>
      </c>
      <c r="I39" s="32">
        <f t="shared" si="14"/>
        <v>264200</v>
      </c>
      <c r="J39" s="30">
        <f t="shared" si="21"/>
        <v>14200</v>
      </c>
      <c r="K39" s="143" t="b">
        <f t="shared" si="16"/>
        <v>1</v>
      </c>
    </row>
    <row r="40" spans="1:11">
      <c r="A40" s="121" t="str">
        <f t="shared" si="18"/>
        <v>OCTOBRE</v>
      </c>
      <c r="B40" s="126" t="str">
        <f t="shared" si="11"/>
        <v>Merveille</v>
      </c>
      <c r="C40" s="32">
        <f t="shared" si="12"/>
        <v>12400</v>
      </c>
      <c r="D40" s="31"/>
      <c r="E40" s="32">
        <f t="shared" si="22"/>
        <v>30000</v>
      </c>
      <c r="F40" s="32"/>
      <c r="G40" s="103"/>
      <c r="H40" s="55">
        <f t="shared" si="13"/>
        <v>0</v>
      </c>
      <c r="I40" s="32">
        <f t="shared" si="14"/>
        <v>41500</v>
      </c>
      <c r="J40" s="30">
        <f t="shared" si="21"/>
        <v>900</v>
      </c>
      <c r="K40" s="143" t="b">
        <f t="shared" si="16"/>
        <v>1</v>
      </c>
    </row>
    <row r="41" spans="1:11">
      <c r="A41" s="121" t="str">
        <f t="shared" si="18"/>
        <v>OCTOBRE</v>
      </c>
      <c r="B41" s="126" t="str">
        <f t="shared" si="11"/>
        <v>Oracle</v>
      </c>
      <c r="C41" s="32">
        <f t="shared" si="12"/>
        <v>36825</v>
      </c>
      <c r="D41" s="31"/>
      <c r="E41" s="32">
        <f t="shared" si="22"/>
        <v>304000</v>
      </c>
      <c r="F41" s="32"/>
      <c r="G41" s="103"/>
      <c r="H41" s="55">
        <f t="shared" si="13"/>
        <v>0</v>
      </c>
      <c r="I41" s="32">
        <f t="shared" si="14"/>
        <v>326100</v>
      </c>
      <c r="J41" s="30">
        <f t="shared" si="21"/>
        <v>14725</v>
      </c>
      <c r="K41" s="143" t="b">
        <f t="shared" si="16"/>
        <v>1</v>
      </c>
    </row>
    <row r="42" spans="1:11">
      <c r="A42" s="121" t="str">
        <f t="shared" si="18"/>
        <v>OCTOBRE</v>
      </c>
      <c r="B42" s="126" t="str">
        <f t="shared" si="11"/>
        <v>P29</v>
      </c>
      <c r="C42" s="32">
        <f t="shared" si="12"/>
        <v>86900</v>
      </c>
      <c r="D42" s="118"/>
      <c r="E42" s="32">
        <f t="shared" si="22"/>
        <v>944000</v>
      </c>
      <c r="F42" s="51"/>
      <c r="G42" s="137"/>
      <c r="H42" s="55">
        <f t="shared" si="13"/>
        <v>290000</v>
      </c>
      <c r="I42" s="32">
        <f t="shared" si="14"/>
        <v>699700</v>
      </c>
      <c r="J42" s="30">
        <f t="shared" si="21"/>
        <v>41200</v>
      </c>
      <c r="K42" s="143" t="b">
        <f t="shared" si="16"/>
        <v>1</v>
      </c>
    </row>
    <row r="43" spans="1:11">
      <c r="A43" s="121" t="str">
        <f t="shared" si="18"/>
        <v>OCTOBRE</v>
      </c>
      <c r="B43" s="126" t="str">
        <f t="shared" si="11"/>
        <v>T73</v>
      </c>
      <c r="C43" s="32">
        <f t="shared" si="12"/>
        <v>43500</v>
      </c>
      <c r="D43" s="118"/>
      <c r="E43" s="32">
        <f t="shared" si="22"/>
        <v>401500</v>
      </c>
      <c r="F43" s="51"/>
      <c r="G43" s="137"/>
      <c r="H43" s="55">
        <f t="shared" si="13"/>
        <v>0</v>
      </c>
      <c r="I43" s="32">
        <f t="shared" si="14"/>
        <v>382000</v>
      </c>
      <c r="J43" s="30">
        <f t="shared" si="21"/>
        <v>63000</v>
      </c>
      <c r="K43" s="143" t="b">
        <f t="shared" si="16"/>
        <v>1</v>
      </c>
    </row>
    <row r="44" spans="1:11">
      <c r="A44" s="34" t="s">
        <v>60</v>
      </c>
      <c r="B44" s="35"/>
      <c r="C44" s="35"/>
      <c r="D44" s="35"/>
      <c r="E44" s="35"/>
      <c r="F44" s="35"/>
      <c r="G44" s="35"/>
      <c r="H44" s="35"/>
      <c r="I44" s="35"/>
      <c r="J44" s="36"/>
      <c r="K44" s="142"/>
    </row>
    <row r="45" spans="1:11">
      <c r="A45" s="121" t="str">
        <f>A43</f>
        <v>OCTOBRE</v>
      </c>
      <c r="B45" s="37" t="s">
        <v>61</v>
      </c>
      <c r="C45" s="38">
        <f>+C6</f>
        <v>334975</v>
      </c>
      <c r="D45" s="49"/>
      <c r="E45" s="49">
        <f>D6</f>
        <v>5420000</v>
      </c>
      <c r="F45" s="49"/>
      <c r="G45" s="124"/>
      <c r="H45" s="51">
        <f>+F6</f>
        <v>3195500</v>
      </c>
      <c r="I45" s="125">
        <f>+E6</f>
        <v>2090545</v>
      </c>
      <c r="J45" s="30">
        <f>+SUM(C45:G45)-(H45+I45)</f>
        <v>468930</v>
      </c>
      <c r="K45" s="143" t="b">
        <f>J45=I6</f>
        <v>1</v>
      </c>
    </row>
    <row r="46" spans="1:11">
      <c r="A46" s="43" t="s">
        <v>62</v>
      </c>
      <c r="B46" s="24"/>
      <c r="C46" s="35"/>
      <c r="D46" s="24"/>
      <c r="E46" s="24"/>
      <c r="F46" s="24"/>
      <c r="G46" s="24"/>
      <c r="H46" s="24"/>
      <c r="I46" s="24"/>
      <c r="J46" s="36"/>
      <c r="K46" s="142"/>
    </row>
    <row r="47" spans="1:11">
      <c r="A47" s="121" t="str">
        <f>+A45</f>
        <v>OCTOBRE</v>
      </c>
      <c r="B47" s="37" t="s">
        <v>24</v>
      </c>
      <c r="C47" s="124">
        <f>+C4</f>
        <v>1128360</v>
      </c>
      <c r="D47" s="131">
        <f>+G4</f>
        <v>17814165</v>
      </c>
      <c r="E47" s="49"/>
      <c r="F47" s="49"/>
      <c r="G47" s="49"/>
      <c r="H47" s="51">
        <f>+F4</f>
        <v>4000000</v>
      </c>
      <c r="I47" s="53">
        <f>+E4</f>
        <v>4131785</v>
      </c>
      <c r="J47" s="30">
        <f>+SUM(C47:G47)-(H47+I47)</f>
        <v>10810740</v>
      </c>
      <c r="K47" s="143" t="b">
        <f>+J47=I4</f>
        <v>1</v>
      </c>
    </row>
    <row r="48" spans="1:11">
      <c r="A48" s="121" t="str">
        <f t="shared" ref="A48" si="23">+A47</f>
        <v>OCTOBRE</v>
      </c>
      <c r="B48" s="37" t="s">
        <v>64</v>
      </c>
      <c r="C48" s="124">
        <f>+C5</f>
        <v>2160340</v>
      </c>
      <c r="D48" s="49">
        <f>+G5</f>
        <v>0</v>
      </c>
      <c r="E48" s="48"/>
      <c r="F48" s="48"/>
      <c r="G48" s="48">
        <f>+D5</f>
        <v>0</v>
      </c>
      <c r="H48" s="32">
        <f>+F5</f>
        <v>1000000</v>
      </c>
      <c r="I48" s="50">
        <f>+E5</f>
        <v>1062505</v>
      </c>
      <c r="J48" s="30">
        <f>+SUM(C48:G48)-(H48+I48)</f>
        <v>97835</v>
      </c>
      <c r="K48" s="143" t="b">
        <f>+J48=I5</f>
        <v>1</v>
      </c>
    </row>
    <row r="49" spans="1:16" ht="15.75">
      <c r="C49" s="140">
        <f>SUM(C31:C48)</f>
        <v>4625233</v>
      </c>
      <c r="I49" s="139">
        <f>SUM(I31:I48)</f>
        <v>10213735</v>
      </c>
      <c r="J49" s="104">
        <f>+SUM(J31:J48)</f>
        <v>12225663</v>
      </c>
      <c r="K49" s="5" t="b">
        <f>J49=I20</f>
        <v>1</v>
      </c>
    </row>
    <row r="50" spans="1:16" ht="15.75">
      <c r="C50" s="140"/>
      <c r="I50" s="139"/>
      <c r="J50" s="104"/>
    </row>
    <row r="51" spans="1:16" ht="15.75">
      <c r="A51" s="157"/>
      <c r="B51" s="157"/>
      <c r="C51" s="158"/>
      <c r="D51" s="157"/>
      <c r="E51" s="157"/>
      <c r="F51" s="157"/>
      <c r="G51" s="157"/>
      <c r="H51" s="157"/>
      <c r="I51" s="159"/>
      <c r="J51" s="160"/>
      <c r="K51" s="157"/>
      <c r="L51" s="161"/>
      <c r="M51" s="161"/>
      <c r="N51" s="161"/>
      <c r="O51" s="161"/>
      <c r="P51" s="157"/>
    </row>
    <row r="53" spans="1:16" ht="15.75">
      <c r="A53" s="6" t="s">
        <v>36</v>
      </c>
      <c r="B53" s="6" t="s">
        <v>1</v>
      </c>
      <c r="C53" s="6">
        <v>45170</v>
      </c>
      <c r="D53" s="7" t="s">
        <v>37</v>
      </c>
      <c r="E53" s="7" t="s">
        <v>38</v>
      </c>
      <c r="F53" s="7" t="s">
        <v>39</v>
      </c>
      <c r="G53" s="7" t="s">
        <v>40</v>
      </c>
      <c r="H53" s="6">
        <v>45199</v>
      </c>
      <c r="I53" s="7" t="s">
        <v>41</v>
      </c>
      <c r="K53" s="45"/>
      <c r="L53" s="45" t="s">
        <v>42</v>
      </c>
      <c r="M53" s="45" t="s">
        <v>43</v>
      </c>
      <c r="N53" s="45" t="s">
        <v>44</v>
      </c>
      <c r="O53" s="45" t="s">
        <v>45</v>
      </c>
    </row>
    <row r="54" spans="1:16" ht="16.5">
      <c r="A54" s="58" t="str">
        <f>K54</f>
        <v>BCI</v>
      </c>
      <c r="B54" s="59" t="s">
        <v>46</v>
      </c>
      <c r="C54" s="61">
        <v>7301705</v>
      </c>
      <c r="D54" s="61">
        <f>+L54</f>
        <v>0</v>
      </c>
      <c r="E54" s="61">
        <f>+N54</f>
        <v>173345</v>
      </c>
      <c r="F54" s="61">
        <f>+M54</f>
        <v>6000000</v>
      </c>
      <c r="G54" s="61">
        <f t="shared" ref="G54:G69" si="24">+O54</f>
        <v>0</v>
      </c>
      <c r="H54" s="61">
        <v>1128360</v>
      </c>
      <c r="I54" s="61">
        <f>+C54+D54-E54-F54+G54</f>
        <v>1128360</v>
      </c>
      <c r="J54" s="9">
        <f>I54-H54</f>
        <v>0</v>
      </c>
      <c r="K54" s="45" t="s">
        <v>24</v>
      </c>
      <c r="L54" s="178">
        <v>0</v>
      </c>
      <c r="M54" s="178">
        <v>6000000</v>
      </c>
      <c r="N54" s="178">
        <v>173345</v>
      </c>
      <c r="O54" s="178">
        <v>0</v>
      </c>
    </row>
    <row r="55" spans="1:16" ht="16.5">
      <c r="A55" s="58" t="str">
        <f t="shared" ref="A55:A69" si="25">K55</f>
        <v>BCI-Sous Compte</v>
      </c>
      <c r="B55" s="59" t="s">
        <v>46</v>
      </c>
      <c r="C55" s="61">
        <v>9607481</v>
      </c>
      <c r="D55" s="61">
        <f>+L55</f>
        <v>0</v>
      </c>
      <c r="E55" s="61">
        <f t="shared" ref="E55:E60" si="26">+N55</f>
        <v>5447141</v>
      </c>
      <c r="F55" s="61">
        <f t="shared" ref="F55:F62" si="27">+M55</f>
        <v>2000000</v>
      </c>
      <c r="G55" s="61">
        <f t="shared" si="24"/>
        <v>0</v>
      </c>
      <c r="H55" s="61">
        <v>2160340</v>
      </c>
      <c r="I55" s="61">
        <f t="shared" ref="I55:I60" si="28">+C55+D55-E55-F55+G55</f>
        <v>2160340</v>
      </c>
      <c r="J55" s="9">
        <f t="shared" ref="J55:J57" si="29">I55-H55</f>
        <v>0</v>
      </c>
      <c r="K55" s="45" t="s">
        <v>148</v>
      </c>
      <c r="L55" s="178">
        <v>0</v>
      </c>
      <c r="M55" s="178">
        <v>2000000</v>
      </c>
      <c r="N55" s="178">
        <v>5447141</v>
      </c>
      <c r="O55" s="178">
        <v>0</v>
      </c>
    </row>
    <row r="56" spans="1:16" ht="16.5">
      <c r="A56" s="58" t="str">
        <f t="shared" si="25"/>
        <v>Caisse</v>
      </c>
      <c r="B56" s="59" t="s">
        <v>25</v>
      </c>
      <c r="C56" s="61">
        <v>376082</v>
      </c>
      <c r="D56" s="61">
        <f t="shared" ref="D56:D69" si="30">+L56</f>
        <v>8502900</v>
      </c>
      <c r="E56" s="61">
        <f t="shared" si="26"/>
        <v>2813207</v>
      </c>
      <c r="F56" s="61">
        <f t="shared" si="27"/>
        <v>5730800</v>
      </c>
      <c r="G56" s="61">
        <f t="shared" si="24"/>
        <v>0</v>
      </c>
      <c r="H56" s="61">
        <v>334975</v>
      </c>
      <c r="I56" s="61">
        <f t="shared" si="28"/>
        <v>334975</v>
      </c>
      <c r="J56" s="9">
        <f t="shared" si="29"/>
        <v>0</v>
      </c>
      <c r="K56" s="45" t="s">
        <v>25</v>
      </c>
      <c r="L56" s="178">
        <v>8502900</v>
      </c>
      <c r="M56" s="178">
        <v>5730800</v>
      </c>
      <c r="N56" s="178">
        <v>2813207</v>
      </c>
      <c r="O56" s="178">
        <v>0</v>
      </c>
    </row>
    <row r="57" spans="1:16" ht="16.5">
      <c r="A57" s="58" t="str">
        <f t="shared" si="25"/>
        <v>Crépin</v>
      </c>
      <c r="B57" s="59" t="s">
        <v>2</v>
      </c>
      <c r="C57" s="61">
        <v>483120</v>
      </c>
      <c r="D57" s="61">
        <f t="shared" si="30"/>
        <v>1652000</v>
      </c>
      <c r="E57" s="61">
        <f t="shared" si="26"/>
        <v>1631750</v>
      </c>
      <c r="F57" s="61">
        <f t="shared" si="27"/>
        <v>280000</v>
      </c>
      <c r="G57" s="61">
        <f t="shared" si="24"/>
        <v>0</v>
      </c>
      <c r="H57" s="61">
        <v>223370</v>
      </c>
      <c r="I57" s="61">
        <f t="shared" si="28"/>
        <v>223370</v>
      </c>
      <c r="J57" s="9">
        <f t="shared" si="29"/>
        <v>0</v>
      </c>
      <c r="K57" s="45" t="s">
        <v>47</v>
      </c>
      <c r="L57" s="178">
        <v>1652000</v>
      </c>
      <c r="M57" s="178">
        <v>280000</v>
      </c>
      <c r="N57" s="178">
        <v>1631750</v>
      </c>
      <c r="O57" s="178">
        <v>0</v>
      </c>
    </row>
    <row r="58" spans="1:16" ht="16.5">
      <c r="A58" s="58" t="str">
        <f t="shared" si="25"/>
        <v>Donald-Roméo</v>
      </c>
      <c r="B58" s="59" t="s">
        <v>154</v>
      </c>
      <c r="C58" s="61">
        <v>88855</v>
      </c>
      <c r="D58" s="61">
        <f t="shared" si="30"/>
        <v>719800</v>
      </c>
      <c r="E58" s="61">
        <f t="shared" si="26"/>
        <v>807050</v>
      </c>
      <c r="F58" s="61">
        <f t="shared" si="27"/>
        <v>0</v>
      </c>
      <c r="G58" s="61">
        <f t="shared" si="24"/>
        <v>0</v>
      </c>
      <c r="H58" s="61">
        <v>1605</v>
      </c>
      <c r="I58" s="61">
        <f t="shared" si="28"/>
        <v>1605</v>
      </c>
      <c r="J58" s="9">
        <f t="shared" ref="J58:J69" si="31">I58-H58</f>
        <v>0</v>
      </c>
      <c r="K58" s="45" t="s">
        <v>297</v>
      </c>
      <c r="L58" s="178">
        <v>719800</v>
      </c>
      <c r="M58" s="178">
        <v>0</v>
      </c>
      <c r="N58" s="178">
        <v>807050</v>
      </c>
      <c r="O58" s="178">
        <v>0</v>
      </c>
    </row>
    <row r="59" spans="1:16" ht="16.5">
      <c r="A59" s="58" t="str">
        <f t="shared" si="25"/>
        <v>Dovi</v>
      </c>
      <c r="B59" s="59" t="s">
        <v>2</v>
      </c>
      <c r="C59" s="61">
        <v>415000</v>
      </c>
      <c r="D59" s="61">
        <f t="shared" si="30"/>
        <v>520000</v>
      </c>
      <c r="E59" s="61">
        <f t="shared" si="26"/>
        <v>247750</v>
      </c>
      <c r="F59" s="61">
        <f t="shared" si="27"/>
        <v>629250</v>
      </c>
      <c r="G59" s="61">
        <f t="shared" si="24"/>
        <v>0</v>
      </c>
      <c r="H59" s="61">
        <v>58000</v>
      </c>
      <c r="I59" s="61">
        <f t="shared" si="28"/>
        <v>58000</v>
      </c>
      <c r="J59" s="9">
        <f t="shared" si="31"/>
        <v>0</v>
      </c>
      <c r="K59" s="45" t="s">
        <v>305</v>
      </c>
      <c r="L59" s="178">
        <v>520000</v>
      </c>
      <c r="M59" s="178">
        <v>629250</v>
      </c>
      <c r="N59" s="178">
        <v>247750</v>
      </c>
      <c r="O59" s="178">
        <v>0</v>
      </c>
    </row>
    <row r="60" spans="1:16" ht="16.5">
      <c r="A60" s="58" t="str">
        <f t="shared" si="25"/>
        <v>Evariste</v>
      </c>
      <c r="B60" s="59" t="s">
        <v>155</v>
      </c>
      <c r="C60" s="61">
        <v>75975</v>
      </c>
      <c r="D60" s="61">
        <f t="shared" si="30"/>
        <v>562000</v>
      </c>
      <c r="E60" s="61">
        <f t="shared" si="26"/>
        <v>635500</v>
      </c>
      <c r="F60" s="61">
        <f t="shared" si="27"/>
        <v>0</v>
      </c>
      <c r="G60" s="61">
        <f t="shared" si="24"/>
        <v>0</v>
      </c>
      <c r="H60" s="61">
        <v>2475</v>
      </c>
      <c r="I60" s="61">
        <f t="shared" si="28"/>
        <v>2475</v>
      </c>
      <c r="J60" s="9">
        <f t="shared" si="31"/>
        <v>0</v>
      </c>
      <c r="K60" s="45" t="s">
        <v>31</v>
      </c>
      <c r="L60" s="178">
        <v>562000</v>
      </c>
      <c r="M60" s="178">
        <v>0</v>
      </c>
      <c r="N60" s="178">
        <v>635500</v>
      </c>
      <c r="O60" s="178">
        <v>0</v>
      </c>
    </row>
    <row r="61" spans="1:16" ht="16.5">
      <c r="A61" s="58" t="str">
        <f t="shared" si="25"/>
        <v>I55S</v>
      </c>
      <c r="B61" s="115" t="s">
        <v>4</v>
      </c>
      <c r="C61" s="117">
        <v>233614</v>
      </c>
      <c r="D61" s="117">
        <f t="shared" si="30"/>
        <v>0</v>
      </c>
      <c r="E61" s="117">
        <f>+N61</f>
        <v>0</v>
      </c>
      <c r="F61" s="117">
        <f t="shared" si="27"/>
        <v>0</v>
      </c>
      <c r="G61" s="117">
        <f t="shared" si="24"/>
        <v>0</v>
      </c>
      <c r="H61" s="117">
        <v>233614</v>
      </c>
      <c r="I61" s="117">
        <f>+C61+D61-E61-F61+G61</f>
        <v>233614</v>
      </c>
      <c r="J61" s="9">
        <f t="shared" si="31"/>
        <v>0</v>
      </c>
      <c r="K61" s="45" t="s">
        <v>84</v>
      </c>
      <c r="L61" s="178">
        <v>0</v>
      </c>
      <c r="M61" s="178">
        <v>0</v>
      </c>
      <c r="N61" s="178">
        <v>0</v>
      </c>
      <c r="O61" s="178">
        <v>0</v>
      </c>
    </row>
    <row r="62" spans="1:16" ht="16.5">
      <c r="A62" s="58" t="str">
        <f t="shared" si="25"/>
        <v>I73X</v>
      </c>
      <c r="B62" s="115" t="s">
        <v>4</v>
      </c>
      <c r="C62" s="117">
        <v>249769</v>
      </c>
      <c r="D62" s="117">
        <f t="shared" si="30"/>
        <v>0</v>
      </c>
      <c r="E62" s="117">
        <f>+N62</f>
        <v>0</v>
      </c>
      <c r="F62" s="117">
        <f t="shared" si="27"/>
        <v>0</v>
      </c>
      <c r="G62" s="117">
        <f t="shared" si="24"/>
        <v>0</v>
      </c>
      <c r="H62" s="117">
        <v>249769</v>
      </c>
      <c r="I62" s="117">
        <f t="shared" ref="I62:I69" si="32">+C62+D62-E62-F62+G62</f>
        <v>249769</v>
      </c>
      <c r="J62" s="9">
        <f t="shared" si="31"/>
        <v>0</v>
      </c>
      <c r="K62" s="45" t="s">
        <v>83</v>
      </c>
      <c r="L62" s="178">
        <v>0</v>
      </c>
      <c r="M62" s="178">
        <v>0</v>
      </c>
      <c r="N62" s="178">
        <v>0</v>
      </c>
      <c r="O62" s="178">
        <v>0</v>
      </c>
    </row>
    <row r="63" spans="1:16" ht="16.5">
      <c r="A63" s="58" t="str">
        <f t="shared" si="25"/>
        <v>Grace</v>
      </c>
      <c r="B63" s="59" t="s">
        <v>2</v>
      </c>
      <c r="C63" s="181">
        <v>136150</v>
      </c>
      <c r="D63" s="61">
        <f t="shared" si="30"/>
        <v>0</v>
      </c>
      <c r="E63" s="61">
        <f t="shared" ref="E63:E69" si="33">+N63</f>
        <v>44500</v>
      </c>
      <c r="F63" s="61">
        <f>+M63</f>
        <v>91650</v>
      </c>
      <c r="G63" s="61">
        <f t="shared" si="24"/>
        <v>0</v>
      </c>
      <c r="H63" s="181">
        <v>0</v>
      </c>
      <c r="I63" s="181">
        <f t="shared" si="32"/>
        <v>0</v>
      </c>
      <c r="J63" s="9">
        <f t="shared" si="31"/>
        <v>0</v>
      </c>
      <c r="K63" s="183" t="s">
        <v>143</v>
      </c>
      <c r="L63" s="178">
        <v>0</v>
      </c>
      <c r="M63" s="178">
        <v>91650</v>
      </c>
      <c r="N63" s="178">
        <v>44500</v>
      </c>
      <c r="O63" s="178">
        <v>0</v>
      </c>
    </row>
    <row r="64" spans="1:16" ht="16.5">
      <c r="A64" s="58" t="str">
        <f t="shared" si="25"/>
        <v>Hurielle</v>
      </c>
      <c r="B64" s="97" t="s">
        <v>154</v>
      </c>
      <c r="C64" s="61">
        <v>114500</v>
      </c>
      <c r="D64" s="61">
        <f t="shared" si="30"/>
        <v>298000</v>
      </c>
      <c r="E64" s="61">
        <f t="shared" si="33"/>
        <v>365800</v>
      </c>
      <c r="F64" s="61">
        <f t="shared" ref="F64:F69" si="34">+M64</f>
        <v>20000</v>
      </c>
      <c r="G64" s="61">
        <f t="shared" si="24"/>
        <v>0</v>
      </c>
      <c r="H64" s="181">
        <v>26700</v>
      </c>
      <c r="I64" s="181">
        <f t="shared" si="32"/>
        <v>26700</v>
      </c>
      <c r="J64" s="9">
        <f t="shared" si="31"/>
        <v>0</v>
      </c>
      <c r="K64" s="45" t="s">
        <v>197</v>
      </c>
      <c r="L64" s="178">
        <v>298000</v>
      </c>
      <c r="M64" s="178">
        <v>20000</v>
      </c>
      <c r="N64" s="178">
        <v>365800</v>
      </c>
      <c r="O64" s="178">
        <v>0</v>
      </c>
    </row>
    <row r="65" spans="1:15" ht="16.5">
      <c r="A65" s="58" t="str">
        <f t="shared" si="25"/>
        <v>IT87</v>
      </c>
      <c r="B65" s="59" t="s">
        <v>4</v>
      </c>
      <c r="C65" s="181">
        <v>6000</v>
      </c>
      <c r="D65" s="61">
        <f t="shared" si="30"/>
        <v>564000</v>
      </c>
      <c r="E65" s="61">
        <f t="shared" si="33"/>
        <v>543600</v>
      </c>
      <c r="F65" s="61">
        <f t="shared" si="34"/>
        <v>0</v>
      </c>
      <c r="G65" s="61">
        <f t="shared" si="24"/>
        <v>0</v>
      </c>
      <c r="H65" s="181">
        <v>26400</v>
      </c>
      <c r="I65" s="181">
        <f t="shared" si="32"/>
        <v>26400</v>
      </c>
      <c r="J65" s="9">
        <f t="shared" si="31"/>
        <v>0</v>
      </c>
      <c r="K65" s="183" t="s">
        <v>312</v>
      </c>
      <c r="L65" s="178">
        <v>564000</v>
      </c>
      <c r="M65" s="178">
        <v>0</v>
      </c>
      <c r="N65" s="178">
        <v>543600</v>
      </c>
      <c r="O65" s="178">
        <v>0</v>
      </c>
    </row>
    <row r="66" spans="1:15" ht="16.5">
      <c r="A66" s="58" t="str">
        <f t="shared" si="25"/>
        <v>Merveille</v>
      </c>
      <c r="B66" s="97" t="s">
        <v>320</v>
      </c>
      <c r="C66" s="61">
        <v>155600</v>
      </c>
      <c r="D66" s="61">
        <f t="shared" si="30"/>
        <v>270000</v>
      </c>
      <c r="E66" s="61">
        <f t="shared" si="33"/>
        <v>398200</v>
      </c>
      <c r="F66" s="61">
        <f t="shared" si="34"/>
        <v>15000</v>
      </c>
      <c r="G66" s="61">
        <f t="shared" si="24"/>
        <v>0</v>
      </c>
      <c r="H66" s="181">
        <v>12400</v>
      </c>
      <c r="I66" s="181">
        <f t="shared" si="32"/>
        <v>12400</v>
      </c>
      <c r="J66" s="9">
        <f t="shared" si="31"/>
        <v>0</v>
      </c>
      <c r="K66" s="45" t="s">
        <v>93</v>
      </c>
      <c r="L66" s="178">
        <v>270000</v>
      </c>
      <c r="M66" s="178">
        <v>15000</v>
      </c>
      <c r="N66" s="178">
        <v>398200</v>
      </c>
      <c r="O66" s="178">
        <v>0</v>
      </c>
    </row>
    <row r="67" spans="1:15" ht="16.5">
      <c r="A67" s="58" t="str">
        <f t="shared" si="25"/>
        <v>Oracle</v>
      </c>
      <c r="B67" s="97" t="s">
        <v>154</v>
      </c>
      <c r="C67" s="61">
        <v>117425</v>
      </c>
      <c r="D67" s="61">
        <f t="shared" si="30"/>
        <v>290000</v>
      </c>
      <c r="E67" s="61">
        <f t="shared" si="33"/>
        <v>353600</v>
      </c>
      <c r="F67" s="61">
        <f t="shared" si="34"/>
        <v>17000</v>
      </c>
      <c r="G67" s="61">
        <f t="shared" si="24"/>
        <v>0</v>
      </c>
      <c r="H67" s="181">
        <v>36825</v>
      </c>
      <c r="I67" s="181">
        <f t="shared" si="32"/>
        <v>36825</v>
      </c>
      <c r="J67" s="9">
        <f t="shared" si="31"/>
        <v>0</v>
      </c>
      <c r="K67" s="45" t="s">
        <v>298</v>
      </c>
      <c r="L67" s="178">
        <v>290000</v>
      </c>
      <c r="M67" s="178">
        <v>17000</v>
      </c>
      <c r="N67" s="178">
        <v>353600</v>
      </c>
      <c r="O67" s="178">
        <v>0</v>
      </c>
    </row>
    <row r="68" spans="1:15" ht="16.5">
      <c r="A68" s="58" t="str">
        <f t="shared" si="25"/>
        <v>P29</v>
      </c>
      <c r="B68" s="59" t="s">
        <v>4</v>
      </c>
      <c r="C68" s="61">
        <v>125100</v>
      </c>
      <c r="D68" s="61">
        <f t="shared" si="30"/>
        <v>631000</v>
      </c>
      <c r="E68" s="61">
        <f t="shared" si="33"/>
        <v>669200</v>
      </c>
      <c r="F68" s="61">
        <f t="shared" si="34"/>
        <v>0</v>
      </c>
      <c r="G68" s="61">
        <f t="shared" si="24"/>
        <v>0</v>
      </c>
      <c r="H68" s="181">
        <v>86900</v>
      </c>
      <c r="I68" s="181">
        <f t="shared" si="32"/>
        <v>86900</v>
      </c>
      <c r="J68" s="9">
        <f t="shared" si="31"/>
        <v>0</v>
      </c>
      <c r="K68" s="45" t="s">
        <v>29</v>
      </c>
      <c r="L68" s="178">
        <v>631000</v>
      </c>
      <c r="M68" s="178">
        <v>0</v>
      </c>
      <c r="N68" s="178">
        <v>669200</v>
      </c>
      <c r="O68" s="178">
        <v>0</v>
      </c>
    </row>
    <row r="69" spans="1:15" ht="16.5">
      <c r="A69" s="58" t="str">
        <f t="shared" si="25"/>
        <v>T73</v>
      </c>
      <c r="B69" s="59" t="s">
        <v>4</v>
      </c>
      <c r="C69" s="61">
        <v>59200</v>
      </c>
      <c r="D69" s="61">
        <f t="shared" si="30"/>
        <v>774000</v>
      </c>
      <c r="E69" s="61">
        <f t="shared" si="33"/>
        <v>789700</v>
      </c>
      <c r="F69" s="61">
        <f t="shared" si="34"/>
        <v>0</v>
      </c>
      <c r="G69" s="61">
        <f t="shared" si="24"/>
        <v>0</v>
      </c>
      <c r="H69" s="181">
        <v>43500</v>
      </c>
      <c r="I69" s="181">
        <f t="shared" si="32"/>
        <v>43500</v>
      </c>
      <c r="J69" s="9">
        <f t="shared" si="31"/>
        <v>0</v>
      </c>
      <c r="K69" s="45" t="s">
        <v>268</v>
      </c>
      <c r="L69" s="178">
        <v>774000</v>
      </c>
      <c r="M69" s="178">
        <v>0</v>
      </c>
      <c r="N69" s="178">
        <v>789700</v>
      </c>
      <c r="O69" s="178">
        <v>0</v>
      </c>
    </row>
    <row r="70" spans="1:15" ht="16.5">
      <c r="A70" s="10" t="s">
        <v>50</v>
      </c>
      <c r="B70" s="11"/>
      <c r="C70" s="12">
        <f t="shared" ref="C70:I70" si="35">SUM(C54:C69)</f>
        <v>19545576</v>
      </c>
      <c r="D70" s="57">
        <f t="shared" si="35"/>
        <v>14783700</v>
      </c>
      <c r="E70" s="57">
        <f t="shared" si="35"/>
        <v>14920343</v>
      </c>
      <c r="F70" s="57">
        <f t="shared" si="35"/>
        <v>14783700</v>
      </c>
      <c r="G70" s="57">
        <f t="shared" si="35"/>
        <v>0</v>
      </c>
      <c r="H70" s="57">
        <f t="shared" si="35"/>
        <v>4625233</v>
      </c>
      <c r="I70" s="57">
        <f t="shared" si="35"/>
        <v>4625233</v>
      </c>
      <c r="J70" s="9"/>
      <c r="K70" s="3"/>
      <c r="L70" s="47">
        <f>+SUM(L54:L69)</f>
        <v>14783700</v>
      </c>
      <c r="M70" s="47">
        <f>+SUM(M54:M69)</f>
        <v>14783700</v>
      </c>
      <c r="N70" s="47">
        <f>+SUM(N54:N69)</f>
        <v>14920343</v>
      </c>
      <c r="O70" s="47">
        <f>+SUM(O54:O69)</f>
        <v>0</v>
      </c>
    </row>
    <row r="71" spans="1:15" ht="16.5">
      <c r="A71" s="10"/>
      <c r="B71" s="11"/>
      <c r="C71" s="12"/>
      <c r="D71" s="13"/>
      <c r="E71" s="12"/>
      <c r="F71" s="13"/>
      <c r="G71" s="12"/>
      <c r="H71" s="12"/>
      <c r="I71" s="13" t="b">
        <f>I70=D73</f>
        <v>1</v>
      </c>
      <c r="J71" s="9"/>
      <c r="L71" s="5"/>
      <c r="M71" s="5"/>
      <c r="N71" s="5"/>
      <c r="O71" s="5"/>
    </row>
    <row r="72" spans="1:15" ht="16.5">
      <c r="A72" s="10" t="s">
        <v>332</v>
      </c>
      <c r="B72" s="11" t="s">
        <v>242</v>
      </c>
      <c r="C72" s="12" t="s">
        <v>241</v>
      </c>
      <c r="D72" s="12" t="s">
        <v>333</v>
      </c>
      <c r="E72" s="12" t="s">
        <v>51</v>
      </c>
      <c r="F72" s="12"/>
      <c r="G72" s="12">
        <f>+D70-F70</f>
        <v>0</v>
      </c>
      <c r="H72" s="12"/>
      <c r="I72" s="207"/>
    </row>
    <row r="73" spans="1:15" ht="16.5">
      <c r="A73" s="14">
        <f>C70</f>
        <v>19545576</v>
      </c>
      <c r="B73" s="15">
        <f>G70</f>
        <v>0</v>
      </c>
      <c r="C73" s="12">
        <f>E70</f>
        <v>14920343</v>
      </c>
      <c r="D73" s="12">
        <f>A73+B73-C73</f>
        <v>4625233</v>
      </c>
      <c r="E73" s="13">
        <f>I70-D73</f>
        <v>0</v>
      </c>
      <c r="F73" s="12"/>
      <c r="G73" s="12"/>
      <c r="H73" s="12"/>
      <c r="I73" s="12"/>
    </row>
    <row r="74" spans="1:15" ht="16.5">
      <c r="A74" s="14"/>
      <c r="B74" s="15"/>
      <c r="C74" s="12"/>
      <c r="D74" s="12"/>
      <c r="E74" s="13"/>
      <c r="F74" s="12"/>
      <c r="G74" s="12"/>
      <c r="H74" s="12"/>
      <c r="I74" s="12"/>
    </row>
    <row r="75" spans="1:15">
      <c r="A75" s="16" t="s">
        <v>52</v>
      </c>
      <c r="B75" s="16"/>
      <c r="C75" s="16"/>
      <c r="D75" s="17"/>
      <c r="E75" s="17"/>
      <c r="F75" s="17"/>
      <c r="G75" s="17"/>
      <c r="H75" s="17"/>
      <c r="I75" s="17"/>
    </row>
    <row r="76" spans="1:15">
      <c r="A76" s="18" t="s">
        <v>334</v>
      </c>
      <c r="B76" s="18"/>
      <c r="C76" s="18"/>
      <c r="D76" s="18"/>
      <c r="E76" s="18"/>
      <c r="F76" s="18"/>
      <c r="G76" s="18"/>
      <c r="H76" s="18"/>
      <c r="I76" s="18"/>
      <c r="J76" s="18"/>
    </row>
    <row r="77" spans="1:15">
      <c r="A77" s="19"/>
      <c r="B77" s="17"/>
      <c r="C77" s="20"/>
      <c r="D77" s="20"/>
      <c r="E77" s="20"/>
      <c r="F77" s="20"/>
      <c r="G77" s="20"/>
      <c r="H77" s="17"/>
      <c r="I77" s="17"/>
    </row>
    <row r="78" spans="1:15" ht="25.5">
      <c r="A78" s="166" t="s">
        <v>53</v>
      </c>
      <c r="B78" s="168" t="s">
        <v>54</v>
      </c>
      <c r="C78" s="170" t="s">
        <v>335</v>
      </c>
      <c r="D78" s="171" t="s">
        <v>55</v>
      </c>
      <c r="E78" s="172"/>
      <c r="F78" s="172"/>
      <c r="G78" s="173"/>
      <c r="H78" s="174" t="s">
        <v>56</v>
      </c>
      <c r="I78" s="162" t="s">
        <v>57</v>
      </c>
      <c r="J78" s="205"/>
    </row>
    <row r="79" spans="1:15" ht="25.5">
      <c r="A79" s="167"/>
      <c r="B79" s="169"/>
      <c r="C79" s="22"/>
      <c r="D79" s="21" t="s">
        <v>24</v>
      </c>
      <c r="E79" s="21" t="s">
        <v>25</v>
      </c>
      <c r="F79" s="22" t="s">
        <v>123</v>
      </c>
      <c r="G79" s="21" t="s">
        <v>58</v>
      </c>
      <c r="H79" s="175"/>
      <c r="I79" s="163"/>
      <c r="J79" s="165" t="s">
        <v>336</v>
      </c>
      <c r="K79" s="142"/>
    </row>
    <row r="80" spans="1:15">
      <c r="A80" s="23"/>
      <c r="B80" s="24" t="s">
        <v>59</v>
      </c>
      <c r="C80" s="25"/>
      <c r="D80" s="25"/>
      <c r="E80" s="25"/>
      <c r="F80" s="25"/>
      <c r="G80" s="25"/>
      <c r="H80" s="25"/>
      <c r="I80" s="26"/>
      <c r="J80" s="165"/>
      <c r="K80" s="142"/>
    </row>
    <row r="81" spans="1:11">
      <c r="A81" s="121" t="s">
        <v>79</v>
      </c>
      <c r="B81" s="126" t="str">
        <f t="shared" ref="B81:B93" si="36">A57</f>
        <v>Crépin</v>
      </c>
      <c r="C81" s="32">
        <f t="shared" ref="C81:C93" si="37">+C57</f>
        <v>483120</v>
      </c>
      <c r="D81" s="31"/>
      <c r="E81" s="32">
        <f>+D57</f>
        <v>1652000</v>
      </c>
      <c r="F81" s="32"/>
      <c r="G81" s="32"/>
      <c r="H81" s="55">
        <f t="shared" ref="H81:H93" si="38">+F57</f>
        <v>280000</v>
      </c>
      <c r="I81" s="32">
        <f t="shared" ref="I81:I93" si="39">+E57</f>
        <v>1631750</v>
      </c>
      <c r="J81" s="30">
        <f t="shared" ref="J81:J82" si="40">+SUM(C81:G81)-(H81+I81)</f>
        <v>223370</v>
      </c>
      <c r="K81" s="143" t="b">
        <f t="shared" ref="K81:K93" si="41">J81=I57</f>
        <v>1</v>
      </c>
    </row>
    <row r="82" spans="1:11">
      <c r="A82" s="121" t="str">
        <f>+A81</f>
        <v>SEPTEMBRE</v>
      </c>
      <c r="B82" s="126" t="str">
        <f t="shared" si="36"/>
        <v>Donald-Roméo</v>
      </c>
      <c r="C82" s="32">
        <f t="shared" si="37"/>
        <v>88855</v>
      </c>
      <c r="D82" s="31"/>
      <c r="E82" s="32">
        <f t="shared" ref="E82:E84" si="42">+D58</f>
        <v>719800</v>
      </c>
      <c r="F82" s="32"/>
      <c r="G82" s="32"/>
      <c r="H82" s="55">
        <f t="shared" si="38"/>
        <v>0</v>
      </c>
      <c r="I82" s="32">
        <f t="shared" si="39"/>
        <v>807050</v>
      </c>
      <c r="J82" s="30">
        <f t="shared" si="40"/>
        <v>1605</v>
      </c>
      <c r="K82" s="143" t="b">
        <f t="shared" si="41"/>
        <v>1</v>
      </c>
    </row>
    <row r="83" spans="1:11">
      <c r="A83" s="121" t="str">
        <f t="shared" ref="A83:A93" si="43">+A82</f>
        <v>SEPTEMBRE</v>
      </c>
      <c r="B83" s="126" t="str">
        <f t="shared" si="36"/>
        <v>Dovi</v>
      </c>
      <c r="C83" s="32">
        <f t="shared" si="37"/>
        <v>415000</v>
      </c>
      <c r="D83" s="31"/>
      <c r="E83" s="32">
        <f t="shared" si="42"/>
        <v>520000</v>
      </c>
      <c r="F83" s="32"/>
      <c r="G83" s="32"/>
      <c r="H83" s="55">
        <f t="shared" si="38"/>
        <v>629250</v>
      </c>
      <c r="I83" s="32">
        <f t="shared" si="39"/>
        <v>247750</v>
      </c>
      <c r="J83" s="30">
        <f t="shared" ref="J83" si="44">+SUM(C83:G83)-(H83+I83)</f>
        <v>58000</v>
      </c>
      <c r="K83" s="143" t="b">
        <f t="shared" si="41"/>
        <v>1</v>
      </c>
    </row>
    <row r="84" spans="1:11">
      <c r="A84" s="121" t="str">
        <f t="shared" si="43"/>
        <v>SEPTEMBRE</v>
      </c>
      <c r="B84" s="126" t="str">
        <f t="shared" si="36"/>
        <v>Evariste</v>
      </c>
      <c r="C84" s="32">
        <f t="shared" si="37"/>
        <v>75975</v>
      </c>
      <c r="D84" s="31"/>
      <c r="E84" s="32">
        <f t="shared" si="42"/>
        <v>562000</v>
      </c>
      <c r="F84" s="32"/>
      <c r="G84" s="32"/>
      <c r="H84" s="55">
        <f t="shared" si="38"/>
        <v>0</v>
      </c>
      <c r="I84" s="32">
        <f t="shared" si="39"/>
        <v>635500</v>
      </c>
      <c r="J84" s="30">
        <f t="shared" ref="J84" si="45">+SUM(C84:G84)-(H84+I84)</f>
        <v>2475</v>
      </c>
      <c r="K84" s="143" t="b">
        <f t="shared" si="41"/>
        <v>1</v>
      </c>
    </row>
    <row r="85" spans="1:11">
      <c r="A85" s="121" t="str">
        <f t="shared" si="43"/>
        <v>SEPTEMBRE</v>
      </c>
      <c r="B85" s="128" t="str">
        <f t="shared" si="36"/>
        <v>I55S</v>
      </c>
      <c r="C85" s="119">
        <f t="shared" si="37"/>
        <v>233614</v>
      </c>
      <c r="D85" s="122"/>
      <c r="E85" s="119">
        <f>+D61</f>
        <v>0</v>
      </c>
      <c r="F85" s="136"/>
      <c r="G85" s="136"/>
      <c r="H85" s="154">
        <f t="shared" si="38"/>
        <v>0</v>
      </c>
      <c r="I85" s="119">
        <f t="shared" si="39"/>
        <v>0</v>
      </c>
      <c r="J85" s="120">
        <f>+SUM(C85:G85)-(H85+I85)</f>
        <v>233614</v>
      </c>
      <c r="K85" s="143" t="b">
        <f t="shared" si="41"/>
        <v>1</v>
      </c>
    </row>
    <row r="86" spans="1:11">
      <c r="A86" s="121" t="str">
        <f t="shared" si="43"/>
        <v>SEPTEMBRE</v>
      </c>
      <c r="B86" s="128" t="str">
        <f t="shared" si="36"/>
        <v>I73X</v>
      </c>
      <c r="C86" s="119">
        <f t="shared" si="37"/>
        <v>249769</v>
      </c>
      <c r="D86" s="122"/>
      <c r="E86" s="119">
        <f>+D62</f>
        <v>0</v>
      </c>
      <c r="F86" s="136"/>
      <c r="G86" s="136"/>
      <c r="H86" s="154">
        <f t="shared" si="38"/>
        <v>0</v>
      </c>
      <c r="I86" s="119">
        <f t="shared" si="39"/>
        <v>0</v>
      </c>
      <c r="J86" s="120">
        <f t="shared" ref="J86:J93" si="46">+SUM(C86:G86)-(H86+I86)</f>
        <v>249769</v>
      </c>
      <c r="K86" s="143" t="b">
        <f t="shared" si="41"/>
        <v>1</v>
      </c>
    </row>
    <row r="87" spans="1:11">
      <c r="A87" s="121" t="str">
        <f t="shared" si="43"/>
        <v>SEPTEMBRE</v>
      </c>
      <c r="B87" s="126" t="str">
        <f t="shared" si="36"/>
        <v>Grace</v>
      </c>
      <c r="C87" s="32">
        <f t="shared" si="37"/>
        <v>136150</v>
      </c>
      <c r="D87" s="31"/>
      <c r="E87" s="32">
        <f>+D63</f>
        <v>0</v>
      </c>
      <c r="F87" s="32"/>
      <c r="G87" s="103"/>
      <c r="H87" s="55">
        <f t="shared" si="38"/>
        <v>91650</v>
      </c>
      <c r="I87" s="32">
        <f t="shared" si="39"/>
        <v>44500</v>
      </c>
      <c r="J87" s="30">
        <f t="shared" si="46"/>
        <v>0</v>
      </c>
      <c r="K87" s="143" t="b">
        <f t="shared" si="41"/>
        <v>1</v>
      </c>
    </row>
    <row r="88" spans="1:11">
      <c r="A88" s="121" t="str">
        <f t="shared" si="43"/>
        <v>SEPTEMBRE</v>
      </c>
      <c r="B88" s="126" t="str">
        <f t="shared" si="36"/>
        <v>Hurielle</v>
      </c>
      <c r="C88" s="32">
        <f t="shared" si="37"/>
        <v>114500</v>
      </c>
      <c r="D88" s="31"/>
      <c r="E88" s="32">
        <f t="shared" ref="E88:E93" si="47">+D64</f>
        <v>298000</v>
      </c>
      <c r="F88" s="32"/>
      <c r="G88" s="103"/>
      <c r="H88" s="55">
        <f t="shared" si="38"/>
        <v>20000</v>
      </c>
      <c r="I88" s="32">
        <f t="shared" si="39"/>
        <v>365800</v>
      </c>
      <c r="J88" s="30">
        <f t="shared" si="46"/>
        <v>26700</v>
      </c>
      <c r="K88" s="143" t="b">
        <f t="shared" si="41"/>
        <v>1</v>
      </c>
    </row>
    <row r="89" spans="1:11">
      <c r="A89" s="121" t="str">
        <f t="shared" si="43"/>
        <v>SEPTEMBRE</v>
      </c>
      <c r="B89" s="126" t="str">
        <f t="shared" si="36"/>
        <v>IT87</v>
      </c>
      <c r="C89" s="32">
        <f t="shared" si="37"/>
        <v>6000</v>
      </c>
      <c r="D89" s="31"/>
      <c r="E89" s="32">
        <f t="shared" si="47"/>
        <v>564000</v>
      </c>
      <c r="F89" s="32"/>
      <c r="G89" s="103"/>
      <c r="H89" s="55">
        <f t="shared" si="38"/>
        <v>0</v>
      </c>
      <c r="I89" s="32">
        <f t="shared" si="39"/>
        <v>543600</v>
      </c>
      <c r="J89" s="30">
        <f t="shared" si="46"/>
        <v>26400</v>
      </c>
      <c r="K89" s="143" t="b">
        <f t="shared" si="41"/>
        <v>1</v>
      </c>
    </row>
    <row r="90" spans="1:11">
      <c r="A90" s="121" t="str">
        <f t="shared" si="43"/>
        <v>SEPTEMBRE</v>
      </c>
      <c r="B90" s="126" t="str">
        <f t="shared" si="36"/>
        <v>Merveille</v>
      </c>
      <c r="C90" s="32">
        <f t="shared" si="37"/>
        <v>155600</v>
      </c>
      <c r="D90" s="31"/>
      <c r="E90" s="32">
        <f t="shared" si="47"/>
        <v>270000</v>
      </c>
      <c r="F90" s="32"/>
      <c r="G90" s="103"/>
      <c r="H90" s="55">
        <f t="shared" si="38"/>
        <v>15000</v>
      </c>
      <c r="I90" s="32">
        <f t="shared" si="39"/>
        <v>398200</v>
      </c>
      <c r="J90" s="30">
        <f t="shared" si="46"/>
        <v>12400</v>
      </c>
      <c r="K90" s="143" t="b">
        <f t="shared" si="41"/>
        <v>1</v>
      </c>
    </row>
    <row r="91" spans="1:11">
      <c r="A91" s="121" t="str">
        <f t="shared" si="43"/>
        <v>SEPTEMBRE</v>
      </c>
      <c r="B91" s="126" t="str">
        <f t="shared" si="36"/>
        <v>Oracle</v>
      </c>
      <c r="C91" s="32">
        <f t="shared" si="37"/>
        <v>117425</v>
      </c>
      <c r="D91" s="31"/>
      <c r="E91" s="32">
        <f t="shared" si="47"/>
        <v>290000</v>
      </c>
      <c r="F91" s="32"/>
      <c r="G91" s="103"/>
      <c r="H91" s="55">
        <f t="shared" si="38"/>
        <v>17000</v>
      </c>
      <c r="I91" s="32">
        <f t="shared" si="39"/>
        <v>353600</v>
      </c>
      <c r="J91" s="30">
        <f t="shared" si="46"/>
        <v>36825</v>
      </c>
      <c r="K91" s="143" t="b">
        <f t="shared" si="41"/>
        <v>1</v>
      </c>
    </row>
    <row r="92" spans="1:11">
      <c r="A92" s="121" t="str">
        <f t="shared" si="43"/>
        <v>SEPTEMBRE</v>
      </c>
      <c r="B92" s="126" t="str">
        <f t="shared" si="36"/>
        <v>P29</v>
      </c>
      <c r="C92" s="32">
        <f t="shared" si="37"/>
        <v>125100</v>
      </c>
      <c r="D92" s="118"/>
      <c r="E92" s="32">
        <f t="shared" si="47"/>
        <v>631000</v>
      </c>
      <c r="F92" s="51"/>
      <c r="G92" s="137"/>
      <c r="H92" s="55">
        <f t="shared" si="38"/>
        <v>0</v>
      </c>
      <c r="I92" s="32">
        <f t="shared" si="39"/>
        <v>669200</v>
      </c>
      <c r="J92" s="30">
        <f t="shared" si="46"/>
        <v>86900</v>
      </c>
      <c r="K92" s="143" t="b">
        <f t="shared" si="41"/>
        <v>1</v>
      </c>
    </row>
    <row r="93" spans="1:11">
      <c r="A93" s="121" t="str">
        <f t="shared" si="43"/>
        <v>SEPTEMBRE</v>
      </c>
      <c r="B93" s="126" t="str">
        <f t="shared" si="36"/>
        <v>T73</v>
      </c>
      <c r="C93" s="32">
        <f t="shared" si="37"/>
        <v>59200</v>
      </c>
      <c r="D93" s="118"/>
      <c r="E93" s="32">
        <f t="shared" si="47"/>
        <v>774000</v>
      </c>
      <c r="F93" s="51"/>
      <c r="G93" s="137"/>
      <c r="H93" s="55">
        <f t="shared" si="38"/>
        <v>0</v>
      </c>
      <c r="I93" s="32">
        <f t="shared" si="39"/>
        <v>789700</v>
      </c>
      <c r="J93" s="30">
        <f t="shared" si="46"/>
        <v>43500</v>
      </c>
      <c r="K93" s="143" t="b">
        <f t="shared" si="41"/>
        <v>1</v>
      </c>
    </row>
    <row r="94" spans="1:11">
      <c r="A94" s="34" t="s">
        <v>60</v>
      </c>
      <c r="B94" s="35"/>
      <c r="C94" s="35"/>
      <c r="D94" s="35"/>
      <c r="E94" s="35"/>
      <c r="F94" s="35"/>
      <c r="G94" s="35"/>
      <c r="H94" s="35"/>
      <c r="I94" s="35"/>
      <c r="J94" s="36"/>
      <c r="K94" s="142"/>
    </row>
    <row r="95" spans="1:11">
      <c r="A95" s="121" t="str">
        <f>A93</f>
        <v>SEPTEMBRE</v>
      </c>
      <c r="B95" s="37" t="s">
        <v>61</v>
      </c>
      <c r="C95" s="38">
        <f>+C56</f>
        <v>376082</v>
      </c>
      <c r="D95" s="49"/>
      <c r="E95" s="49">
        <f>D56</f>
        <v>8502900</v>
      </c>
      <c r="F95" s="49"/>
      <c r="G95" s="124"/>
      <c r="H95" s="51">
        <f>+F56</f>
        <v>5730800</v>
      </c>
      <c r="I95" s="125">
        <f>+E56</f>
        <v>2813207</v>
      </c>
      <c r="J95" s="30">
        <f>+SUM(C95:G95)-(H95+I95)</f>
        <v>334975</v>
      </c>
      <c r="K95" s="143" t="b">
        <f>J95=I56</f>
        <v>1</v>
      </c>
    </row>
    <row r="96" spans="1:11">
      <c r="A96" s="43" t="s">
        <v>62</v>
      </c>
      <c r="B96" s="24"/>
      <c r="C96" s="35"/>
      <c r="D96" s="24"/>
      <c r="E96" s="24"/>
      <c r="F96" s="24"/>
      <c r="G96" s="24"/>
      <c r="H96" s="24"/>
      <c r="I96" s="24"/>
      <c r="J96" s="36"/>
      <c r="K96" s="142"/>
    </row>
    <row r="97" spans="1:16">
      <c r="A97" s="121" t="str">
        <f>+A95</f>
        <v>SEPTEMBRE</v>
      </c>
      <c r="B97" s="37" t="s">
        <v>24</v>
      </c>
      <c r="C97" s="124">
        <f>+C54</f>
        <v>7301705</v>
      </c>
      <c r="D97" s="131">
        <f>+G54</f>
        <v>0</v>
      </c>
      <c r="E97" s="49"/>
      <c r="F97" s="49"/>
      <c r="G97" s="49"/>
      <c r="H97" s="51">
        <f>+F54</f>
        <v>6000000</v>
      </c>
      <c r="I97" s="53">
        <f>+E54</f>
        <v>173345</v>
      </c>
      <c r="J97" s="30">
        <f>+SUM(C97:G97)-(H97+I97)</f>
        <v>1128360</v>
      </c>
      <c r="K97" s="143" t="b">
        <f>+J97=I54</f>
        <v>1</v>
      </c>
    </row>
    <row r="98" spans="1:16">
      <c r="A98" s="121" t="str">
        <f t="shared" ref="A98" si="48">+A97</f>
        <v>SEPTEMBRE</v>
      </c>
      <c r="B98" s="37" t="s">
        <v>64</v>
      </c>
      <c r="C98" s="124">
        <f>+C55</f>
        <v>9607481</v>
      </c>
      <c r="D98" s="49">
        <f>+G55</f>
        <v>0</v>
      </c>
      <c r="E98" s="48"/>
      <c r="F98" s="48"/>
      <c r="G98" s="48">
        <f>+D55</f>
        <v>0</v>
      </c>
      <c r="H98" s="32">
        <f>+F55</f>
        <v>2000000</v>
      </c>
      <c r="I98" s="50">
        <f>+E55</f>
        <v>5447141</v>
      </c>
      <c r="J98" s="30">
        <f>+SUM(C98:G98)-(H98+I98)</f>
        <v>2160340</v>
      </c>
      <c r="K98" s="143" t="b">
        <f>+J98=I55</f>
        <v>1</v>
      </c>
    </row>
    <row r="99" spans="1:16" ht="15.75">
      <c r="C99" s="140">
        <f>SUM(C81:C98)</f>
        <v>19545576</v>
      </c>
      <c r="I99" s="139">
        <f>SUM(I81:I98)</f>
        <v>14920343</v>
      </c>
      <c r="J99" s="104">
        <f>+SUM(J81:J98)</f>
        <v>4625233</v>
      </c>
      <c r="K99" s="5" t="b">
        <f>J99=I70</f>
        <v>1</v>
      </c>
    </row>
    <row r="100" spans="1:16" ht="15.75">
      <c r="C100" s="140"/>
      <c r="I100" s="139"/>
      <c r="J100" s="104"/>
    </row>
    <row r="101" spans="1:16" ht="15.75">
      <c r="A101" s="157"/>
      <c r="B101" s="157"/>
      <c r="C101" s="158"/>
      <c r="D101" s="157"/>
      <c r="E101" s="157"/>
      <c r="F101" s="157"/>
      <c r="G101" s="157"/>
      <c r="H101" s="157"/>
      <c r="I101" s="159"/>
      <c r="J101" s="160"/>
      <c r="K101" s="157"/>
      <c r="L101" s="161"/>
      <c r="M101" s="161"/>
      <c r="N101" s="161"/>
      <c r="O101" s="161"/>
      <c r="P101" s="157"/>
    </row>
    <row r="103" spans="1:16" ht="15.75">
      <c r="A103" s="6" t="s">
        <v>36</v>
      </c>
      <c r="B103" s="6" t="s">
        <v>1</v>
      </c>
      <c r="C103" s="6">
        <v>45139</v>
      </c>
      <c r="D103" s="7" t="s">
        <v>37</v>
      </c>
      <c r="E103" s="7" t="s">
        <v>38</v>
      </c>
      <c r="F103" s="7" t="s">
        <v>39</v>
      </c>
      <c r="G103" s="7" t="s">
        <v>40</v>
      </c>
      <c r="H103" s="6">
        <v>45169</v>
      </c>
      <c r="I103" s="7" t="s">
        <v>41</v>
      </c>
      <c r="K103" s="45"/>
      <c r="L103" s="45" t="s">
        <v>42</v>
      </c>
      <c r="M103" s="45" t="s">
        <v>43</v>
      </c>
      <c r="N103" s="45" t="s">
        <v>44</v>
      </c>
      <c r="O103" s="45" t="s">
        <v>45</v>
      </c>
    </row>
    <row r="104" spans="1:16" ht="16.5">
      <c r="A104" s="58" t="str">
        <f>K104</f>
        <v>BCI</v>
      </c>
      <c r="B104" s="59" t="s">
        <v>46</v>
      </c>
      <c r="C104" s="61">
        <v>4607330</v>
      </c>
      <c r="D104" s="61">
        <f>+L104</f>
        <v>0</v>
      </c>
      <c r="E104" s="61">
        <f>+N104</f>
        <v>993345</v>
      </c>
      <c r="F104" s="61">
        <f>+M104</f>
        <v>2000000</v>
      </c>
      <c r="G104" s="61">
        <f t="shared" ref="G104:G120" si="49">+O104</f>
        <v>5687720</v>
      </c>
      <c r="H104" s="61">
        <v>7301705</v>
      </c>
      <c r="I104" s="61">
        <f>+C104+D104-E104-F104+G104</f>
        <v>7301705</v>
      </c>
      <c r="J104" s="9">
        <f>I104-H104</f>
        <v>0</v>
      </c>
      <c r="K104" s="45" t="s">
        <v>24</v>
      </c>
      <c r="L104" s="178">
        <v>0</v>
      </c>
      <c r="M104" s="178">
        <v>2000000</v>
      </c>
      <c r="N104" s="178">
        <v>993345</v>
      </c>
      <c r="O104" s="178">
        <v>5687720</v>
      </c>
    </row>
    <row r="105" spans="1:16" ht="16.5">
      <c r="A105" s="58" t="str">
        <f t="shared" ref="A105:A120" si="50">K105</f>
        <v>BCI-Sous Compte</v>
      </c>
      <c r="B105" s="59" t="s">
        <v>46</v>
      </c>
      <c r="C105" s="61">
        <v>16185729</v>
      </c>
      <c r="D105" s="61">
        <f>+L105</f>
        <v>0</v>
      </c>
      <c r="E105" s="61">
        <f t="shared" ref="E105:E111" si="51">+N105</f>
        <v>2578288</v>
      </c>
      <c r="F105" s="61">
        <f t="shared" ref="F105:F113" si="52">+M105</f>
        <v>4000000</v>
      </c>
      <c r="G105" s="61">
        <f t="shared" si="49"/>
        <v>0</v>
      </c>
      <c r="H105" s="61">
        <v>9607441</v>
      </c>
      <c r="I105" s="61">
        <f t="shared" ref="I105:I111" si="53">+C105+D105-E105-F105+G105</f>
        <v>9607441</v>
      </c>
      <c r="J105" s="9">
        <f t="shared" ref="J105:J120" si="54">I105-H105</f>
        <v>0</v>
      </c>
      <c r="K105" s="45" t="s">
        <v>148</v>
      </c>
      <c r="L105" s="178">
        <v>0</v>
      </c>
      <c r="M105" s="178">
        <v>4000000</v>
      </c>
      <c r="N105" s="178">
        <v>2578288</v>
      </c>
      <c r="O105" s="178">
        <v>0</v>
      </c>
    </row>
    <row r="106" spans="1:16" ht="16.5">
      <c r="A106" s="58" t="str">
        <f t="shared" si="50"/>
        <v>Caisse</v>
      </c>
      <c r="B106" s="59" t="s">
        <v>25</v>
      </c>
      <c r="C106" s="61">
        <v>1129247</v>
      </c>
      <c r="D106" s="61">
        <f t="shared" ref="D106:D120" si="55">+L106</f>
        <v>6074300</v>
      </c>
      <c r="E106" s="61">
        <f t="shared" si="51"/>
        <v>1821465</v>
      </c>
      <c r="F106" s="61">
        <f t="shared" si="52"/>
        <v>5006000</v>
      </c>
      <c r="G106" s="61">
        <f t="shared" si="49"/>
        <v>0</v>
      </c>
      <c r="H106" s="61">
        <v>376082</v>
      </c>
      <c r="I106" s="61">
        <f t="shared" si="53"/>
        <v>376082</v>
      </c>
      <c r="J106" s="9">
        <f t="shared" si="54"/>
        <v>0</v>
      </c>
      <c r="K106" s="45" t="s">
        <v>25</v>
      </c>
      <c r="L106" s="178">
        <v>6074300</v>
      </c>
      <c r="M106" s="178">
        <v>5006000</v>
      </c>
      <c r="N106" s="178">
        <v>1821465</v>
      </c>
      <c r="O106" s="178">
        <v>0</v>
      </c>
    </row>
    <row r="107" spans="1:16" ht="16.5">
      <c r="A107" s="58" t="str">
        <f t="shared" si="50"/>
        <v>Crépin</v>
      </c>
      <c r="B107" s="59" t="s">
        <v>2</v>
      </c>
      <c r="C107" s="61">
        <v>229120</v>
      </c>
      <c r="D107" s="61">
        <f t="shared" si="55"/>
        <v>845000</v>
      </c>
      <c r="E107" s="61">
        <f t="shared" si="51"/>
        <v>591000</v>
      </c>
      <c r="F107" s="61">
        <f t="shared" si="52"/>
        <v>0</v>
      </c>
      <c r="G107" s="61">
        <f t="shared" si="49"/>
        <v>0</v>
      </c>
      <c r="H107" s="61">
        <v>483120</v>
      </c>
      <c r="I107" s="61">
        <f t="shared" si="53"/>
        <v>483120</v>
      </c>
      <c r="J107" s="9">
        <f t="shared" si="54"/>
        <v>0</v>
      </c>
      <c r="K107" s="45" t="s">
        <v>47</v>
      </c>
      <c r="L107" s="178">
        <v>845000</v>
      </c>
      <c r="M107" s="178">
        <v>0</v>
      </c>
      <c r="N107" s="178">
        <v>591000</v>
      </c>
      <c r="O107" s="178">
        <v>0</v>
      </c>
    </row>
    <row r="108" spans="1:16" ht="16.5">
      <c r="A108" s="58" t="str">
        <f t="shared" si="50"/>
        <v>D58</v>
      </c>
      <c r="B108" s="59" t="s">
        <v>4</v>
      </c>
      <c r="C108" s="61">
        <v>44300</v>
      </c>
      <c r="D108" s="61">
        <f t="shared" si="55"/>
        <v>0</v>
      </c>
      <c r="E108" s="61">
        <f t="shared" si="51"/>
        <v>0</v>
      </c>
      <c r="F108" s="61">
        <f t="shared" si="52"/>
        <v>44300</v>
      </c>
      <c r="G108" s="61">
        <f t="shared" si="49"/>
        <v>0</v>
      </c>
      <c r="H108" s="61">
        <v>0</v>
      </c>
      <c r="I108" s="61">
        <f t="shared" si="53"/>
        <v>0</v>
      </c>
      <c r="J108" s="9">
        <f>I108-H108</f>
        <v>0</v>
      </c>
      <c r="K108" s="45" t="s">
        <v>269</v>
      </c>
      <c r="L108" s="178">
        <v>0</v>
      </c>
      <c r="M108" s="178">
        <v>44300</v>
      </c>
      <c r="N108" s="178">
        <v>0</v>
      </c>
      <c r="O108" s="178">
        <v>0</v>
      </c>
    </row>
    <row r="109" spans="1:16" ht="16.5">
      <c r="A109" s="58" t="str">
        <f t="shared" si="50"/>
        <v>Donald-Roméo</v>
      </c>
      <c r="B109" s="59" t="s">
        <v>154</v>
      </c>
      <c r="C109" s="61">
        <v>44655</v>
      </c>
      <c r="D109" s="61">
        <f t="shared" si="55"/>
        <v>517000</v>
      </c>
      <c r="E109" s="61">
        <f t="shared" si="51"/>
        <v>447800</v>
      </c>
      <c r="F109" s="61">
        <f t="shared" si="52"/>
        <v>25000</v>
      </c>
      <c r="G109" s="61">
        <f t="shared" si="49"/>
        <v>0</v>
      </c>
      <c r="H109" s="61">
        <v>88855</v>
      </c>
      <c r="I109" s="61">
        <f t="shared" si="53"/>
        <v>88855</v>
      </c>
      <c r="J109" s="9">
        <f t="shared" si="54"/>
        <v>0</v>
      </c>
      <c r="K109" s="45" t="s">
        <v>297</v>
      </c>
      <c r="L109" s="178">
        <v>517000</v>
      </c>
      <c r="M109" s="178">
        <v>25000</v>
      </c>
      <c r="N109" s="178">
        <v>447800</v>
      </c>
      <c r="O109" s="178">
        <v>0</v>
      </c>
    </row>
    <row r="110" spans="1:16" ht="16.5">
      <c r="A110" s="58" t="str">
        <f t="shared" si="50"/>
        <v>Dovi</v>
      </c>
      <c r="B110" s="59" t="s">
        <v>2</v>
      </c>
      <c r="C110" s="61">
        <v>48000</v>
      </c>
      <c r="D110" s="61">
        <f t="shared" si="55"/>
        <v>421000</v>
      </c>
      <c r="E110" s="61">
        <f t="shared" si="51"/>
        <v>54000</v>
      </c>
      <c r="F110" s="61">
        <f t="shared" si="52"/>
        <v>0</v>
      </c>
      <c r="G110" s="61">
        <f t="shared" si="49"/>
        <v>0</v>
      </c>
      <c r="H110" s="61">
        <v>415000</v>
      </c>
      <c r="I110" s="61">
        <f t="shared" si="53"/>
        <v>415000</v>
      </c>
      <c r="J110" s="9">
        <f t="shared" si="54"/>
        <v>0</v>
      </c>
      <c r="K110" s="45" t="s">
        <v>305</v>
      </c>
      <c r="L110" s="178">
        <v>421000</v>
      </c>
      <c r="M110" s="178">
        <v>0</v>
      </c>
      <c r="N110" s="178">
        <v>54000</v>
      </c>
      <c r="O110" s="178">
        <v>0</v>
      </c>
    </row>
    <row r="111" spans="1:16" ht="16.5">
      <c r="A111" s="58" t="str">
        <f t="shared" si="50"/>
        <v>Evariste</v>
      </c>
      <c r="B111" s="59" t="s">
        <v>155</v>
      </c>
      <c r="C111" s="61">
        <v>17975</v>
      </c>
      <c r="D111" s="61">
        <f t="shared" si="55"/>
        <v>297000</v>
      </c>
      <c r="E111" s="61">
        <f t="shared" si="51"/>
        <v>239000</v>
      </c>
      <c r="F111" s="61">
        <f t="shared" si="52"/>
        <v>0</v>
      </c>
      <c r="G111" s="61">
        <f t="shared" si="49"/>
        <v>0</v>
      </c>
      <c r="H111" s="61">
        <v>75975</v>
      </c>
      <c r="I111" s="61">
        <f t="shared" si="53"/>
        <v>75975</v>
      </c>
      <c r="J111" s="9">
        <f t="shared" si="54"/>
        <v>0</v>
      </c>
      <c r="K111" s="45" t="s">
        <v>31</v>
      </c>
      <c r="L111" s="178">
        <v>297000</v>
      </c>
      <c r="M111" s="178">
        <v>0</v>
      </c>
      <c r="N111" s="178">
        <v>239000</v>
      </c>
      <c r="O111" s="178">
        <v>0</v>
      </c>
    </row>
    <row r="112" spans="1:16" ht="16.5">
      <c r="A112" s="58" t="str">
        <f t="shared" si="50"/>
        <v>I55S</v>
      </c>
      <c r="B112" s="115" t="s">
        <v>4</v>
      </c>
      <c r="C112" s="117">
        <v>233614</v>
      </c>
      <c r="D112" s="117">
        <f t="shared" si="55"/>
        <v>0</v>
      </c>
      <c r="E112" s="117">
        <f>+N112</f>
        <v>0</v>
      </c>
      <c r="F112" s="117">
        <f t="shared" si="52"/>
        <v>0</v>
      </c>
      <c r="G112" s="117">
        <f t="shared" si="49"/>
        <v>0</v>
      </c>
      <c r="H112" s="117">
        <v>233614</v>
      </c>
      <c r="I112" s="117">
        <f>+C112+D112-E112-F112+G112</f>
        <v>233614</v>
      </c>
      <c r="J112" s="9">
        <f t="shared" si="54"/>
        <v>0</v>
      </c>
      <c r="K112" s="45" t="s">
        <v>84</v>
      </c>
      <c r="L112" s="178">
        <v>0</v>
      </c>
      <c r="M112" s="178">
        <v>0</v>
      </c>
      <c r="N112" s="178">
        <v>0</v>
      </c>
      <c r="O112" s="178">
        <v>0</v>
      </c>
    </row>
    <row r="113" spans="1:15" ht="16.5">
      <c r="A113" s="58" t="str">
        <f t="shared" si="50"/>
        <v>I73X</v>
      </c>
      <c r="B113" s="115" t="s">
        <v>4</v>
      </c>
      <c r="C113" s="117">
        <v>249769</v>
      </c>
      <c r="D113" s="117">
        <f t="shared" si="55"/>
        <v>0</v>
      </c>
      <c r="E113" s="117">
        <f>+N113</f>
        <v>0</v>
      </c>
      <c r="F113" s="117">
        <f t="shared" si="52"/>
        <v>0</v>
      </c>
      <c r="G113" s="117">
        <f t="shared" si="49"/>
        <v>0</v>
      </c>
      <c r="H113" s="117">
        <v>249769</v>
      </c>
      <c r="I113" s="117">
        <f t="shared" ref="I113:I120" si="56">+C113+D113-E113-F113+G113</f>
        <v>249769</v>
      </c>
      <c r="J113" s="9">
        <f t="shared" si="54"/>
        <v>0</v>
      </c>
      <c r="K113" s="45" t="s">
        <v>83</v>
      </c>
      <c r="L113" s="178">
        <v>0</v>
      </c>
      <c r="M113" s="178">
        <v>0</v>
      </c>
      <c r="N113" s="178">
        <v>0</v>
      </c>
      <c r="O113" s="178">
        <v>0</v>
      </c>
    </row>
    <row r="114" spans="1:15" ht="16.5">
      <c r="A114" s="58" t="str">
        <f t="shared" si="50"/>
        <v>Grace</v>
      </c>
      <c r="B114" s="59" t="s">
        <v>2</v>
      </c>
      <c r="C114" s="181">
        <v>155150</v>
      </c>
      <c r="D114" s="61">
        <f t="shared" si="55"/>
        <v>0</v>
      </c>
      <c r="E114" s="61">
        <f t="shared" ref="E114:E120" si="57">+N114</f>
        <v>19000</v>
      </c>
      <c r="F114" s="61">
        <f>+M114</f>
        <v>0</v>
      </c>
      <c r="G114" s="61">
        <f t="shared" si="49"/>
        <v>0</v>
      </c>
      <c r="H114" s="181">
        <v>136150</v>
      </c>
      <c r="I114" s="181">
        <f t="shared" si="56"/>
        <v>136150</v>
      </c>
      <c r="J114" s="9">
        <f t="shared" si="54"/>
        <v>0</v>
      </c>
      <c r="K114" s="183" t="s">
        <v>143</v>
      </c>
      <c r="L114" s="178">
        <v>0</v>
      </c>
      <c r="M114" s="178">
        <v>0</v>
      </c>
      <c r="N114" s="178">
        <v>19000</v>
      </c>
      <c r="O114" s="178">
        <v>0</v>
      </c>
    </row>
    <row r="115" spans="1:15" ht="16.5">
      <c r="A115" s="58" t="str">
        <f t="shared" si="50"/>
        <v>Hurielle</v>
      </c>
      <c r="B115" s="97" t="s">
        <v>154</v>
      </c>
      <c r="C115" s="61">
        <v>3500</v>
      </c>
      <c r="D115" s="61">
        <f t="shared" si="55"/>
        <v>166000</v>
      </c>
      <c r="E115" s="61">
        <f t="shared" si="57"/>
        <v>55000</v>
      </c>
      <c r="F115" s="61">
        <f t="shared" ref="F115:F120" si="58">+M115</f>
        <v>0</v>
      </c>
      <c r="G115" s="61">
        <f t="shared" si="49"/>
        <v>0</v>
      </c>
      <c r="H115" s="181">
        <v>114500</v>
      </c>
      <c r="I115" s="181">
        <f t="shared" si="56"/>
        <v>114500</v>
      </c>
      <c r="J115" s="9">
        <f t="shared" si="54"/>
        <v>0</v>
      </c>
      <c r="K115" s="45" t="s">
        <v>197</v>
      </c>
      <c r="L115" s="178">
        <v>166000</v>
      </c>
      <c r="M115" s="178">
        <v>0</v>
      </c>
      <c r="N115" s="178">
        <v>55000</v>
      </c>
      <c r="O115" s="178">
        <v>0</v>
      </c>
    </row>
    <row r="116" spans="1:15" ht="16.5">
      <c r="A116" s="58" t="str">
        <f t="shared" si="50"/>
        <v>IT87</v>
      </c>
      <c r="B116" s="59" t="s">
        <v>4</v>
      </c>
      <c r="C116" s="181">
        <v>2000</v>
      </c>
      <c r="D116" s="61">
        <f t="shared" si="55"/>
        <v>560000</v>
      </c>
      <c r="E116" s="61">
        <f t="shared" si="57"/>
        <v>556000</v>
      </c>
      <c r="F116" s="61">
        <f t="shared" si="58"/>
        <v>0</v>
      </c>
      <c r="G116" s="61">
        <f t="shared" si="49"/>
        <v>0</v>
      </c>
      <c r="H116" s="181">
        <v>6000</v>
      </c>
      <c r="I116" s="181">
        <f t="shared" si="56"/>
        <v>6000</v>
      </c>
      <c r="J116" s="9">
        <f t="shared" si="54"/>
        <v>0</v>
      </c>
      <c r="K116" s="183" t="s">
        <v>312</v>
      </c>
      <c r="L116" s="178">
        <v>560000</v>
      </c>
      <c r="M116" s="178">
        <v>0</v>
      </c>
      <c r="N116" s="178">
        <v>556000</v>
      </c>
      <c r="O116" s="178">
        <v>0</v>
      </c>
    </row>
    <row r="117" spans="1:15" ht="16.5">
      <c r="A117" s="58" t="str">
        <f t="shared" si="50"/>
        <v>Merveille</v>
      </c>
      <c r="B117" s="97" t="s">
        <v>320</v>
      </c>
      <c r="C117" s="61">
        <v>36600</v>
      </c>
      <c r="D117" s="61">
        <f t="shared" si="55"/>
        <v>209000</v>
      </c>
      <c r="E117" s="61">
        <f t="shared" si="57"/>
        <v>85000</v>
      </c>
      <c r="F117" s="61">
        <f t="shared" si="58"/>
        <v>5000</v>
      </c>
      <c r="G117" s="61">
        <f t="shared" si="49"/>
        <v>0</v>
      </c>
      <c r="H117" s="181">
        <v>155600</v>
      </c>
      <c r="I117" s="181">
        <f t="shared" si="56"/>
        <v>155600</v>
      </c>
      <c r="J117" s="9">
        <f t="shared" si="54"/>
        <v>0</v>
      </c>
      <c r="K117" s="45" t="s">
        <v>93</v>
      </c>
      <c r="L117" s="178">
        <v>209000</v>
      </c>
      <c r="M117" s="178">
        <v>5000</v>
      </c>
      <c r="N117" s="178">
        <v>85000</v>
      </c>
      <c r="O117" s="178">
        <v>0</v>
      </c>
    </row>
    <row r="118" spans="1:15" ht="16.5">
      <c r="A118" s="58" t="str">
        <f t="shared" si="50"/>
        <v>Oracle</v>
      </c>
      <c r="B118" s="97" t="s">
        <v>154</v>
      </c>
      <c r="C118" s="61">
        <v>96225</v>
      </c>
      <c r="D118" s="61">
        <f t="shared" si="55"/>
        <v>270000</v>
      </c>
      <c r="E118" s="61">
        <f t="shared" si="57"/>
        <v>248800</v>
      </c>
      <c r="F118" s="61">
        <f t="shared" si="58"/>
        <v>0</v>
      </c>
      <c r="G118" s="61">
        <f t="shared" si="49"/>
        <v>0</v>
      </c>
      <c r="H118" s="181">
        <v>117425</v>
      </c>
      <c r="I118" s="181">
        <f t="shared" si="56"/>
        <v>117425</v>
      </c>
      <c r="J118" s="9">
        <f t="shared" si="54"/>
        <v>0</v>
      </c>
      <c r="K118" s="45" t="s">
        <v>298</v>
      </c>
      <c r="L118" s="178">
        <v>270000</v>
      </c>
      <c r="M118" s="178">
        <v>0</v>
      </c>
      <c r="N118" s="178">
        <v>248800</v>
      </c>
      <c r="O118" s="178">
        <v>0</v>
      </c>
    </row>
    <row r="119" spans="1:15" ht="16.5">
      <c r="A119" s="58" t="str">
        <f t="shared" si="50"/>
        <v>P29</v>
      </c>
      <c r="B119" s="59" t="s">
        <v>4</v>
      </c>
      <c r="C119" s="61">
        <v>47800</v>
      </c>
      <c r="D119" s="61">
        <f t="shared" si="55"/>
        <v>861000</v>
      </c>
      <c r="E119" s="61">
        <f t="shared" si="57"/>
        <v>783700</v>
      </c>
      <c r="F119" s="61">
        <f t="shared" si="58"/>
        <v>0</v>
      </c>
      <c r="G119" s="61">
        <f t="shared" si="49"/>
        <v>0</v>
      </c>
      <c r="H119" s="181">
        <v>125100</v>
      </c>
      <c r="I119" s="181">
        <f t="shared" si="56"/>
        <v>125100</v>
      </c>
      <c r="J119" s="9">
        <f t="shared" si="54"/>
        <v>0</v>
      </c>
      <c r="K119" s="45" t="s">
        <v>29</v>
      </c>
      <c r="L119" s="178">
        <v>861000</v>
      </c>
      <c r="M119" s="178">
        <v>0</v>
      </c>
      <c r="N119" s="178">
        <v>783700</v>
      </c>
      <c r="O119" s="178">
        <v>0</v>
      </c>
    </row>
    <row r="120" spans="1:15" ht="16.5">
      <c r="A120" s="58" t="str">
        <f t="shared" si="50"/>
        <v>T73</v>
      </c>
      <c r="B120" s="59" t="s">
        <v>4</v>
      </c>
      <c r="C120" s="61">
        <v>10200</v>
      </c>
      <c r="D120" s="61">
        <f t="shared" si="55"/>
        <v>860000</v>
      </c>
      <c r="E120" s="61">
        <f t="shared" si="57"/>
        <v>811000</v>
      </c>
      <c r="F120" s="61">
        <f t="shared" si="58"/>
        <v>0</v>
      </c>
      <c r="G120" s="61">
        <f t="shared" si="49"/>
        <v>0</v>
      </c>
      <c r="H120" s="181">
        <v>59200</v>
      </c>
      <c r="I120" s="181">
        <f t="shared" si="56"/>
        <v>59200</v>
      </c>
      <c r="J120" s="9">
        <f t="shared" si="54"/>
        <v>0</v>
      </c>
      <c r="K120" s="45" t="s">
        <v>268</v>
      </c>
      <c r="L120" s="178">
        <v>860000</v>
      </c>
      <c r="M120" s="178">
        <v>0</v>
      </c>
      <c r="N120" s="178">
        <v>811000</v>
      </c>
      <c r="O120" s="178">
        <v>0</v>
      </c>
    </row>
    <row r="121" spans="1:15" ht="16.5">
      <c r="A121" s="10" t="s">
        <v>50</v>
      </c>
      <c r="B121" s="11"/>
      <c r="C121" s="12">
        <f t="shared" ref="C121:I121" si="59">SUM(C104:C120)</f>
        <v>23141214</v>
      </c>
      <c r="D121" s="57">
        <f t="shared" si="59"/>
        <v>11080300</v>
      </c>
      <c r="E121" s="57">
        <f t="shared" si="59"/>
        <v>9283398</v>
      </c>
      <c r="F121" s="57">
        <f t="shared" si="59"/>
        <v>11080300</v>
      </c>
      <c r="G121" s="57">
        <f t="shared" si="59"/>
        <v>5687720</v>
      </c>
      <c r="H121" s="57">
        <f t="shared" si="59"/>
        <v>19545536</v>
      </c>
      <c r="I121" s="57">
        <f t="shared" si="59"/>
        <v>19545536</v>
      </c>
      <c r="J121" s="9"/>
      <c r="K121" s="3"/>
      <c r="L121" s="47">
        <f>+SUM(L104:L120)</f>
        <v>11080300</v>
      </c>
      <c r="M121" s="47">
        <f>+SUM(M104:M120)</f>
        <v>11080300</v>
      </c>
      <c r="N121" s="47">
        <f>+SUM(N104:N120)</f>
        <v>9283398</v>
      </c>
      <c r="O121" s="47">
        <f>+SUM(O104:O120)</f>
        <v>5687720</v>
      </c>
    </row>
    <row r="122" spans="1:15" ht="16.5">
      <c r="A122" s="10"/>
      <c r="B122" s="11"/>
      <c r="C122" s="12"/>
      <c r="D122" s="13"/>
      <c r="E122" s="12"/>
      <c r="F122" s="13"/>
      <c r="G122" s="12"/>
      <c r="H122" s="12"/>
      <c r="I122" s="13" t="b">
        <f>I121=D124</f>
        <v>1</v>
      </c>
      <c r="J122" s="9"/>
      <c r="L122" s="5"/>
      <c r="M122" s="5"/>
      <c r="N122" s="5"/>
      <c r="O122" s="5"/>
    </row>
    <row r="123" spans="1:15" ht="16.5">
      <c r="A123" s="10" t="s">
        <v>316</v>
      </c>
      <c r="B123" s="11" t="s">
        <v>231</v>
      </c>
      <c r="C123" s="12" t="s">
        <v>232</v>
      </c>
      <c r="D123" s="12" t="s">
        <v>317</v>
      </c>
      <c r="E123" s="12" t="s">
        <v>51</v>
      </c>
      <c r="F123" s="12"/>
      <c r="G123" s="12">
        <f>+D121-F121</f>
        <v>0</v>
      </c>
      <c r="H123" s="12"/>
      <c r="I123" s="207"/>
    </row>
    <row r="124" spans="1:15" ht="16.5">
      <c r="A124" s="14">
        <f>C121</f>
        <v>23141214</v>
      </c>
      <c r="B124" s="15">
        <f>G121</f>
        <v>5687720</v>
      </c>
      <c r="C124" s="12">
        <f>E121</f>
        <v>9283398</v>
      </c>
      <c r="D124" s="12">
        <f>A124+B124-C124</f>
        <v>19545536</v>
      </c>
      <c r="E124" s="13">
        <f>I121-D124</f>
        <v>0</v>
      </c>
      <c r="F124" s="12"/>
      <c r="G124" s="12"/>
      <c r="H124" s="12"/>
      <c r="I124" s="12"/>
    </row>
    <row r="125" spans="1:15" ht="16.5">
      <c r="A125" s="14"/>
      <c r="B125" s="15"/>
      <c r="C125" s="12"/>
      <c r="D125" s="12"/>
      <c r="E125" s="13"/>
      <c r="F125" s="12"/>
      <c r="G125" s="12"/>
      <c r="H125" s="12"/>
      <c r="I125" s="12"/>
    </row>
    <row r="126" spans="1:15">
      <c r="A126" s="16" t="s">
        <v>52</v>
      </c>
      <c r="B126" s="16"/>
      <c r="C126" s="16"/>
      <c r="D126" s="17"/>
      <c r="E126" s="17"/>
      <c r="F126" s="17"/>
      <c r="G126" s="17"/>
      <c r="H126" s="17"/>
      <c r="I126" s="17"/>
    </row>
    <row r="127" spans="1:15">
      <c r="A127" s="18" t="s">
        <v>321</v>
      </c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5">
      <c r="A128" s="19"/>
      <c r="B128" s="17"/>
      <c r="C128" s="20"/>
      <c r="D128" s="20"/>
      <c r="E128" s="20"/>
      <c r="F128" s="20"/>
      <c r="G128" s="20"/>
      <c r="H128" s="17"/>
      <c r="I128" s="17"/>
    </row>
    <row r="129" spans="1:11">
      <c r="A129" s="166" t="s">
        <v>53</v>
      </c>
      <c r="B129" s="168" t="s">
        <v>54</v>
      </c>
      <c r="C129" s="170" t="s">
        <v>318</v>
      </c>
      <c r="D129" s="171" t="s">
        <v>55</v>
      </c>
      <c r="E129" s="172"/>
      <c r="F129" s="172"/>
      <c r="G129" s="173"/>
      <c r="H129" s="174" t="s">
        <v>56</v>
      </c>
      <c r="I129" s="162" t="s">
        <v>57</v>
      </c>
      <c r="J129" s="205"/>
    </row>
    <row r="130" spans="1:11" ht="25.5">
      <c r="A130" s="167"/>
      <c r="B130" s="169"/>
      <c r="C130" s="22"/>
      <c r="D130" s="21" t="s">
        <v>24</v>
      </c>
      <c r="E130" s="21" t="s">
        <v>25</v>
      </c>
      <c r="F130" s="22" t="s">
        <v>123</v>
      </c>
      <c r="G130" s="21" t="s">
        <v>58</v>
      </c>
      <c r="H130" s="175"/>
      <c r="I130" s="163"/>
      <c r="J130" s="165" t="s">
        <v>319</v>
      </c>
      <c r="K130" s="142"/>
    </row>
    <row r="131" spans="1:11">
      <c r="A131" s="23"/>
      <c r="B131" s="24" t="s">
        <v>59</v>
      </c>
      <c r="C131" s="25"/>
      <c r="D131" s="25"/>
      <c r="E131" s="25"/>
      <c r="F131" s="25"/>
      <c r="G131" s="25"/>
      <c r="H131" s="25"/>
      <c r="I131" s="26"/>
      <c r="J131" s="165"/>
      <c r="K131" s="142"/>
    </row>
    <row r="132" spans="1:11">
      <c r="A132" s="121" t="s">
        <v>139</v>
      </c>
      <c r="B132" s="126" t="str">
        <f>A107</f>
        <v>Crépin</v>
      </c>
      <c r="C132" s="32">
        <f>+C107</f>
        <v>229120</v>
      </c>
      <c r="D132" s="31"/>
      <c r="E132" s="32">
        <f>+D107</f>
        <v>845000</v>
      </c>
      <c r="F132" s="32"/>
      <c r="G132" s="32"/>
      <c r="H132" s="55">
        <f>+F107</f>
        <v>0</v>
      </c>
      <c r="I132" s="32">
        <f t="shared" ref="I132:I145" si="60">+E107</f>
        <v>591000</v>
      </c>
      <c r="J132" s="30">
        <f t="shared" ref="J132:J134" si="61">+SUM(C132:G132)-(H132+I132)</f>
        <v>483120</v>
      </c>
      <c r="K132" s="143" t="b">
        <f t="shared" ref="K132:K145" si="62">J132=I107</f>
        <v>1</v>
      </c>
    </row>
    <row r="133" spans="1:11">
      <c r="A133" s="121" t="str">
        <f>+A132</f>
        <v>AOUT</v>
      </c>
      <c r="B133" s="126" t="str">
        <f t="shared" ref="B133:B145" si="63">A108</f>
        <v>D58</v>
      </c>
      <c r="C133" s="32">
        <f>+C108</f>
        <v>44300</v>
      </c>
      <c r="D133" s="31"/>
      <c r="E133" s="32">
        <f>+D108</f>
        <v>0</v>
      </c>
      <c r="F133" s="32"/>
      <c r="G133" s="32"/>
      <c r="H133" s="55">
        <f>+F108</f>
        <v>44300</v>
      </c>
      <c r="I133" s="32">
        <f t="shared" si="60"/>
        <v>0</v>
      </c>
      <c r="J133" s="30">
        <f t="shared" si="61"/>
        <v>0</v>
      </c>
      <c r="K133" s="143" t="b">
        <f t="shared" si="62"/>
        <v>1</v>
      </c>
    </row>
    <row r="134" spans="1:11">
      <c r="A134" s="121" t="str">
        <f t="shared" ref="A134:A145" si="64">+A133</f>
        <v>AOUT</v>
      </c>
      <c r="B134" s="126" t="str">
        <f t="shared" si="63"/>
        <v>Donald-Roméo</v>
      </c>
      <c r="C134" s="32">
        <f>+C109</f>
        <v>44655</v>
      </c>
      <c r="D134" s="31"/>
      <c r="E134" s="32">
        <f>+D109</f>
        <v>517000</v>
      </c>
      <c r="F134" s="32"/>
      <c r="G134" s="32"/>
      <c r="H134" s="55">
        <f>+F109</f>
        <v>25000</v>
      </c>
      <c r="I134" s="32">
        <f t="shared" si="60"/>
        <v>447800</v>
      </c>
      <c r="J134" s="30">
        <f t="shared" si="61"/>
        <v>88855</v>
      </c>
      <c r="K134" s="143" t="b">
        <f t="shared" si="62"/>
        <v>1</v>
      </c>
    </row>
    <row r="135" spans="1:11">
      <c r="A135" s="121" t="str">
        <f t="shared" si="64"/>
        <v>AOUT</v>
      </c>
      <c r="B135" s="126" t="str">
        <f t="shared" si="63"/>
        <v>Dovi</v>
      </c>
      <c r="C135" s="32">
        <f>+C110</f>
        <v>48000</v>
      </c>
      <c r="D135" s="31"/>
      <c r="E135" s="32">
        <f>+D110</f>
        <v>421000</v>
      </c>
      <c r="F135" s="32"/>
      <c r="G135" s="32"/>
      <c r="H135" s="55">
        <f>+F110</f>
        <v>0</v>
      </c>
      <c r="I135" s="32">
        <f t="shared" si="60"/>
        <v>54000</v>
      </c>
      <c r="J135" s="30">
        <f t="shared" ref="J135" si="65">+SUM(C135:G135)-(H135+I135)</f>
        <v>415000</v>
      </c>
      <c r="K135" s="143" t="b">
        <f t="shared" si="62"/>
        <v>1</v>
      </c>
    </row>
    <row r="136" spans="1:11">
      <c r="A136" s="121" t="str">
        <f t="shared" si="64"/>
        <v>AOUT</v>
      </c>
      <c r="B136" s="126" t="str">
        <f t="shared" si="63"/>
        <v>Evariste</v>
      </c>
      <c r="C136" s="32">
        <f t="shared" ref="C136:C145" si="66">+C111</f>
        <v>17975</v>
      </c>
      <c r="D136" s="31"/>
      <c r="E136" s="32">
        <f t="shared" ref="E136:E145" si="67">+D111</f>
        <v>297000</v>
      </c>
      <c r="F136" s="32"/>
      <c r="G136" s="32"/>
      <c r="H136" s="55">
        <f t="shared" ref="H136:H145" si="68">+F111</f>
        <v>0</v>
      </c>
      <c r="I136" s="32">
        <f t="shared" si="60"/>
        <v>239000</v>
      </c>
      <c r="J136" s="30">
        <f t="shared" ref="J136" si="69">+SUM(C136:G136)-(H136+I136)</f>
        <v>75975</v>
      </c>
      <c r="K136" s="143" t="b">
        <f t="shared" si="62"/>
        <v>1</v>
      </c>
    </row>
    <row r="137" spans="1:11">
      <c r="A137" s="121" t="str">
        <f t="shared" si="64"/>
        <v>AOUT</v>
      </c>
      <c r="B137" s="128" t="str">
        <f t="shared" si="63"/>
        <v>I55S</v>
      </c>
      <c r="C137" s="119">
        <f t="shared" si="66"/>
        <v>233614</v>
      </c>
      <c r="D137" s="122"/>
      <c r="E137" s="119">
        <f t="shared" si="67"/>
        <v>0</v>
      </c>
      <c r="F137" s="136"/>
      <c r="G137" s="136"/>
      <c r="H137" s="154">
        <f t="shared" si="68"/>
        <v>0</v>
      </c>
      <c r="I137" s="119">
        <f t="shared" si="60"/>
        <v>0</v>
      </c>
      <c r="J137" s="120">
        <f>+SUM(C137:G137)-(H137+I137)</f>
        <v>233614</v>
      </c>
      <c r="K137" s="143" t="b">
        <f t="shared" si="62"/>
        <v>1</v>
      </c>
    </row>
    <row r="138" spans="1:11">
      <c r="A138" s="121" t="str">
        <f t="shared" si="64"/>
        <v>AOUT</v>
      </c>
      <c r="B138" s="128" t="str">
        <f t="shared" si="63"/>
        <v>I73X</v>
      </c>
      <c r="C138" s="119">
        <f t="shared" si="66"/>
        <v>249769</v>
      </c>
      <c r="D138" s="122"/>
      <c r="E138" s="119">
        <f t="shared" si="67"/>
        <v>0</v>
      </c>
      <c r="F138" s="136"/>
      <c r="G138" s="136"/>
      <c r="H138" s="154">
        <f t="shared" si="68"/>
        <v>0</v>
      </c>
      <c r="I138" s="119">
        <f t="shared" si="60"/>
        <v>0</v>
      </c>
      <c r="J138" s="120">
        <f t="shared" ref="J138:J145" si="70">+SUM(C138:G138)-(H138+I138)</f>
        <v>249769</v>
      </c>
      <c r="K138" s="143" t="b">
        <f t="shared" si="62"/>
        <v>1</v>
      </c>
    </row>
    <row r="139" spans="1:11">
      <c r="A139" s="121" t="str">
        <f t="shared" si="64"/>
        <v>AOUT</v>
      </c>
      <c r="B139" s="126" t="str">
        <f t="shared" si="63"/>
        <v>Grace</v>
      </c>
      <c r="C139" s="32">
        <f t="shared" si="66"/>
        <v>155150</v>
      </c>
      <c r="D139" s="31"/>
      <c r="E139" s="32">
        <f t="shared" si="67"/>
        <v>0</v>
      </c>
      <c r="F139" s="32"/>
      <c r="G139" s="103"/>
      <c r="H139" s="55">
        <f t="shared" si="68"/>
        <v>0</v>
      </c>
      <c r="I139" s="32">
        <f t="shared" si="60"/>
        <v>19000</v>
      </c>
      <c r="J139" s="30">
        <f t="shared" si="70"/>
        <v>136150</v>
      </c>
      <c r="K139" s="143" t="b">
        <f t="shared" si="62"/>
        <v>1</v>
      </c>
    </row>
    <row r="140" spans="1:11">
      <c r="A140" s="121" t="str">
        <f t="shared" si="64"/>
        <v>AOUT</v>
      </c>
      <c r="B140" s="126" t="str">
        <f t="shared" si="63"/>
        <v>Hurielle</v>
      </c>
      <c r="C140" s="32">
        <f t="shared" si="66"/>
        <v>3500</v>
      </c>
      <c r="D140" s="31"/>
      <c r="E140" s="32">
        <f t="shared" si="67"/>
        <v>166000</v>
      </c>
      <c r="F140" s="32"/>
      <c r="G140" s="103"/>
      <c r="H140" s="55">
        <f t="shared" si="68"/>
        <v>0</v>
      </c>
      <c r="I140" s="32">
        <f t="shared" si="60"/>
        <v>55000</v>
      </c>
      <c r="J140" s="30">
        <f t="shared" si="70"/>
        <v>114500</v>
      </c>
      <c r="K140" s="143" t="b">
        <f t="shared" si="62"/>
        <v>1</v>
      </c>
    </row>
    <row r="141" spans="1:11">
      <c r="A141" s="121" t="str">
        <f t="shared" si="64"/>
        <v>AOUT</v>
      </c>
      <c r="B141" s="126" t="str">
        <f t="shared" si="63"/>
        <v>IT87</v>
      </c>
      <c r="C141" s="32">
        <f t="shared" si="66"/>
        <v>2000</v>
      </c>
      <c r="D141" s="31"/>
      <c r="E141" s="32">
        <f t="shared" si="67"/>
        <v>560000</v>
      </c>
      <c r="F141" s="32"/>
      <c r="G141" s="103"/>
      <c r="H141" s="55">
        <f t="shared" si="68"/>
        <v>0</v>
      </c>
      <c r="I141" s="32">
        <f t="shared" si="60"/>
        <v>556000</v>
      </c>
      <c r="J141" s="30">
        <f t="shared" si="70"/>
        <v>6000</v>
      </c>
      <c r="K141" s="143" t="b">
        <f t="shared" si="62"/>
        <v>1</v>
      </c>
    </row>
    <row r="142" spans="1:11">
      <c r="A142" s="121" t="str">
        <f t="shared" si="64"/>
        <v>AOUT</v>
      </c>
      <c r="B142" s="126" t="str">
        <f t="shared" si="63"/>
        <v>Merveille</v>
      </c>
      <c r="C142" s="32">
        <f t="shared" si="66"/>
        <v>36600</v>
      </c>
      <c r="D142" s="31"/>
      <c r="E142" s="32">
        <f t="shared" si="67"/>
        <v>209000</v>
      </c>
      <c r="F142" s="32"/>
      <c r="G142" s="103"/>
      <c r="H142" s="55">
        <f t="shared" si="68"/>
        <v>5000</v>
      </c>
      <c r="I142" s="32">
        <f t="shared" si="60"/>
        <v>85000</v>
      </c>
      <c r="J142" s="30">
        <f t="shared" si="70"/>
        <v>155600</v>
      </c>
      <c r="K142" s="143" t="b">
        <f t="shared" si="62"/>
        <v>1</v>
      </c>
    </row>
    <row r="143" spans="1:11">
      <c r="A143" s="121" t="str">
        <f t="shared" si="64"/>
        <v>AOUT</v>
      </c>
      <c r="B143" s="126" t="str">
        <f t="shared" si="63"/>
        <v>Oracle</v>
      </c>
      <c r="C143" s="32">
        <f t="shared" si="66"/>
        <v>96225</v>
      </c>
      <c r="D143" s="31"/>
      <c r="E143" s="32">
        <f t="shared" si="67"/>
        <v>270000</v>
      </c>
      <c r="F143" s="32"/>
      <c r="G143" s="103"/>
      <c r="H143" s="55">
        <f t="shared" si="68"/>
        <v>0</v>
      </c>
      <c r="I143" s="32">
        <f t="shared" si="60"/>
        <v>248800</v>
      </c>
      <c r="J143" s="30">
        <f t="shared" si="70"/>
        <v>117425</v>
      </c>
      <c r="K143" s="143" t="b">
        <f t="shared" si="62"/>
        <v>1</v>
      </c>
    </row>
    <row r="144" spans="1:11">
      <c r="A144" s="121" t="str">
        <f t="shared" si="64"/>
        <v>AOUT</v>
      </c>
      <c r="B144" s="126" t="str">
        <f t="shared" si="63"/>
        <v>P29</v>
      </c>
      <c r="C144" s="32">
        <f t="shared" si="66"/>
        <v>47800</v>
      </c>
      <c r="D144" s="118"/>
      <c r="E144" s="32">
        <f t="shared" si="67"/>
        <v>861000</v>
      </c>
      <c r="F144" s="51"/>
      <c r="G144" s="137"/>
      <c r="H144" s="55">
        <f t="shared" si="68"/>
        <v>0</v>
      </c>
      <c r="I144" s="32">
        <f t="shared" si="60"/>
        <v>783700</v>
      </c>
      <c r="J144" s="30">
        <f t="shared" si="70"/>
        <v>125100</v>
      </c>
      <c r="K144" s="143" t="b">
        <f t="shared" si="62"/>
        <v>1</v>
      </c>
    </row>
    <row r="145" spans="1:16">
      <c r="A145" s="121" t="str">
        <f t="shared" si="64"/>
        <v>AOUT</v>
      </c>
      <c r="B145" s="126" t="str">
        <f t="shared" si="63"/>
        <v>T73</v>
      </c>
      <c r="C145" s="32">
        <f t="shared" si="66"/>
        <v>10200</v>
      </c>
      <c r="D145" s="118"/>
      <c r="E145" s="32">
        <f t="shared" si="67"/>
        <v>860000</v>
      </c>
      <c r="F145" s="51"/>
      <c r="G145" s="137"/>
      <c r="H145" s="55">
        <f t="shared" si="68"/>
        <v>0</v>
      </c>
      <c r="I145" s="32">
        <f t="shared" si="60"/>
        <v>811000</v>
      </c>
      <c r="J145" s="30">
        <f t="shared" si="70"/>
        <v>59200</v>
      </c>
      <c r="K145" s="143" t="b">
        <f t="shared" si="62"/>
        <v>1</v>
      </c>
    </row>
    <row r="146" spans="1:16">
      <c r="A146" s="34" t="s">
        <v>60</v>
      </c>
      <c r="B146" s="35"/>
      <c r="C146" s="35"/>
      <c r="D146" s="35"/>
      <c r="E146" s="35"/>
      <c r="F146" s="35"/>
      <c r="G146" s="35"/>
      <c r="H146" s="35"/>
      <c r="I146" s="35"/>
      <c r="J146" s="36"/>
      <c r="K146" s="142"/>
    </row>
    <row r="147" spans="1:16">
      <c r="A147" s="121" t="str">
        <f>A145</f>
        <v>AOUT</v>
      </c>
      <c r="B147" s="37" t="s">
        <v>61</v>
      </c>
      <c r="C147" s="38">
        <f>+C106</f>
        <v>1129247</v>
      </c>
      <c r="D147" s="49"/>
      <c r="E147" s="49">
        <f>D106</f>
        <v>6074300</v>
      </c>
      <c r="F147" s="49"/>
      <c r="G147" s="124"/>
      <c r="H147" s="51">
        <f>+F106</f>
        <v>5006000</v>
      </c>
      <c r="I147" s="125">
        <f>+E106</f>
        <v>1821465</v>
      </c>
      <c r="J147" s="30">
        <f>+SUM(C147:G147)-(H147+I147)</f>
        <v>376082</v>
      </c>
      <c r="K147" s="143" t="b">
        <f>J147=I106</f>
        <v>1</v>
      </c>
    </row>
    <row r="148" spans="1:16">
      <c r="A148" s="43" t="s">
        <v>62</v>
      </c>
      <c r="B148" s="24"/>
      <c r="C148" s="35"/>
      <c r="D148" s="24"/>
      <c r="E148" s="24"/>
      <c r="F148" s="24"/>
      <c r="G148" s="24"/>
      <c r="H148" s="24"/>
      <c r="I148" s="24"/>
      <c r="J148" s="36"/>
      <c r="K148" s="142"/>
    </row>
    <row r="149" spans="1:16">
      <c r="A149" s="121" t="str">
        <f>+A147</f>
        <v>AOUT</v>
      </c>
      <c r="B149" s="37" t="s">
        <v>24</v>
      </c>
      <c r="C149" s="124">
        <f>+C104</f>
        <v>4607330</v>
      </c>
      <c r="D149" s="131">
        <f>+G104</f>
        <v>5687720</v>
      </c>
      <c r="E149" s="49"/>
      <c r="F149" s="49"/>
      <c r="G149" s="49"/>
      <c r="H149" s="51">
        <f>+F104</f>
        <v>2000000</v>
      </c>
      <c r="I149" s="53">
        <f>+E104</f>
        <v>993345</v>
      </c>
      <c r="J149" s="30">
        <f>+SUM(C149:G149)-(H149+I149)</f>
        <v>7301705</v>
      </c>
      <c r="K149" s="143" t="b">
        <f>+J149=I104</f>
        <v>1</v>
      </c>
    </row>
    <row r="150" spans="1:16">
      <c r="A150" s="121" t="str">
        <f t="shared" ref="A150" si="71">+A149</f>
        <v>AOUT</v>
      </c>
      <c r="B150" s="37" t="s">
        <v>64</v>
      </c>
      <c r="C150" s="124">
        <f>+C105</f>
        <v>16185729</v>
      </c>
      <c r="D150" s="49">
        <f>+G105</f>
        <v>0</v>
      </c>
      <c r="E150" s="48"/>
      <c r="F150" s="48"/>
      <c r="G150" s="48">
        <f>+D105</f>
        <v>0</v>
      </c>
      <c r="H150" s="32">
        <f>+F105</f>
        <v>4000000</v>
      </c>
      <c r="I150" s="50">
        <f>+E105</f>
        <v>2578288</v>
      </c>
      <c r="J150" s="30">
        <f>+SUM(C150:G150)-(H150+I150)</f>
        <v>9607441</v>
      </c>
      <c r="K150" s="143" t="b">
        <f>+J150=I105</f>
        <v>1</v>
      </c>
    </row>
    <row r="151" spans="1:16" ht="15.75">
      <c r="C151" s="140">
        <f>SUM(C132:C150)</f>
        <v>23141214</v>
      </c>
      <c r="I151" s="139">
        <f>SUM(I132:I150)</f>
        <v>9283398</v>
      </c>
      <c r="J151" s="104">
        <f>+SUM(J132:J150)</f>
        <v>19545536</v>
      </c>
      <c r="K151" s="5" t="b">
        <f>J151=I121</f>
        <v>1</v>
      </c>
    </row>
    <row r="152" spans="1:16" ht="15.75">
      <c r="C152" s="140"/>
      <c r="I152" s="139"/>
      <c r="J152" s="104"/>
    </row>
    <row r="153" spans="1:16" ht="15.75">
      <c r="A153" s="157"/>
      <c r="B153" s="157"/>
      <c r="C153" s="158"/>
      <c r="D153" s="157"/>
      <c r="E153" s="157"/>
      <c r="F153" s="157"/>
      <c r="G153" s="157"/>
      <c r="H153" s="157"/>
      <c r="I153" s="159"/>
      <c r="J153" s="160"/>
      <c r="K153" s="157"/>
      <c r="L153" s="161"/>
      <c r="M153" s="161"/>
      <c r="N153" s="161"/>
      <c r="O153" s="161"/>
      <c r="P153" s="157"/>
    </row>
    <row r="155" spans="1:16" ht="15.75">
      <c r="A155" s="6" t="s">
        <v>36</v>
      </c>
      <c r="B155" s="6" t="s">
        <v>1</v>
      </c>
      <c r="C155" s="6">
        <v>45108</v>
      </c>
      <c r="D155" s="7" t="s">
        <v>37</v>
      </c>
      <c r="E155" s="7" t="s">
        <v>38</v>
      </c>
      <c r="F155" s="7" t="s">
        <v>39</v>
      </c>
      <c r="G155" s="7" t="s">
        <v>40</v>
      </c>
      <c r="H155" s="6">
        <v>45138</v>
      </c>
      <c r="I155" s="7" t="s">
        <v>41</v>
      </c>
      <c r="K155" s="45"/>
      <c r="L155" s="45" t="s">
        <v>42</v>
      </c>
      <c r="M155" s="45" t="s">
        <v>43</v>
      </c>
      <c r="N155" s="45" t="s">
        <v>44</v>
      </c>
      <c r="O155" s="45" t="s">
        <v>45</v>
      </c>
    </row>
    <row r="156" spans="1:16" ht="16.5">
      <c r="A156" s="58" t="str">
        <f>K156</f>
        <v>BCI</v>
      </c>
      <c r="B156" s="59" t="s">
        <v>46</v>
      </c>
      <c r="C156" s="61">
        <v>7240675</v>
      </c>
      <c r="D156" s="61">
        <f>+L156</f>
        <v>0</v>
      </c>
      <c r="E156" s="61">
        <f>+N156</f>
        <v>633345</v>
      </c>
      <c r="F156" s="61">
        <f>+M156</f>
        <v>2000000</v>
      </c>
      <c r="G156" s="61">
        <f t="shared" ref="G156:G172" si="72">+O156</f>
        <v>0</v>
      </c>
      <c r="H156" s="61">
        <v>4607330</v>
      </c>
      <c r="I156" s="61">
        <f>+C156+D156-E156-F156+G156</f>
        <v>4607330</v>
      </c>
      <c r="J156" s="9">
        <f>I156-H156</f>
        <v>0</v>
      </c>
      <c r="K156" s="45" t="s">
        <v>24</v>
      </c>
      <c r="L156" s="178">
        <v>0</v>
      </c>
      <c r="M156" s="178">
        <v>2000000</v>
      </c>
      <c r="N156" s="178">
        <v>633345</v>
      </c>
      <c r="O156" s="178">
        <v>0</v>
      </c>
    </row>
    <row r="157" spans="1:16" ht="16.5">
      <c r="A157" s="58" t="str">
        <f t="shared" ref="A157:A172" si="73">K157</f>
        <v>BCI-Sous Compte</v>
      </c>
      <c r="B157" s="59" t="s">
        <v>46</v>
      </c>
      <c r="C157" s="61">
        <v>13642205</v>
      </c>
      <c r="D157" s="61">
        <f>+L157</f>
        <v>0</v>
      </c>
      <c r="E157" s="61">
        <f t="shared" ref="E157:E163" si="74">+N157</f>
        <v>5228280</v>
      </c>
      <c r="F157" s="61">
        <f t="shared" ref="F157:F165" si="75">+M157</f>
        <v>4000000</v>
      </c>
      <c r="G157" s="61">
        <f t="shared" si="72"/>
        <v>11771804</v>
      </c>
      <c r="H157" s="61">
        <v>16185729</v>
      </c>
      <c r="I157" s="61">
        <f t="shared" ref="I157:I163" si="76">+C157+D157-E157-F157+G157</f>
        <v>16185729</v>
      </c>
      <c r="J157" s="9">
        <f t="shared" ref="J157:J172" si="77">I157-H157</f>
        <v>0</v>
      </c>
      <c r="K157" s="45" t="s">
        <v>148</v>
      </c>
      <c r="L157" s="178">
        <v>0</v>
      </c>
      <c r="M157" s="178">
        <v>4000000</v>
      </c>
      <c r="N157" s="178">
        <v>5228280</v>
      </c>
      <c r="O157" s="178">
        <v>11771804</v>
      </c>
    </row>
    <row r="158" spans="1:16" ht="16.5">
      <c r="A158" s="58" t="str">
        <f t="shared" si="73"/>
        <v>Caisse</v>
      </c>
      <c r="B158" s="59" t="s">
        <v>25</v>
      </c>
      <c r="C158" s="61">
        <v>798884</v>
      </c>
      <c r="D158" s="61">
        <f t="shared" ref="D158:D172" si="78">+L158</f>
        <v>6705000</v>
      </c>
      <c r="E158" s="61">
        <f t="shared" si="74"/>
        <v>2962137</v>
      </c>
      <c r="F158" s="61">
        <f t="shared" si="75"/>
        <v>3412500</v>
      </c>
      <c r="G158" s="61">
        <f t="shared" si="72"/>
        <v>0</v>
      </c>
      <c r="H158" s="61">
        <v>1129247</v>
      </c>
      <c r="I158" s="61">
        <f t="shared" si="76"/>
        <v>1129247</v>
      </c>
      <c r="J158" s="9">
        <f t="shared" si="77"/>
        <v>0</v>
      </c>
      <c r="K158" s="45" t="s">
        <v>25</v>
      </c>
      <c r="L158" s="178">
        <v>6705000</v>
      </c>
      <c r="M158" s="178">
        <v>3412500</v>
      </c>
      <c r="N158" s="178">
        <v>2962137</v>
      </c>
      <c r="O158" s="178">
        <v>0</v>
      </c>
    </row>
    <row r="159" spans="1:16" ht="16.5">
      <c r="A159" s="58" t="str">
        <f t="shared" si="73"/>
        <v>Crépin</v>
      </c>
      <c r="B159" s="59" t="s">
        <v>2</v>
      </c>
      <c r="C159" s="61">
        <v>304020</v>
      </c>
      <c r="D159" s="61">
        <f t="shared" si="78"/>
        <v>317000</v>
      </c>
      <c r="E159" s="61">
        <f t="shared" si="74"/>
        <v>391900</v>
      </c>
      <c r="F159" s="61">
        <f t="shared" si="75"/>
        <v>0</v>
      </c>
      <c r="G159" s="61">
        <f t="shared" si="72"/>
        <v>0</v>
      </c>
      <c r="H159" s="61">
        <v>229120</v>
      </c>
      <c r="I159" s="61">
        <f t="shared" si="76"/>
        <v>229120</v>
      </c>
      <c r="J159" s="9">
        <f t="shared" si="77"/>
        <v>0</v>
      </c>
      <c r="K159" s="45" t="s">
        <v>47</v>
      </c>
      <c r="L159" s="178">
        <v>317000</v>
      </c>
      <c r="M159" s="178">
        <v>0</v>
      </c>
      <c r="N159" s="178">
        <v>391900</v>
      </c>
      <c r="O159" s="178">
        <v>0</v>
      </c>
    </row>
    <row r="160" spans="1:16" ht="16.5">
      <c r="A160" s="58" t="str">
        <f t="shared" si="73"/>
        <v>D58</v>
      </c>
      <c r="B160" s="59" t="s">
        <v>4</v>
      </c>
      <c r="C160" s="61">
        <v>53800</v>
      </c>
      <c r="D160" s="61">
        <f t="shared" si="78"/>
        <v>441000</v>
      </c>
      <c r="E160" s="61">
        <f t="shared" si="74"/>
        <v>450500</v>
      </c>
      <c r="F160" s="61">
        <f t="shared" si="75"/>
        <v>0</v>
      </c>
      <c r="G160" s="61">
        <f t="shared" si="72"/>
        <v>0</v>
      </c>
      <c r="H160" s="61">
        <v>44300</v>
      </c>
      <c r="I160" s="61">
        <f t="shared" si="76"/>
        <v>44300</v>
      </c>
      <c r="J160" s="9">
        <f t="shared" si="77"/>
        <v>0</v>
      </c>
      <c r="K160" s="45" t="s">
        <v>269</v>
      </c>
      <c r="L160" s="178">
        <v>441000</v>
      </c>
      <c r="M160" s="178">
        <v>0</v>
      </c>
      <c r="N160" s="178">
        <v>450500</v>
      </c>
      <c r="O160" s="178">
        <v>0</v>
      </c>
    </row>
    <row r="161" spans="1:15" ht="16.5">
      <c r="A161" s="58" t="str">
        <f t="shared" si="73"/>
        <v>Donald-Roméo</v>
      </c>
      <c r="B161" s="59" t="s">
        <v>154</v>
      </c>
      <c r="C161" s="61">
        <v>236135</v>
      </c>
      <c r="D161" s="61">
        <f t="shared" si="78"/>
        <v>649500</v>
      </c>
      <c r="E161" s="61">
        <f t="shared" si="74"/>
        <v>775980</v>
      </c>
      <c r="F161" s="61">
        <f t="shared" si="75"/>
        <v>65000</v>
      </c>
      <c r="G161" s="61">
        <f t="shared" si="72"/>
        <v>0</v>
      </c>
      <c r="H161" s="61">
        <v>44655</v>
      </c>
      <c r="I161" s="61">
        <f t="shared" si="76"/>
        <v>44655</v>
      </c>
      <c r="J161" s="9">
        <f t="shared" si="77"/>
        <v>0</v>
      </c>
      <c r="K161" s="45" t="s">
        <v>297</v>
      </c>
      <c r="L161" s="178">
        <v>649500</v>
      </c>
      <c r="M161" s="178">
        <v>65000</v>
      </c>
      <c r="N161" s="178">
        <v>775980</v>
      </c>
      <c r="O161" s="178">
        <v>0</v>
      </c>
    </row>
    <row r="162" spans="1:15" ht="16.5">
      <c r="A162" s="58" t="str">
        <f t="shared" si="73"/>
        <v>Dovi</v>
      </c>
      <c r="B162" s="59" t="s">
        <v>2</v>
      </c>
      <c r="C162" s="61">
        <v>76000</v>
      </c>
      <c r="D162" s="61">
        <f t="shared" si="78"/>
        <v>0</v>
      </c>
      <c r="E162" s="61">
        <f t="shared" si="74"/>
        <v>28000</v>
      </c>
      <c r="F162" s="61">
        <f t="shared" si="75"/>
        <v>0</v>
      </c>
      <c r="G162" s="61">
        <f t="shared" si="72"/>
        <v>0</v>
      </c>
      <c r="H162" s="61">
        <v>48000</v>
      </c>
      <c r="I162" s="61">
        <f t="shared" si="76"/>
        <v>48000</v>
      </c>
      <c r="J162" s="9">
        <f t="shared" si="77"/>
        <v>0</v>
      </c>
      <c r="K162" s="45" t="s">
        <v>305</v>
      </c>
      <c r="L162" s="178">
        <v>0</v>
      </c>
      <c r="M162" s="178">
        <v>0</v>
      </c>
      <c r="N162" s="178">
        <v>28000</v>
      </c>
      <c r="O162" s="178">
        <v>0</v>
      </c>
    </row>
    <row r="163" spans="1:15" ht="16.5">
      <c r="A163" s="58" t="str">
        <f t="shared" si="73"/>
        <v>Evariste</v>
      </c>
      <c r="B163" s="59" t="s">
        <v>155</v>
      </c>
      <c r="C163" s="61">
        <v>78975</v>
      </c>
      <c r="D163" s="61">
        <f t="shared" si="78"/>
        <v>75000</v>
      </c>
      <c r="E163" s="61">
        <f t="shared" si="74"/>
        <v>136000</v>
      </c>
      <c r="F163" s="61">
        <f t="shared" si="75"/>
        <v>0</v>
      </c>
      <c r="G163" s="61">
        <f t="shared" si="72"/>
        <v>0</v>
      </c>
      <c r="H163" s="61">
        <v>17975</v>
      </c>
      <c r="I163" s="61">
        <f t="shared" si="76"/>
        <v>17975</v>
      </c>
      <c r="J163" s="9">
        <f t="shared" si="77"/>
        <v>0</v>
      </c>
      <c r="K163" s="45" t="s">
        <v>31</v>
      </c>
      <c r="L163" s="178">
        <v>75000</v>
      </c>
      <c r="M163" s="178">
        <v>0</v>
      </c>
      <c r="N163" s="178">
        <v>136000</v>
      </c>
      <c r="O163" s="178">
        <v>0</v>
      </c>
    </row>
    <row r="164" spans="1:15" ht="16.5">
      <c r="A164" s="58" t="str">
        <f t="shared" si="73"/>
        <v>I55S</v>
      </c>
      <c r="B164" s="115" t="s">
        <v>4</v>
      </c>
      <c r="C164" s="117">
        <v>233614</v>
      </c>
      <c r="D164" s="117">
        <f t="shared" si="78"/>
        <v>0</v>
      </c>
      <c r="E164" s="117">
        <f>+N164</f>
        <v>0</v>
      </c>
      <c r="F164" s="117">
        <f t="shared" si="75"/>
        <v>0</v>
      </c>
      <c r="G164" s="117">
        <f t="shared" si="72"/>
        <v>0</v>
      </c>
      <c r="H164" s="117">
        <v>233614</v>
      </c>
      <c r="I164" s="117">
        <f>+C164+D164-E164-F164+G164</f>
        <v>233614</v>
      </c>
      <c r="J164" s="9">
        <f t="shared" si="77"/>
        <v>0</v>
      </c>
      <c r="K164" s="45" t="s">
        <v>84</v>
      </c>
      <c r="L164" s="178">
        <v>0</v>
      </c>
      <c r="M164" s="178">
        <v>0</v>
      </c>
      <c r="N164" s="178">
        <v>0</v>
      </c>
      <c r="O164" s="178">
        <v>0</v>
      </c>
    </row>
    <row r="165" spans="1:15" ht="16.5">
      <c r="A165" s="58" t="str">
        <f t="shared" si="73"/>
        <v>I73X</v>
      </c>
      <c r="B165" s="115" t="s">
        <v>4</v>
      </c>
      <c r="C165" s="117">
        <v>249769</v>
      </c>
      <c r="D165" s="117">
        <f t="shared" si="78"/>
        <v>0</v>
      </c>
      <c r="E165" s="117">
        <f>+N165</f>
        <v>0</v>
      </c>
      <c r="F165" s="117">
        <f t="shared" si="75"/>
        <v>0</v>
      </c>
      <c r="G165" s="117">
        <f t="shared" si="72"/>
        <v>0</v>
      </c>
      <c r="H165" s="117">
        <v>249769</v>
      </c>
      <c r="I165" s="117">
        <f t="shared" ref="I165:I166" si="79">+C165+D165-E165-F165+G165</f>
        <v>249769</v>
      </c>
      <c r="J165" s="9">
        <f t="shared" si="77"/>
        <v>0</v>
      </c>
      <c r="K165" s="45" t="s">
        <v>83</v>
      </c>
      <c r="L165" s="178">
        <v>0</v>
      </c>
      <c r="M165" s="178">
        <v>0</v>
      </c>
      <c r="N165" s="178">
        <v>0</v>
      </c>
      <c r="O165" s="178">
        <v>0</v>
      </c>
    </row>
    <row r="166" spans="1:15" ht="16.5">
      <c r="A166" s="58" t="str">
        <f t="shared" si="73"/>
        <v>Grace</v>
      </c>
      <c r="B166" s="59" t="s">
        <v>2</v>
      </c>
      <c r="C166" s="181">
        <v>300650</v>
      </c>
      <c r="D166" s="61">
        <f t="shared" si="78"/>
        <v>0</v>
      </c>
      <c r="E166" s="61">
        <f t="shared" ref="E166:E172" si="80">+N166</f>
        <v>25500</v>
      </c>
      <c r="F166" s="61">
        <f>+M166</f>
        <v>120000</v>
      </c>
      <c r="G166" s="61">
        <f t="shared" si="72"/>
        <v>0</v>
      </c>
      <c r="H166" s="181">
        <v>155150</v>
      </c>
      <c r="I166" s="181">
        <f t="shared" si="79"/>
        <v>155150</v>
      </c>
      <c r="J166" s="9">
        <f t="shared" si="77"/>
        <v>0</v>
      </c>
      <c r="K166" s="183" t="s">
        <v>143</v>
      </c>
      <c r="L166" s="178">
        <v>0</v>
      </c>
      <c r="M166" s="178">
        <v>120000</v>
      </c>
      <c r="N166" s="178">
        <v>25500</v>
      </c>
      <c r="O166" s="178">
        <v>0</v>
      </c>
    </row>
    <row r="167" spans="1:15" ht="16.5">
      <c r="A167" s="58" t="str">
        <f t="shared" si="73"/>
        <v>Hurielle</v>
      </c>
      <c r="B167" s="97" t="s">
        <v>154</v>
      </c>
      <c r="C167" s="61">
        <v>0</v>
      </c>
      <c r="D167" s="61">
        <f t="shared" si="78"/>
        <v>20000</v>
      </c>
      <c r="E167" s="61">
        <f t="shared" si="80"/>
        <v>16500</v>
      </c>
      <c r="F167" s="61">
        <f t="shared" ref="F167:F172" si="81">+M167</f>
        <v>0</v>
      </c>
      <c r="G167" s="61">
        <f t="shared" si="72"/>
        <v>0</v>
      </c>
      <c r="H167" s="181">
        <v>3500</v>
      </c>
      <c r="I167" s="181">
        <f>+C167+D167-E167-F167+G167</f>
        <v>3500</v>
      </c>
      <c r="J167" s="9">
        <f t="shared" si="77"/>
        <v>0</v>
      </c>
      <c r="K167" s="45" t="s">
        <v>197</v>
      </c>
      <c r="L167" s="178">
        <v>20000</v>
      </c>
      <c r="M167" s="178">
        <v>0</v>
      </c>
      <c r="N167" s="178">
        <v>16500</v>
      </c>
      <c r="O167" s="178">
        <v>0</v>
      </c>
    </row>
    <row r="168" spans="1:15" ht="16.5">
      <c r="A168" s="58" t="str">
        <f t="shared" si="73"/>
        <v>IT87</v>
      </c>
      <c r="B168" s="59" t="s">
        <v>4</v>
      </c>
      <c r="C168" s="181">
        <v>0</v>
      </c>
      <c r="D168" s="61">
        <f t="shared" si="78"/>
        <v>40000</v>
      </c>
      <c r="E168" s="61">
        <f t="shared" si="80"/>
        <v>38000</v>
      </c>
      <c r="F168" s="61">
        <f t="shared" si="81"/>
        <v>0</v>
      </c>
      <c r="G168" s="61">
        <f t="shared" si="72"/>
        <v>0</v>
      </c>
      <c r="H168" s="181">
        <v>2000</v>
      </c>
      <c r="I168" s="181">
        <f t="shared" ref="I168:I172" si="82">+C168+D168-E168-F168+G168</f>
        <v>2000</v>
      </c>
      <c r="J168" s="9">
        <f t="shared" si="77"/>
        <v>0</v>
      </c>
      <c r="K168" s="183" t="s">
        <v>312</v>
      </c>
      <c r="L168" s="178">
        <v>40000</v>
      </c>
      <c r="M168" s="178">
        <v>0</v>
      </c>
      <c r="N168" s="178">
        <v>38000</v>
      </c>
      <c r="O168" s="178">
        <v>0</v>
      </c>
    </row>
    <row r="169" spans="1:15" ht="16.5">
      <c r="A169" s="58" t="str">
        <f t="shared" si="73"/>
        <v>Merveille</v>
      </c>
      <c r="B169" s="97" t="s">
        <v>2</v>
      </c>
      <c r="C169" s="61">
        <v>225600</v>
      </c>
      <c r="D169" s="61">
        <f t="shared" si="78"/>
        <v>20000</v>
      </c>
      <c r="E169" s="61">
        <f t="shared" si="80"/>
        <v>49000</v>
      </c>
      <c r="F169" s="61">
        <f t="shared" si="81"/>
        <v>160000</v>
      </c>
      <c r="G169" s="61">
        <f t="shared" si="72"/>
        <v>0</v>
      </c>
      <c r="H169" s="181">
        <v>36600</v>
      </c>
      <c r="I169" s="181">
        <f t="shared" si="82"/>
        <v>36600</v>
      </c>
      <c r="J169" s="9">
        <f t="shared" si="77"/>
        <v>0</v>
      </c>
      <c r="K169" s="45" t="s">
        <v>93</v>
      </c>
      <c r="L169" s="178">
        <v>20000</v>
      </c>
      <c r="M169" s="178">
        <v>160000</v>
      </c>
      <c r="N169" s="178">
        <v>49000</v>
      </c>
      <c r="O169" s="178">
        <v>0</v>
      </c>
    </row>
    <row r="170" spans="1:15" ht="16.5">
      <c r="A170" s="58" t="str">
        <f t="shared" si="73"/>
        <v>Oracle</v>
      </c>
      <c r="B170" s="97" t="s">
        <v>154</v>
      </c>
      <c r="C170" s="61">
        <v>25225</v>
      </c>
      <c r="D170" s="61">
        <f t="shared" si="78"/>
        <v>449000</v>
      </c>
      <c r="E170" s="61">
        <f t="shared" si="80"/>
        <v>378000</v>
      </c>
      <c r="F170" s="61">
        <f t="shared" si="81"/>
        <v>0</v>
      </c>
      <c r="G170" s="61">
        <f t="shared" si="72"/>
        <v>0</v>
      </c>
      <c r="H170" s="181">
        <v>96225</v>
      </c>
      <c r="I170" s="181">
        <f t="shared" si="82"/>
        <v>96225</v>
      </c>
      <c r="J170" s="9">
        <f t="shared" si="77"/>
        <v>0</v>
      </c>
      <c r="K170" s="45" t="s">
        <v>298</v>
      </c>
      <c r="L170" s="178">
        <v>449000</v>
      </c>
      <c r="M170" s="178">
        <v>0</v>
      </c>
      <c r="N170" s="178">
        <v>378000</v>
      </c>
      <c r="O170" s="178">
        <v>0</v>
      </c>
    </row>
    <row r="171" spans="1:15" ht="16.5">
      <c r="A171" s="58" t="str">
        <f t="shared" si="73"/>
        <v>P29</v>
      </c>
      <c r="B171" s="59" t="s">
        <v>4</v>
      </c>
      <c r="C171" s="61">
        <v>92800</v>
      </c>
      <c r="D171" s="61">
        <f t="shared" si="78"/>
        <v>870000</v>
      </c>
      <c r="E171" s="61">
        <f t="shared" si="80"/>
        <v>555000</v>
      </c>
      <c r="F171" s="61">
        <f t="shared" si="81"/>
        <v>360000</v>
      </c>
      <c r="G171" s="61">
        <f t="shared" si="72"/>
        <v>0</v>
      </c>
      <c r="H171" s="181">
        <v>47800</v>
      </c>
      <c r="I171" s="181">
        <f t="shared" si="82"/>
        <v>47800</v>
      </c>
      <c r="J171" s="9">
        <f t="shared" si="77"/>
        <v>0</v>
      </c>
      <c r="K171" s="45" t="s">
        <v>29</v>
      </c>
      <c r="L171" s="178">
        <v>870000</v>
      </c>
      <c r="M171" s="178">
        <v>360000</v>
      </c>
      <c r="N171" s="178">
        <v>555000</v>
      </c>
      <c r="O171" s="178">
        <v>0</v>
      </c>
    </row>
    <row r="172" spans="1:15" ht="16.5">
      <c r="A172" s="58" t="str">
        <f t="shared" si="73"/>
        <v>T73</v>
      </c>
      <c r="B172" s="59" t="s">
        <v>2</v>
      </c>
      <c r="C172" s="61">
        <v>35200</v>
      </c>
      <c r="D172" s="61">
        <f t="shared" si="78"/>
        <v>531000</v>
      </c>
      <c r="E172" s="61">
        <f t="shared" si="80"/>
        <v>556000</v>
      </c>
      <c r="F172" s="61">
        <f t="shared" si="81"/>
        <v>0</v>
      </c>
      <c r="G172" s="61">
        <f t="shared" si="72"/>
        <v>0</v>
      </c>
      <c r="H172" s="181">
        <v>10200</v>
      </c>
      <c r="I172" s="181">
        <f t="shared" si="82"/>
        <v>10200</v>
      </c>
      <c r="J172" s="9">
        <f t="shared" si="77"/>
        <v>0</v>
      </c>
      <c r="K172" s="45" t="s">
        <v>268</v>
      </c>
      <c r="L172" s="178">
        <v>531000</v>
      </c>
      <c r="M172" s="178">
        <v>0</v>
      </c>
      <c r="N172" s="178">
        <v>556000</v>
      </c>
      <c r="O172" s="178">
        <v>0</v>
      </c>
    </row>
    <row r="173" spans="1:15" ht="16.5">
      <c r="A173" s="10" t="s">
        <v>50</v>
      </c>
      <c r="B173" s="11"/>
      <c r="C173" s="12">
        <f t="shared" ref="C173:I173" si="83">SUM(C156:C172)</f>
        <v>23593552</v>
      </c>
      <c r="D173" s="57">
        <f t="shared" si="83"/>
        <v>10117500</v>
      </c>
      <c r="E173" s="57">
        <f t="shared" si="83"/>
        <v>12224142</v>
      </c>
      <c r="F173" s="57">
        <f t="shared" si="83"/>
        <v>10117500</v>
      </c>
      <c r="G173" s="57">
        <f t="shared" si="83"/>
        <v>11771804</v>
      </c>
      <c r="H173" s="57">
        <f t="shared" si="83"/>
        <v>23141214</v>
      </c>
      <c r="I173" s="57">
        <f t="shared" si="83"/>
        <v>23141214</v>
      </c>
      <c r="J173" s="9"/>
      <c r="K173" s="3"/>
      <c r="L173" s="47">
        <f>+SUM(L156:L172)</f>
        <v>10117500</v>
      </c>
      <c r="M173" s="47">
        <f>+SUM(M156:M172)</f>
        <v>10117500</v>
      </c>
      <c r="N173" s="47">
        <f>+SUM(N156:N172)</f>
        <v>12224142</v>
      </c>
      <c r="O173" s="47">
        <f>+SUM(O156:O172)</f>
        <v>11771804</v>
      </c>
    </row>
    <row r="174" spans="1:15" ht="16.5">
      <c r="A174" s="10"/>
      <c r="B174" s="11"/>
      <c r="C174" s="12"/>
      <c r="D174" s="13"/>
      <c r="E174" s="12"/>
      <c r="F174" s="13"/>
      <c r="G174" s="12"/>
      <c r="H174" s="12"/>
      <c r="I174" s="133" t="b">
        <f>I173=D176</f>
        <v>1</v>
      </c>
      <c r="J174" s="9"/>
      <c r="L174" s="5"/>
      <c r="M174" s="5"/>
      <c r="N174" s="5"/>
      <c r="O174" s="5"/>
    </row>
    <row r="175" spans="1:15" ht="16.5">
      <c r="A175" s="10" t="s">
        <v>308</v>
      </c>
      <c r="B175" s="11" t="s">
        <v>234</v>
      </c>
      <c r="C175" s="12" t="s">
        <v>227</v>
      </c>
      <c r="D175" s="12" t="s">
        <v>315</v>
      </c>
      <c r="E175" s="12" t="s">
        <v>51</v>
      </c>
      <c r="F175" s="12"/>
      <c r="G175" s="12">
        <f>+D173-F173</f>
        <v>0</v>
      </c>
      <c r="H175" s="12"/>
      <c r="I175" s="207"/>
    </row>
    <row r="176" spans="1:15" ht="16.5">
      <c r="A176" s="14">
        <f>C173</f>
        <v>23593552</v>
      </c>
      <c r="B176" s="15">
        <f>G173</f>
        <v>11771804</v>
      </c>
      <c r="C176" s="12">
        <f>E173</f>
        <v>12224142</v>
      </c>
      <c r="D176" s="12">
        <f>A176+B176-C176</f>
        <v>23141214</v>
      </c>
      <c r="E176" s="13">
        <f>I173-D176</f>
        <v>0</v>
      </c>
      <c r="F176" s="12"/>
      <c r="G176" s="12"/>
      <c r="H176" s="12"/>
      <c r="I176" s="12"/>
    </row>
    <row r="177" spans="1:11" ht="16.5">
      <c r="A177" s="14"/>
      <c r="B177" s="15"/>
      <c r="C177" s="12"/>
      <c r="D177" s="12"/>
      <c r="E177" s="13"/>
      <c r="F177" s="12"/>
      <c r="G177" s="12"/>
      <c r="H177" s="12"/>
      <c r="I177" s="12"/>
    </row>
    <row r="178" spans="1:11">
      <c r="A178" s="16" t="s">
        <v>52</v>
      </c>
      <c r="B178" s="16"/>
      <c r="C178" s="16"/>
      <c r="D178" s="17"/>
      <c r="E178" s="17"/>
      <c r="F178" s="17"/>
      <c r="G178" s="17"/>
      <c r="H178" s="17"/>
      <c r="I178" s="17"/>
    </row>
    <row r="179" spans="1:11">
      <c r="A179" s="18" t="s">
        <v>309</v>
      </c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1">
      <c r="A180" s="19"/>
      <c r="B180" s="17"/>
      <c r="C180" s="20"/>
      <c r="D180" s="20"/>
      <c r="E180" s="20"/>
      <c r="F180" s="20"/>
      <c r="G180" s="20"/>
      <c r="H180" s="17"/>
      <c r="I180" s="17"/>
    </row>
    <row r="181" spans="1:11">
      <c r="A181" s="166" t="s">
        <v>53</v>
      </c>
      <c r="B181" s="168" t="s">
        <v>54</v>
      </c>
      <c r="C181" s="170" t="s">
        <v>310</v>
      </c>
      <c r="D181" s="171" t="s">
        <v>55</v>
      </c>
      <c r="E181" s="172"/>
      <c r="F181" s="172"/>
      <c r="G181" s="173"/>
      <c r="H181" s="174" t="s">
        <v>56</v>
      </c>
      <c r="I181" s="162" t="s">
        <v>57</v>
      </c>
      <c r="J181" s="205"/>
    </row>
    <row r="182" spans="1:11" ht="25.5">
      <c r="A182" s="167"/>
      <c r="B182" s="169"/>
      <c r="C182" s="22"/>
      <c r="D182" s="21" t="s">
        <v>24</v>
      </c>
      <c r="E182" s="21" t="s">
        <v>25</v>
      </c>
      <c r="F182" s="22" t="s">
        <v>123</v>
      </c>
      <c r="G182" s="21" t="s">
        <v>58</v>
      </c>
      <c r="H182" s="175"/>
      <c r="I182" s="163"/>
      <c r="J182" s="165" t="s">
        <v>311</v>
      </c>
      <c r="K182" s="142"/>
    </row>
    <row r="183" spans="1:11">
      <c r="A183" s="23"/>
      <c r="B183" s="24" t="s">
        <v>59</v>
      </c>
      <c r="C183" s="25"/>
      <c r="D183" s="25"/>
      <c r="E183" s="25"/>
      <c r="F183" s="25"/>
      <c r="G183" s="25"/>
      <c r="H183" s="25"/>
      <c r="I183" s="26"/>
      <c r="J183" s="165"/>
      <c r="K183" s="142"/>
    </row>
    <row r="184" spans="1:11">
      <c r="A184" s="121" t="s">
        <v>72</v>
      </c>
      <c r="B184" s="126" t="str">
        <f>A159</f>
        <v>Crépin</v>
      </c>
      <c r="C184" s="32">
        <f>+C159</f>
        <v>304020</v>
      </c>
      <c r="D184" s="31"/>
      <c r="E184" s="32">
        <f>+D159</f>
        <v>317000</v>
      </c>
      <c r="F184" s="32"/>
      <c r="G184" s="32"/>
      <c r="H184" s="55">
        <f>+F159</f>
        <v>0</v>
      </c>
      <c r="I184" s="32">
        <f t="shared" ref="I184:I197" si="84">+E159</f>
        <v>391900</v>
      </c>
      <c r="J184" s="30">
        <f t="shared" ref="J184:J186" si="85">+SUM(C184:G184)-(H184+I184)</f>
        <v>229120</v>
      </c>
      <c r="K184" s="143" t="b">
        <f t="shared" ref="K184:K197" si="86">J184=I159</f>
        <v>1</v>
      </c>
    </row>
    <row r="185" spans="1:11">
      <c r="A185" s="121" t="str">
        <f>+A184</f>
        <v>JUILLET</v>
      </c>
      <c r="B185" s="126" t="str">
        <f t="shared" ref="B185:B197" si="87">A160</f>
        <v>D58</v>
      </c>
      <c r="C185" s="32">
        <f>+C160</f>
        <v>53800</v>
      </c>
      <c r="D185" s="31"/>
      <c r="E185" s="32">
        <f>+D160</f>
        <v>441000</v>
      </c>
      <c r="F185" s="32"/>
      <c r="G185" s="32"/>
      <c r="H185" s="55">
        <f>+F160</f>
        <v>0</v>
      </c>
      <c r="I185" s="32">
        <f t="shared" si="84"/>
        <v>450500</v>
      </c>
      <c r="J185" s="30">
        <f t="shared" si="85"/>
        <v>44300</v>
      </c>
      <c r="K185" s="143" t="b">
        <f t="shared" si="86"/>
        <v>1</v>
      </c>
    </row>
    <row r="186" spans="1:11">
      <c r="A186" s="121" t="str">
        <f t="shared" ref="A186:A197" si="88">+A185</f>
        <v>JUILLET</v>
      </c>
      <c r="B186" s="126" t="str">
        <f t="shared" si="87"/>
        <v>Donald-Roméo</v>
      </c>
      <c r="C186" s="32">
        <f>+C161</f>
        <v>236135</v>
      </c>
      <c r="D186" s="31"/>
      <c r="E186" s="32">
        <f>+D161</f>
        <v>649500</v>
      </c>
      <c r="F186" s="32"/>
      <c r="G186" s="32"/>
      <c r="H186" s="55">
        <f>+F161</f>
        <v>65000</v>
      </c>
      <c r="I186" s="32">
        <f t="shared" si="84"/>
        <v>775980</v>
      </c>
      <c r="J186" s="30">
        <f t="shared" si="85"/>
        <v>44655</v>
      </c>
      <c r="K186" s="143" t="b">
        <f t="shared" si="86"/>
        <v>1</v>
      </c>
    </row>
    <row r="187" spans="1:11">
      <c r="A187" s="121" t="str">
        <f t="shared" si="88"/>
        <v>JUILLET</v>
      </c>
      <c r="B187" s="126" t="str">
        <f t="shared" si="87"/>
        <v>Dovi</v>
      </c>
      <c r="C187" s="32">
        <f>+C162</f>
        <v>76000</v>
      </c>
      <c r="D187" s="31"/>
      <c r="E187" s="32">
        <f>+D162</f>
        <v>0</v>
      </c>
      <c r="F187" s="32"/>
      <c r="G187" s="32"/>
      <c r="H187" s="55">
        <f>+F162</f>
        <v>0</v>
      </c>
      <c r="I187" s="32">
        <f t="shared" si="84"/>
        <v>28000</v>
      </c>
      <c r="J187" s="30">
        <f t="shared" ref="J187" si="89">+SUM(C187:G187)-(H187+I187)</f>
        <v>48000</v>
      </c>
      <c r="K187" s="143" t="b">
        <f t="shared" si="86"/>
        <v>1</v>
      </c>
    </row>
    <row r="188" spans="1:11">
      <c r="A188" s="121" t="str">
        <f t="shared" si="88"/>
        <v>JUILLET</v>
      </c>
      <c r="B188" s="126" t="str">
        <f t="shared" si="87"/>
        <v>Evariste</v>
      </c>
      <c r="C188" s="32">
        <f t="shared" ref="C188:C197" si="90">+C163</f>
        <v>78975</v>
      </c>
      <c r="D188" s="31"/>
      <c r="E188" s="32">
        <f t="shared" ref="E188:E197" si="91">+D163</f>
        <v>75000</v>
      </c>
      <c r="F188" s="32"/>
      <c r="G188" s="32"/>
      <c r="H188" s="55">
        <f t="shared" ref="H188:H197" si="92">+F163</f>
        <v>0</v>
      </c>
      <c r="I188" s="32">
        <f t="shared" si="84"/>
        <v>136000</v>
      </c>
      <c r="J188" s="30">
        <f t="shared" ref="J188" si="93">+SUM(C188:G188)-(H188+I188)</f>
        <v>17975</v>
      </c>
      <c r="K188" s="143" t="b">
        <f t="shared" si="86"/>
        <v>1</v>
      </c>
    </row>
    <row r="189" spans="1:11">
      <c r="A189" s="121" t="str">
        <f t="shared" si="88"/>
        <v>JUILLET</v>
      </c>
      <c r="B189" s="128" t="str">
        <f t="shared" si="87"/>
        <v>I55S</v>
      </c>
      <c r="C189" s="119">
        <f t="shared" si="90"/>
        <v>233614</v>
      </c>
      <c r="D189" s="122"/>
      <c r="E189" s="119">
        <f t="shared" si="91"/>
        <v>0</v>
      </c>
      <c r="F189" s="136"/>
      <c r="G189" s="136"/>
      <c r="H189" s="154">
        <f t="shared" si="92"/>
        <v>0</v>
      </c>
      <c r="I189" s="119">
        <f t="shared" si="84"/>
        <v>0</v>
      </c>
      <c r="J189" s="120">
        <f>+SUM(C189:G189)-(H189+I189)</f>
        <v>233614</v>
      </c>
      <c r="K189" s="143" t="b">
        <f t="shared" si="86"/>
        <v>1</v>
      </c>
    </row>
    <row r="190" spans="1:11">
      <c r="A190" s="121" t="str">
        <f t="shared" si="88"/>
        <v>JUILLET</v>
      </c>
      <c r="B190" s="128" t="str">
        <f t="shared" si="87"/>
        <v>I73X</v>
      </c>
      <c r="C190" s="119">
        <f t="shared" si="90"/>
        <v>249769</v>
      </c>
      <c r="D190" s="122"/>
      <c r="E190" s="119">
        <f t="shared" si="91"/>
        <v>0</v>
      </c>
      <c r="F190" s="136"/>
      <c r="G190" s="136"/>
      <c r="H190" s="154">
        <f t="shared" si="92"/>
        <v>0</v>
      </c>
      <c r="I190" s="119">
        <f t="shared" si="84"/>
        <v>0</v>
      </c>
      <c r="J190" s="120">
        <f t="shared" ref="J190:J197" si="94">+SUM(C190:G190)-(H190+I190)</f>
        <v>249769</v>
      </c>
      <c r="K190" s="143" t="b">
        <f t="shared" si="86"/>
        <v>1</v>
      </c>
    </row>
    <row r="191" spans="1:11">
      <c r="A191" s="121" t="str">
        <f t="shared" si="88"/>
        <v>JUILLET</v>
      </c>
      <c r="B191" s="126" t="str">
        <f t="shared" si="87"/>
        <v>Grace</v>
      </c>
      <c r="C191" s="32">
        <f t="shared" si="90"/>
        <v>300650</v>
      </c>
      <c r="D191" s="31"/>
      <c r="E191" s="32">
        <f t="shared" si="91"/>
        <v>0</v>
      </c>
      <c r="F191" s="32"/>
      <c r="G191" s="103"/>
      <c r="H191" s="55">
        <f t="shared" si="92"/>
        <v>120000</v>
      </c>
      <c r="I191" s="32">
        <f t="shared" si="84"/>
        <v>25500</v>
      </c>
      <c r="J191" s="30">
        <f t="shared" si="94"/>
        <v>155150</v>
      </c>
      <c r="K191" s="143" t="b">
        <f t="shared" si="86"/>
        <v>1</v>
      </c>
    </row>
    <row r="192" spans="1:11">
      <c r="A192" s="121" t="str">
        <f t="shared" si="88"/>
        <v>JUILLET</v>
      </c>
      <c r="B192" s="126" t="str">
        <f t="shared" si="87"/>
        <v>Hurielle</v>
      </c>
      <c r="C192" s="32">
        <f t="shared" si="90"/>
        <v>0</v>
      </c>
      <c r="D192" s="31"/>
      <c r="E192" s="32">
        <f t="shared" si="91"/>
        <v>20000</v>
      </c>
      <c r="F192" s="32"/>
      <c r="G192" s="103"/>
      <c r="H192" s="55">
        <f t="shared" si="92"/>
        <v>0</v>
      </c>
      <c r="I192" s="32">
        <f t="shared" si="84"/>
        <v>16500</v>
      </c>
      <c r="J192" s="30">
        <f t="shared" si="94"/>
        <v>3500</v>
      </c>
      <c r="K192" s="143" t="b">
        <f t="shared" si="86"/>
        <v>1</v>
      </c>
    </row>
    <row r="193" spans="1:16">
      <c r="A193" s="121" t="str">
        <f t="shared" si="88"/>
        <v>JUILLET</v>
      </c>
      <c r="B193" s="126" t="str">
        <f t="shared" si="87"/>
        <v>IT87</v>
      </c>
      <c r="C193" s="32">
        <f t="shared" si="90"/>
        <v>0</v>
      </c>
      <c r="D193" s="31"/>
      <c r="E193" s="32">
        <f t="shared" si="91"/>
        <v>40000</v>
      </c>
      <c r="F193" s="32"/>
      <c r="G193" s="103"/>
      <c r="H193" s="55">
        <f t="shared" si="92"/>
        <v>0</v>
      </c>
      <c r="I193" s="32">
        <f t="shared" si="84"/>
        <v>38000</v>
      </c>
      <c r="J193" s="30">
        <f t="shared" si="94"/>
        <v>2000</v>
      </c>
      <c r="K193" s="143" t="b">
        <f t="shared" si="86"/>
        <v>1</v>
      </c>
    </row>
    <row r="194" spans="1:16">
      <c r="A194" s="121" t="str">
        <f t="shared" si="88"/>
        <v>JUILLET</v>
      </c>
      <c r="B194" s="126" t="str">
        <f t="shared" si="87"/>
        <v>Merveille</v>
      </c>
      <c r="C194" s="32">
        <f t="shared" si="90"/>
        <v>225600</v>
      </c>
      <c r="D194" s="31"/>
      <c r="E194" s="32">
        <f t="shared" si="91"/>
        <v>20000</v>
      </c>
      <c r="F194" s="32"/>
      <c r="G194" s="103"/>
      <c r="H194" s="55">
        <f t="shared" si="92"/>
        <v>160000</v>
      </c>
      <c r="I194" s="32">
        <f t="shared" si="84"/>
        <v>49000</v>
      </c>
      <c r="J194" s="30">
        <f t="shared" si="94"/>
        <v>36600</v>
      </c>
      <c r="K194" s="143" t="b">
        <f t="shared" si="86"/>
        <v>1</v>
      </c>
    </row>
    <row r="195" spans="1:16">
      <c r="A195" s="121" t="str">
        <f t="shared" si="88"/>
        <v>JUILLET</v>
      </c>
      <c r="B195" s="126" t="str">
        <f t="shared" si="87"/>
        <v>Oracle</v>
      </c>
      <c r="C195" s="32">
        <f t="shared" si="90"/>
        <v>25225</v>
      </c>
      <c r="D195" s="31"/>
      <c r="E195" s="32">
        <f t="shared" si="91"/>
        <v>449000</v>
      </c>
      <c r="F195" s="32"/>
      <c r="G195" s="103"/>
      <c r="H195" s="55">
        <f t="shared" si="92"/>
        <v>0</v>
      </c>
      <c r="I195" s="32">
        <f t="shared" si="84"/>
        <v>378000</v>
      </c>
      <c r="J195" s="30">
        <f t="shared" si="94"/>
        <v>96225</v>
      </c>
      <c r="K195" s="143" t="b">
        <f t="shared" si="86"/>
        <v>1</v>
      </c>
    </row>
    <row r="196" spans="1:16">
      <c r="A196" s="121" t="str">
        <f t="shared" si="88"/>
        <v>JUILLET</v>
      </c>
      <c r="B196" s="126" t="str">
        <f t="shared" si="87"/>
        <v>P29</v>
      </c>
      <c r="C196" s="32">
        <f t="shared" si="90"/>
        <v>92800</v>
      </c>
      <c r="D196" s="118"/>
      <c r="E196" s="32">
        <f t="shared" si="91"/>
        <v>870000</v>
      </c>
      <c r="F196" s="51"/>
      <c r="G196" s="137"/>
      <c r="H196" s="55">
        <f t="shared" si="92"/>
        <v>360000</v>
      </c>
      <c r="I196" s="32">
        <f t="shared" si="84"/>
        <v>555000</v>
      </c>
      <c r="J196" s="30">
        <f t="shared" si="94"/>
        <v>47800</v>
      </c>
      <c r="K196" s="143" t="b">
        <f t="shared" si="86"/>
        <v>1</v>
      </c>
    </row>
    <row r="197" spans="1:16">
      <c r="A197" s="121" t="str">
        <f t="shared" si="88"/>
        <v>JUILLET</v>
      </c>
      <c r="B197" s="126" t="str">
        <f t="shared" si="87"/>
        <v>T73</v>
      </c>
      <c r="C197" s="32">
        <f t="shared" si="90"/>
        <v>35200</v>
      </c>
      <c r="D197" s="118"/>
      <c r="E197" s="32">
        <f t="shared" si="91"/>
        <v>531000</v>
      </c>
      <c r="F197" s="51"/>
      <c r="G197" s="137"/>
      <c r="H197" s="55">
        <f t="shared" si="92"/>
        <v>0</v>
      </c>
      <c r="I197" s="32">
        <f t="shared" si="84"/>
        <v>556000</v>
      </c>
      <c r="J197" s="30">
        <f t="shared" si="94"/>
        <v>10200</v>
      </c>
      <c r="K197" s="143" t="b">
        <f t="shared" si="86"/>
        <v>1</v>
      </c>
    </row>
    <row r="198" spans="1:16">
      <c r="A198" s="34" t="s">
        <v>60</v>
      </c>
      <c r="B198" s="35"/>
      <c r="C198" s="35"/>
      <c r="D198" s="35"/>
      <c r="E198" s="35"/>
      <c r="F198" s="35"/>
      <c r="G198" s="35"/>
      <c r="H198" s="35"/>
      <c r="I198" s="35"/>
      <c r="J198" s="36"/>
      <c r="K198" s="142"/>
    </row>
    <row r="199" spans="1:16">
      <c r="A199" s="121" t="str">
        <f>A197</f>
        <v>JUILLET</v>
      </c>
      <c r="B199" s="37" t="s">
        <v>61</v>
      </c>
      <c r="C199" s="38">
        <f>+C158</f>
        <v>798884</v>
      </c>
      <c r="D199" s="49"/>
      <c r="E199" s="49">
        <f>D158</f>
        <v>6705000</v>
      </c>
      <c r="F199" s="49"/>
      <c r="G199" s="124"/>
      <c r="H199" s="51">
        <f>+F158</f>
        <v>3412500</v>
      </c>
      <c r="I199" s="125">
        <f>+E158</f>
        <v>2962137</v>
      </c>
      <c r="J199" s="30">
        <f>+SUM(C199:G199)-(H199+I199)</f>
        <v>1129247</v>
      </c>
      <c r="K199" s="143" t="b">
        <f>J199=I158</f>
        <v>1</v>
      </c>
    </row>
    <row r="200" spans="1:16">
      <c r="A200" s="43" t="s">
        <v>62</v>
      </c>
      <c r="B200" s="24"/>
      <c r="C200" s="35"/>
      <c r="D200" s="24"/>
      <c r="E200" s="24"/>
      <c r="F200" s="24"/>
      <c r="G200" s="24"/>
      <c r="H200" s="24"/>
      <c r="I200" s="24"/>
      <c r="J200" s="36"/>
      <c r="K200" s="142"/>
    </row>
    <row r="201" spans="1:16">
      <c r="A201" s="121" t="str">
        <f>+A199</f>
        <v>JUILLET</v>
      </c>
      <c r="B201" s="37" t="s">
        <v>24</v>
      </c>
      <c r="C201" s="124">
        <f>+C156</f>
        <v>7240675</v>
      </c>
      <c r="D201" s="131">
        <f>+G156</f>
        <v>0</v>
      </c>
      <c r="E201" s="49"/>
      <c r="F201" s="49"/>
      <c r="G201" s="49"/>
      <c r="H201" s="51">
        <f>+F156</f>
        <v>2000000</v>
      </c>
      <c r="I201" s="53">
        <f>+E156</f>
        <v>633345</v>
      </c>
      <c r="J201" s="30">
        <f>+SUM(C201:G201)-(H201+I201)</f>
        <v>4607330</v>
      </c>
      <c r="K201" s="143" t="b">
        <f>+J201=I156</f>
        <v>1</v>
      </c>
    </row>
    <row r="202" spans="1:16">
      <c r="A202" s="121" t="str">
        <f t="shared" ref="A202" si="95">+A201</f>
        <v>JUILLET</v>
      </c>
      <c r="B202" s="37" t="s">
        <v>64</v>
      </c>
      <c r="C202" s="124">
        <f>+C157</f>
        <v>13642205</v>
      </c>
      <c r="D202" s="49">
        <f>+G157</f>
        <v>11771804</v>
      </c>
      <c r="E202" s="48"/>
      <c r="F202" s="48"/>
      <c r="G202" s="48">
        <f>+D157</f>
        <v>0</v>
      </c>
      <c r="H202" s="32">
        <f>+F157</f>
        <v>4000000</v>
      </c>
      <c r="I202" s="50">
        <f>+E157</f>
        <v>5228280</v>
      </c>
      <c r="J202" s="30">
        <f>+SUM(C202:G202)-(H202+I202)</f>
        <v>16185729</v>
      </c>
      <c r="K202" s="143" t="b">
        <f>+J202=I157</f>
        <v>1</v>
      </c>
    </row>
    <row r="203" spans="1:16" ht="15.75">
      <c r="C203" s="140">
        <f>SUM(C184:C202)</f>
        <v>23593552</v>
      </c>
      <c r="I203" s="139">
        <f>SUM(I184:I202)</f>
        <v>12224142</v>
      </c>
      <c r="J203" s="104">
        <f>+SUM(J184:J202)</f>
        <v>23141214</v>
      </c>
      <c r="K203" s="5" t="b">
        <f>J203=I173</f>
        <v>1</v>
      </c>
    </row>
    <row r="204" spans="1:16" ht="15.75">
      <c r="C204" s="140"/>
      <c r="I204" s="139"/>
      <c r="J204" s="104"/>
    </row>
    <row r="205" spans="1:16" ht="15.75">
      <c r="A205" s="157"/>
      <c r="B205" s="157"/>
      <c r="C205" s="158"/>
      <c r="D205" s="157"/>
      <c r="E205" s="157"/>
      <c r="F205" s="157"/>
      <c r="G205" s="157"/>
      <c r="H205" s="157"/>
      <c r="I205" s="159"/>
      <c r="J205" s="160"/>
      <c r="K205" s="157"/>
      <c r="L205" s="161"/>
      <c r="M205" s="161"/>
      <c r="N205" s="161"/>
      <c r="O205" s="161"/>
      <c r="P205" s="157"/>
    </row>
    <row r="207" spans="1:16" ht="15.75">
      <c r="A207" s="6" t="s">
        <v>36</v>
      </c>
      <c r="B207" s="6" t="s">
        <v>1</v>
      </c>
      <c r="C207" s="6">
        <v>45078</v>
      </c>
      <c r="D207" s="7" t="s">
        <v>37</v>
      </c>
      <c r="E207" s="7" t="s">
        <v>38</v>
      </c>
      <c r="F207" s="7" t="s">
        <v>39</v>
      </c>
      <c r="G207" s="7" t="s">
        <v>40</v>
      </c>
      <c r="H207" s="6">
        <v>45107</v>
      </c>
      <c r="I207" s="7" t="s">
        <v>41</v>
      </c>
      <c r="K207" s="45"/>
      <c r="L207" s="45" t="s">
        <v>42</v>
      </c>
      <c r="M207" s="45" t="s">
        <v>43</v>
      </c>
      <c r="N207" s="45" t="s">
        <v>44</v>
      </c>
      <c r="O207" s="45" t="s">
        <v>45</v>
      </c>
    </row>
    <row r="208" spans="1:16" ht="16.5">
      <c r="A208" s="58" t="str">
        <f>K208</f>
        <v>BCI</v>
      </c>
      <c r="B208" s="59" t="s">
        <v>46</v>
      </c>
      <c r="C208" s="61">
        <v>14703145</v>
      </c>
      <c r="D208" s="61">
        <f>+L208</f>
        <v>0</v>
      </c>
      <c r="E208" s="61">
        <f>+N208</f>
        <v>35235</v>
      </c>
      <c r="F208" s="61">
        <f>+M208</f>
        <v>25049328</v>
      </c>
      <c r="G208" s="61">
        <f t="shared" ref="G208:G224" si="96">+O208</f>
        <v>17622093</v>
      </c>
      <c r="H208" s="61">
        <v>7240675</v>
      </c>
      <c r="I208" s="61">
        <f>+C208+D208-E208-F208+G208</f>
        <v>7240675</v>
      </c>
      <c r="J208" s="9">
        <f>I208-H208</f>
        <v>0</v>
      </c>
      <c r="K208" s="45" t="s">
        <v>24</v>
      </c>
      <c r="L208" s="178">
        <v>0</v>
      </c>
      <c r="M208" s="178">
        <v>25049328</v>
      </c>
      <c r="N208" s="178">
        <v>35235</v>
      </c>
      <c r="O208" s="178">
        <v>17622093</v>
      </c>
    </row>
    <row r="209" spans="1:15" ht="16.5">
      <c r="A209" s="58" t="str">
        <f t="shared" ref="A209:A224" si="97">K209</f>
        <v>BCI-Sous Compte</v>
      </c>
      <c r="B209" s="59" t="s">
        <v>46</v>
      </c>
      <c r="C209" s="61">
        <v>499301</v>
      </c>
      <c r="D209" s="61">
        <f>+L209</f>
        <v>19049328</v>
      </c>
      <c r="E209" s="61">
        <f t="shared" ref="E209:E215" si="98">+N209</f>
        <v>3906424</v>
      </c>
      <c r="F209" s="61">
        <f t="shared" ref="F209:F215" si="99">+M209</f>
        <v>2000000</v>
      </c>
      <c r="G209" s="61">
        <f t="shared" si="96"/>
        <v>0</v>
      </c>
      <c r="H209" s="61">
        <v>13642205</v>
      </c>
      <c r="I209" s="61">
        <f t="shared" ref="I209:I215" si="100">+C209+D209-E209-F209+G209</f>
        <v>13642205</v>
      </c>
      <c r="J209" s="9">
        <f t="shared" ref="J209:J224" si="101">I209-H209</f>
        <v>0</v>
      </c>
      <c r="K209" s="45" t="s">
        <v>148</v>
      </c>
      <c r="L209" s="178">
        <v>19049328</v>
      </c>
      <c r="M209" s="178">
        <v>2000000</v>
      </c>
      <c r="N209" s="178">
        <v>3906424</v>
      </c>
      <c r="O209" s="178">
        <v>0</v>
      </c>
    </row>
    <row r="210" spans="1:15" ht="16.5">
      <c r="A210" s="58" t="str">
        <f t="shared" si="97"/>
        <v>Caisse</v>
      </c>
      <c r="B210" s="59" t="s">
        <v>25</v>
      </c>
      <c r="C210" s="61">
        <v>275723</v>
      </c>
      <c r="D210" s="61">
        <f t="shared" ref="D210:D215" si="102">+L210</f>
        <v>8454305</v>
      </c>
      <c r="E210" s="61">
        <f t="shared" si="98"/>
        <v>2771320</v>
      </c>
      <c r="F210" s="61">
        <f t="shared" si="99"/>
        <v>5159824</v>
      </c>
      <c r="G210" s="61">
        <f t="shared" si="96"/>
        <v>0</v>
      </c>
      <c r="H210" s="61">
        <v>798884</v>
      </c>
      <c r="I210" s="61">
        <f t="shared" si="100"/>
        <v>798884</v>
      </c>
      <c r="J210" s="9">
        <f t="shared" si="101"/>
        <v>0</v>
      </c>
      <c r="K210" s="45" t="s">
        <v>25</v>
      </c>
      <c r="L210" s="178">
        <v>8454305</v>
      </c>
      <c r="M210" s="178">
        <v>5159824</v>
      </c>
      <c r="N210" s="178">
        <v>2771320</v>
      </c>
      <c r="O210" s="178">
        <v>0</v>
      </c>
    </row>
    <row r="211" spans="1:15" ht="16.5">
      <c r="A211" s="58" t="str">
        <f t="shared" si="97"/>
        <v>Crépin</v>
      </c>
      <c r="B211" s="59" t="s">
        <v>154</v>
      </c>
      <c r="C211" s="61">
        <v>240620</v>
      </c>
      <c r="D211" s="61">
        <f t="shared" si="102"/>
        <v>555500</v>
      </c>
      <c r="E211" s="61">
        <f t="shared" si="98"/>
        <v>492100</v>
      </c>
      <c r="F211" s="61">
        <f t="shared" si="99"/>
        <v>0</v>
      </c>
      <c r="G211" s="61">
        <f t="shared" si="96"/>
        <v>0</v>
      </c>
      <c r="H211" s="61">
        <v>304020</v>
      </c>
      <c r="I211" s="61">
        <f t="shared" si="100"/>
        <v>304020</v>
      </c>
      <c r="J211" s="9">
        <f t="shared" si="101"/>
        <v>0</v>
      </c>
      <c r="K211" s="45" t="s">
        <v>47</v>
      </c>
      <c r="L211" s="178">
        <v>555500</v>
      </c>
      <c r="M211" s="178">
        <v>0</v>
      </c>
      <c r="N211" s="178">
        <v>492100</v>
      </c>
      <c r="O211" s="178">
        <v>0</v>
      </c>
    </row>
    <row r="212" spans="1:15" ht="16.5">
      <c r="A212" s="58" t="str">
        <f t="shared" si="97"/>
        <v>D58</v>
      </c>
      <c r="B212" s="59" t="s">
        <v>4</v>
      </c>
      <c r="C212" s="61">
        <v>14700</v>
      </c>
      <c r="D212" s="61">
        <f t="shared" si="102"/>
        <v>402500</v>
      </c>
      <c r="E212" s="61">
        <f t="shared" si="98"/>
        <v>363400</v>
      </c>
      <c r="F212" s="61">
        <f t="shared" si="99"/>
        <v>0</v>
      </c>
      <c r="G212" s="61">
        <f t="shared" si="96"/>
        <v>0</v>
      </c>
      <c r="H212" s="61">
        <v>53800</v>
      </c>
      <c r="I212" s="61">
        <f t="shared" si="100"/>
        <v>53800</v>
      </c>
      <c r="J212" s="9">
        <f t="shared" si="101"/>
        <v>0</v>
      </c>
      <c r="K212" s="45" t="s">
        <v>269</v>
      </c>
      <c r="L212" s="178">
        <v>402500</v>
      </c>
      <c r="M212" s="178">
        <v>0</v>
      </c>
      <c r="N212" s="178">
        <v>363400</v>
      </c>
      <c r="O212" s="178">
        <v>0</v>
      </c>
    </row>
    <row r="213" spans="1:15" ht="16.5">
      <c r="A213" s="58" t="str">
        <f t="shared" si="97"/>
        <v>Donald</v>
      </c>
      <c r="B213" s="59" t="s">
        <v>154</v>
      </c>
      <c r="C213" s="61">
        <v>111990</v>
      </c>
      <c r="D213" s="61">
        <f t="shared" si="102"/>
        <v>705000</v>
      </c>
      <c r="E213" s="61">
        <f t="shared" si="98"/>
        <v>557355</v>
      </c>
      <c r="F213" s="61">
        <f t="shared" si="99"/>
        <v>23500</v>
      </c>
      <c r="G213" s="61">
        <f t="shared" si="96"/>
        <v>0</v>
      </c>
      <c r="H213" s="61">
        <v>236135</v>
      </c>
      <c r="I213" s="61">
        <f t="shared" si="100"/>
        <v>236135</v>
      </c>
      <c r="J213" s="9">
        <f t="shared" si="101"/>
        <v>0</v>
      </c>
      <c r="K213" s="45" t="s">
        <v>255</v>
      </c>
      <c r="L213" s="178">
        <v>705000</v>
      </c>
      <c r="M213" s="178">
        <v>23500</v>
      </c>
      <c r="N213" s="178">
        <v>557355</v>
      </c>
      <c r="O213" s="178">
        <v>0</v>
      </c>
    </row>
    <row r="214" spans="1:15" ht="16.5">
      <c r="A214" s="58" t="str">
        <f t="shared" si="97"/>
        <v>Dovi</v>
      </c>
      <c r="B214" s="59" t="s">
        <v>2</v>
      </c>
      <c r="C214" s="61">
        <v>0</v>
      </c>
      <c r="D214" s="61">
        <f t="shared" si="102"/>
        <v>234000</v>
      </c>
      <c r="E214" s="61">
        <f t="shared" si="98"/>
        <v>158000</v>
      </c>
      <c r="F214" s="61">
        <f t="shared" si="99"/>
        <v>0</v>
      </c>
      <c r="G214" s="61">
        <f t="shared" si="96"/>
        <v>0</v>
      </c>
      <c r="H214" s="61">
        <v>76000</v>
      </c>
      <c r="I214" s="61">
        <f t="shared" si="100"/>
        <v>76000</v>
      </c>
      <c r="J214" s="9">
        <f t="shared" si="101"/>
        <v>0</v>
      </c>
      <c r="K214" s="45" t="s">
        <v>305</v>
      </c>
      <c r="L214" s="178">
        <v>234000</v>
      </c>
      <c r="M214" s="178">
        <v>0</v>
      </c>
      <c r="N214" s="178">
        <v>158000</v>
      </c>
      <c r="O214" s="178">
        <v>0</v>
      </c>
    </row>
    <row r="215" spans="1:15" ht="16.5">
      <c r="A215" s="58" t="str">
        <f t="shared" si="97"/>
        <v>Evariste</v>
      </c>
      <c r="B215" s="59" t="s">
        <v>155</v>
      </c>
      <c r="C215" s="61">
        <v>28375</v>
      </c>
      <c r="D215" s="61">
        <f t="shared" si="102"/>
        <v>322000</v>
      </c>
      <c r="E215" s="61">
        <f t="shared" si="98"/>
        <v>271400</v>
      </c>
      <c r="F215" s="61">
        <f t="shared" si="99"/>
        <v>0</v>
      </c>
      <c r="G215" s="61">
        <f t="shared" si="96"/>
        <v>0</v>
      </c>
      <c r="H215" s="61">
        <v>78975</v>
      </c>
      <c r="I215" s="61">
        <f t="shared" si="100"/>
        <v>78975</v>
      </c>
      <c r="J215" s="9">
        <f t="shared" si="101"/>
        <v>0</v>
      </c>
      <c r="K215" s="45" t="s">
        <v>31</v>
      </c>
      <c r="L215" s="178">
        <v>322000</v>
      </c>
      <c r="M215" s="178">
        <v>0</v>
      </c>
      <c r="N215" s="178">
        <v>271400</v>
      </c>
      <c r="O215" s="178">
        <v>0</v>
      </c>
    </row>
    <row r="216" spans="1:15" ht="16.5">
      <c r="A216" s="58" t="str">
        <f t="shared" si="97"/>
        <v>I55S</v>
      </c>
      <c r="B216" s="115" t="s">
        <v>4</v>
      </c>
      <c r="C216" s="117">
        <v>233614</v>
      </c>
      <c r="D216" s="117">
        <f t="shared" ref="D216:D224" si="103">+L216</f>
        <v>0</v>
      </c>
      <c r="E216" s="117">
        <f>+N216</f>
        <v>0</v>
      </c>
      <c r="F216" s="117">
        <f t="shared" ref="F216:F217" si="104">+M216</f>
        <v>0</v>
      </c>
      <c r="G216" s="117">
        <f t="shared" si="96"/>
        <v>0</v>
      </c>
      <c r="H216" s="117">
        <v>233614</v>
      </c>
      <c r="I216" s="117">
        <f>+C216+D216-E216-F216+G216</f>
        <v>233614</v>
      </c>
      <c r="J216" s="9">
        <f t="shared" si="101"/>
        <v>0</v>
      </c>
      <c r="K216" s="45" t="s">
        <v>84</v>
      </c>
      <c r="L216" s="178">
        <v>0</v>
      </c>
      <c r="M216" s="178">
        <v>0</v>
      </c>
      <c r="N216" s="178">
        <v>0</v>
      </c>
      <c r="O216" s="178">
        <v>0</v>
      </c>
    </row>
    <row r="217" spans="1:15" ht="16.5">
      <c r="A217" s="58" t="str">
        <f t="shared" si="97"/>
        <v>I73X</v>
      </c>
      <c r="B217" s="115" t="s">
        <v>4</v>
      </c>
      <c r="C217" s="117">
        <v>249769</v>
      </c>
      <c r="D217" s="117">
        <f t="shared" si="103"/>
        <v>0</v>
      </c>
      <c r="E217" s="117">
        <f>+N217</f>
        <v>0</v>
      </c>
      <c r="F217" s="117">
        <f t="shared" si="104"/>
        <v>0</v>
      </c>
      <c r="G217" s="117">
        <f t="shared" si="96"/>
        <v>0</v>
      </c>
      <c r="H217" s="117">
        <v>249769</v>
      </c>
      <c r="I217" s="117">
        <f t="shared" ref="I217:I224" si="105">+C217+D217-E217-F217+G217</f>
        <v>249769</v>
      </c>
      <c r="J217" s="9">
        <f t="shared" si="101"/>
        <v>0</v>
      </c>
      <c r="K217" s="45" t="s">
        <v>83</v>
      </c>
      <c r="L217" s="178">
        <v>0</v>
      </c>
      <c r="M217" s="178">
        <v>0</v>
      </c>
      <c r="N217" s="178">
        <v>0</v>
      </c>
      <c r="O217" s="178">
        <v>0</v>
      </c>
    </row>
    <row r="218" spans="1:15" ht="16.5">
      <c r="A218" s="58" t="str">
        <f t="shared" si="97"/>
        <v>Grace</v>
      </c>
      <c r="B218" s="59" t="s">
        <v>2</v>
      </c>
      <c r="C218" s="181">
        <v>46550</v>
      </c>
      <c r="D218" s="61">
        <f t="shared" si="103"/>
        <v>829000</v>
      </c>
      <c r="E218" s="61">
        <f t="shared" ref="E218:E224" si="106">+N218</f>
        <v>199900</v>
      </c>
      <c r="F218" s="61">
        <f>+M218</f>
        <v>375000</v>
      </c>
      <c r="G218" s="61">
        <f t="shared" si="96"/>
        <v>0</v>
      </c>
      <c r="H218" s="181">
        <v>300650</v>
      </c>
      <c r="I218" s="181">
        <f t="shared" si="105"/>
        <v>300650</v>
      </c>
      <c r="J218" s="9">
        <f t="shared" si="101"/>
        <v>0</v>
      </c>
      <c r="K218" s="183" t="s">
        <v>143</v>
      </c>
      <c r="L218" s="178">
        <v>829000</v>
      </c>
      <c r="M218" s="178">
        <v>375000</v>
      </c>
      <c r="N218" s="178">
        <v>199900</v>
      </c>
      <c r="O218" s="178">
        <v>0</v>
      </c>
    </row>
    <row r="219" spans="1:15" ht="16.5">
      <c r="A219" s="58" t="str">
        <f t="shared" si="97"/>
        <v>Hurielle</v>
      </c>
      <c r="B219" s="97" t="s">
        <v>154</v>
      </c>
      <c r="C219" s="61">
        <v>84605</v>
      </c>
      <c r="D219" s="61">
        <f t="shared" si="103"/>
        <v>38000</v>
      </c>
      <c r="E219" s="61">
        <f t="shared" si="106"/>
        <v>78800</v>
      </c>
      <c r="F219" s="61">
        <f t="shared" ref="F219:F224" si="107">+M219</f>
        <v>43805</v>
      </c>
      <c r="G219" s="61">
        <f t="shared" si="96"/>
        <v>0</v>
      </c>
      <c r="H219" s="181">
        <v>0</v>
      </c>
      <c r="I219" s="181">
        <f>+C219+D219-E219-F219+G219</f>
        <v>0</v>
      </c>
      <c r="J219" s="9">
        <f t="shared" si="101"/>
        <v>0</v>
      </c>
      <c r="K219" s="45" t="s">
        <v>197</v>
      </c>
      <c r="L219" s="178">
        <v>38000</v>
      </c>
      <c r="M219" s="178">
        <v>43805</v>
      </c>
      <c r="N219" s="178">
        <v>78800</v>
      </c>
      <c r="O219" s="178">
        <v>0</v>
      </c>
    </row>
    <row r="220" spans="1:15" ht="16.5">
      <c r="A220" s="58" t="str">
        <f t="shared" si="97"/>
        <v>Merveille</v>
      </c>
      <c r="B220" s="59" t="s">
        <v>2</v>
      </c>
      <c r="C220" s="181">
        <v>-7600</v>
      </c>
      <c r="D220" s="61">
        <f t="shared" si="103"/>
        <v>529000</v>
      </c>
      <c r="E220" s="61">
        <f t="shared" si="106"/>
        <v>275300</v>
      </c>
      <c r="F220" s="61">
        <f t="shared" si="107"/>
        <v>20500</v>
      </c>
      <c r="G220" s="61">
        <f t="shared" si="96"/>
        <v>0</v>
      </c>
      <c r="H220" s="181">
        <v>225600</v>
      </c>
      <c r="I220" s="181">
        <f t="shared" si="105"/>
        <v>225600</v>
      </c>
      <c r="J220" s="9">
        <f t="shared" si="101"/>
        <v>0</v>
      </c>
      <c r="K220" s="183" t="s">
        <v>93</v>
      </c>
      <c r="L220" s="178">
        <v>529000</v>
      </c>
      <c r="M220" s="178">
        <v>20500</v>
      </c>
      <c r="N220" s="178">
        <v>275300</v>
      </c>
      <c r="O220" s="178">
        <v>0</v>
      </c>
    </row>
    <row r="221" spans="1:15" ht="16.5">
      <c r="A221" s="58" t="str">
        <f t="shared" si="97"/>
        <v>Oracle</v>
      </c>
      <c r="B221" s="97" t="s">
        <v>154</v>
      </c>
      <c r="C221" s="61">
        <v>12000</v>
      </c>
      <c r="D221" s="61">
        <f t="shared" si="103"/>
        <v>421000</v>
      </c>
      <c r="E221" s="61">
        <f t="shared" si="106"/>
        <v>367775</v>
      </c>
      <c r="F221" s="61">
        <f t="shared" si="107"/>
        <v>40000</v>
      </c>
      <c r="G221" s="61">
        <f t="shared" si="96"/>
        <v>0</v>
      </c>
      <c r="H221" s="181">
        <v>25225</v>
      </c>
      <c r="I221" s="181">
        <f t="shared" si="105"/>
        <v>25225</v>
      </c>
      <c r="J221" s="9">
        <f t="shared" si="101"/>
        <v>0</v>
      </c>
      <c r="K221" s="45" t="s">
        <v>298</v>
      </c>
      <c r="L221" s="178">
        <v>421000</v>
      </c>
      <c r="M221" s="178">
        <v>40000</v>
      </c>
      <c r="N221" s="178">
        <v>367775</v>
      </c>
      <c r="O221" s="178">
        <v>0</v>
      </c>
    </row>
    <row r="222" spans="1:15" ht="16.5">
      <c r="A222" s="58" t="str">
        <f t="shared" si="97"/>
        <v>P29</v>
      </c>
      <c r="B222" s="97" t="s">
        <v>4</v>
      </c>
      <c r="C222" s="61">
        <v>149800</v>
      </c>
      <c r="D222" s="61">
        <f t="shared" si="103"/>
        <v>1048000</v>
      </c>
      <c r="E222" s="61">
        <f t="shared" si="106"/>
        <v>810000</v>
      </c>
      <c r="F222" s="61">
        <f t="shared" si="107"/>
        <v>295000</v>
      </c>
      <c r="G222" s="61">
        <f t="shared" si="96"/>
        <v>0</v>
      </c>
      <c r="H222" s="181">
        <v>92800</v>
      </c>
      <c r="I222" s="181">
        <f t="shared" si="105"/>
        <v>92800</v>
      </c>
      <c r="J222" s="9">
        <f t="shared" si="101"/>
        <v>0</v>
      </c>
      <c r="K222" s="45" t="s">
        <v>29</v>
      </c>
      <c r="L222" s="178">
        <v>1048000</v>
      </c>
      <c r="M222" s="178">
        <v>295000</v>
      </c>
      <c r="N222" s="178">
        <v>810000</v>
      </c>
      <c r="O222" s="178">
        <v>0</v>
      </c>
    </row>
    <row r="223" spans="1:15" ht="16.5">
      <c r="A223" s="58" t="str">
        <f t="shared" si="97"/>
        <v>T73</v>
      </c>
      <c r="B223" s="59" t="s">
        <v>4</v>
      </c>
      <c r="C223" s="61">
        <v>354300</v>
      </c>
      <c r="D223" s="61">
        <f t="shared" si="103"/>
        <v>574000</v>
      </c>
      <c r="E223" s="61">
        <f t="shared" si="106"/>
        <v>743100</v>
      </c>
      <c r="F223" s="61">
        <f t="shared" si="107"/>
        <v>150000</v>
      </c>
      <c r="G223" s="61">
        <f t="shared" si="96"/>
        <v>0</v>
      </c>
      <c r="H223" s="181">
        <v>35200</v>
      </c>
      <c r="I223" s="181">
        <f t="shared" si="105"/>
        <v>35200</v>
      </c>
      <c r="J223" s="9">
        <f t="shared" si="101"/>
        <v>0</v>
      </c>
      <c r="K223" s="45" t="s">
        <v>268</v>
      </c>
      <c r="L223" s="178">
        <v>574000</v>
      </c>
      <c r="M223" s="178">
        <v>150000</v>
      </c>
      <c r="N223" s="178">
        <v>743100</v>
      </c>
      <c r="O223" s="178">
        <v>0</v>
      </c>
    </row>
    <row r="224" spans="1:15" ht="16.5">
      <c r="A224" s="58" t="str">
        <f t="shared" si="97"/>
        <v>Tiffany</v>
      </c>
      <c r="B224" s="59" t="s">
        <v>2</v>
      </c>
      <c r="C224" s="61">
        <v>14676</v>
      </c>
      <c r="D224" s="61">
        <f t="shared" si="103"/>
        <v>25324</v>
      </c>
      <c r="E224" s="61">
        <f t="shared" si="106"/>
        <v>10000</v>
      </c>
      <c r="F224" s="61">
        <f t="shared" si="107"/>
        <v>30000</v>
      </c>
      <c r="G224" s="61">
        <f t="shared" si="96"/>
        <v>0</v>
      </c>
      <c r="H224" s="181">
        <v>0</v>
      </c>
      <c r="I224" s="181">
        <f t="shared" si="105"/>
        <v>0</v>
      </c>
      <c r="J224" s="9">
        <f t="shared" si="101"/>
        <v>0</v>
      </c>
      <c r="K224" s="45" t="s">
        <v>113</v>
      </c>
      <c r="L224" s="178">
        <v>25324</v>
      </c>
      <c r="M224" s="178">
        <v>30000</v>
      </c>
      <c r="N224" s="178">
        <v>10000</v>
      </c>
      <c r="O224" s="178">
        <v>0</v>
      </c>
    </row>
    <row r="225" spans="1:15" ht="16.5">
      <c r="A225" s="10" t="s">
        <v>50</v>
      </c>
      <c r="B225" s="11"/>
      <c r="C225" s="12">
        <f t="shared" ref="C225:I225" si="108">SUM(C208:C224)</f>
        <v>17011568</v>
      </c>
      <c r="D225" s="57">
        <f t="shared" si="108"/>
        <v>33186957</v>
      </c>
      <c r="E225" s="57">
        <f t="shared" si="108"/>
        <v>11040109</v>
      </c>
      <c r="F225" s="57">
        <f t="shared" si="108"/>
        <v>33186957</v>
      </c>
      <c r="G225" s="57">
        <f t="shared" si="108"/>
        <v>17622093</v>
      </c>
      <c r="H225" s="57">
        <f t="shared" si="108"/>
        <v>23593552</v>
      </c>
      <c r="I225" s="57">
        <f t="shared" si="108"/>
        <v>23593552</v>
      </c>
      <c r="J225" s="9"/>
      <c r="K225" s="3"/>
      <c r="L225" s="47">
        <f>+SUM(L208:L224)</f>
        <v>33186957</v>
      </c>
      <c r="M225" s="47">
        <f>+SUM(M208:M224)</f>
        <v>33186957</v>
      </c>
      <c r="N225" s="47">
        <f>+SUM(N208:N224)</f>
        <v>11040109</v>
      </c>
      <c r="O225" s="47">
        <f>+SUM(O208:O224)</f>
        <v>17622093</v>
      </c>
    </row>
    <row r="226" spans="1:15" ht="16.5">
      <c r="A226" s="10"/>
      <c r="B226" s="11"/>
      <c r="C226" s="12"/>
      <c r="D226" s="13"/>
      <c r="E226" s="12"/>
      <c r="F226" s="13"/>
      <c r="G226" s="12"/>
      <c r="H226" s="12"/>
      <c r="I226" s="133" t="b">
        <f>I225=D228</f>
        <v>1</v>
      </c>
      <c r="J226" s="9"/>
      <c r="L226" s="5"/>
      <c r="M226" s="5"/>
      <c r="N226" s="5"/>
      <c r="O226" s="5"/>
    </row>
    <row r="227" spans="1:15" ht="16.5">
      <c r="A227" s="10" t="s">
        <v>300</v>
      </c>
      <c r="B227" s="11" t="s">
        <v>217</v>
      </c>
      <c r="C227" s="12" t="s">
        <v>218</v>
      </c>
      <c r="D227" s="12" t="s">
        <v>301</v>
      </c>
      <c r="E227" s="12" t="s">
        <v>51</v>
      </c>
      <c r="F227" s="12"/>
      <c r="G227" s="12">
        <f>+D225-F225</f>
        <v>0</v>
      </c>
      <c r="H227" s="12"/>
      <c r="I227" s="207"/>
    </row>
    <row r="228" spans="1:15" ht="16.5">
      <c r="A228" s="14">
        <f>C225</f>
        <v>17011568</v>
      </c>
      <c r="B228" s="15">
        <f>G225</f>
        <v>17622093</v>
      </c>
      <c r="C228" s="12">
        <f>E225</f>
        <v>11040109</v>
      </c>
      <c r="D228" s="12">
        <f>A228+B228-C228</f>
        <v>23593552</v>
      </c>
      <c r="E228" s="13">
        <f>I225-D228</f>
        <v>0</v>
      </c>
      <c r="F228" s="12"/>
      <c r="G228" s="12"/>
      <c r="H228" s="12"/>
      <c r="I228" s="12"/>
    </row>
    <row r="229" spans="1:15" ht="16.5">
      <c r="A229" s="14"/>
      <c r="B229" s="15"/>
      <c r="C229" s="12"/>
      <c r="D229" s="12"/>
      <c r="E229" s="13"/>
      <c r="F229" s="12"/>
      <c r="G229" s="12"/>
      <c r="H229" s="12"/>
      <c r="I229" s="12"/>
    </row>
    <row r="230" spans="1:15">
      <c r="A230" s="16" t="s">
        <v>52</v>
      </c>
      <c r="B230" s="16"/>
      <c r="C230" s="16"/>
      <c r="D230" s="17"/>
      <c r="E230" s="17"/>
      <c r="F230" s="17"/>
      <c r="G230" s="17"/>
      <c r="H230" s="17"/>
      <c r="I230" s="17"/>
    </row>
    <row r="231" spans="1:15">
      <c r="A231" s="18" t="s">
        <v>302</v>
      </c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5">
      <c r="A232" s="19"/>
      <c r="B232" s="17"/>
      <c r="C232" s="20"/>
      <c r="D232" s="20"/>
      <c r="E232" s="20"/>
      <c r="F232" s="20"/>
      <c r="G232" s="20"/>
      <c r="H232" s="17"/>
      <c r="I232" s="17"/>
    </row>
    <row r="233" spans="1:15">
      <c r="A233" s="166" t="s">
        <v>53</v>
      </c>
      <c r="B233" s="168" t="s">
        <v>54</v>
      </c>
      <c r="C233" s="170" t="s">
        <v>303</v>
      </c>
      <c r="D233" s="171" t="s">
        <v>55</v>
      </c>
      <c r="E233" s="172"/>
      <c r="F233" s="172"/>
      <c r="G233" s="173"/>
      <c r="H233" s="174" t="s">
        <v>56</v>
      </c>
      <c r="I233" s="162" t="s">
        <v>57</v>
      </c>
      <c r="J233" s="205"/>
    </row>
    <row r="234" spans="1:15" ht="25.5">
      <c r="A234" s="167"/>
      <c r="B234" s="169"/>
      <c r="C234" s="22"/>
      <c r="D234" s="21" t="s">
        <v>24</v>
      </c>
      <c r="E234" s="21" t="s">
        <v>25</v>
      </c>
      <c r="F234" s="22" t="s">
        <v>123</v>
      </c>
      <c r="G234" s="21" t="s">
        <v>58</v>
      </c>
      <c r="H234" s="175"/>
      <c r="I234" s="163"/>
      <c r="J234" s="165" t="s">
        <v>304</v>
      </c>
      <c r="K234" s="142"/>
    </row>
    <row r="235" spans="1:15">
      <c r="A235" s="23"/>
      <c r="B235" s="24" t="s">
        <v>59</v>
      </c>
      <c r="C235" s="25"/>
      <c r="D235" s="25"/>
      <c r="E235" s="25"/>
      <c r="F235" s="25"/>
      <c r="G235" s="25"/>
      <c r="H235" s="25"/>
      <c r="I235" s="26"/>
      <c r="J235" s="165"/>
      <c r="K235" s="142"/>
    </row>
    <row r="236" spans="1:15">
      <c r="A236" s="121" t="s">
        <v>135</v>
      </c>
      <c r="B236" s="126" t="s">
        <v>47</v>
      </c>
      <c r="C236" s="32">
        <f>+C211</f>
        <v>240620</v>
      </c>
      <c r="D236" s="31"/>
      <c r="E236" s="32">
        <f>+D211</f>
        <v>555500</v>
      </c>
      <c r="F236" s="32"/>
      <c r="G236" s="32"/>
      <c r="H236" s="55">
        <f>+F211</f>
        <v>0</v>
      </c>
      <c r="I236" s="32">
        <f t="shared" ref="I236:I249" si="109">+E211</f>
        <v>492100</v>
      </c>
      <c r="J236" s="30">
        <f t="shared" ref="J236:J240" si="110">+SUM(C236:G236)-(H236+I236)</f>
        <v>304020</v>
      </c>
      <c r="K236" s="143" t="b">
        <f t="shared" ref="K236:K249" si="111">J236=I211</f>
        <v>1</v>
      </c>
    </row>
    <row r="237" spans="1:15">
      <c r="A237" s="121" t="str">
        <f>+A236</f>
        <v>JUIN</v>
      </c>
      <c r="B237" s="126" t="s">
        <v>269</v>
      </c>
      <c r="C237" s="32">
        <f>+C212</f>
        <v>14700</v>
      </c>
      <c r="D237" s="31"/>
      <c r="E237" s="32">
        <f>+D212</f>
        <v>402500</v>
      </c>
      <c r="F237" s="32"/>
      <c r="G237" s="32"/>
      <c r="H237" s="55">
        <f>+F212</f>
        <v>0</v>
      </c>
      <c r="I237" s="32">
        <f t="shared" si="109"/>
        <v>363400</v>
      </c>
      <c r="J237" s="30">
        <f t="shared" si="110"/>
        <v>53800</v>
      </c>
      <c r="K237" s="143" t="b">
        <f t="shared" si="111"/>
        <v>1</v>
      </c>
    </row>
    <row r="238" spans="1:15">
      <c r="A238" s="121" t="str">
        <f t="shared" ref="A238:A243" si="112">+A237</f>
        <v>JUIN</v>
      </c>
      <c r="B238" s="126" t="s">
        <v>255</v>
      </c>
      <c r="C238" s="32">
        <f>+C213</f>
        <v>111990</v>
      </c>
      <c r="D238" s="31"/>
      <c r="E238" s="32">
        <f>+D213</f>
        <v>705000</v>
      </c>
      <c r="F238" s="32"/>
      <c r="G238" s="32"/>
      <c r="H238" s="55">
        <f>+F213</f>
        <v>23500</v>
      </c>
      <c r="I238" s="32">
        <f t="shared" si="109"/>
        <v>557355</v>
      </c>
      <c r="J238" s="30">
        <f t="shared" si="110"/>
        <v>236135</v>
      </c>
      <c r="K238" s="143" t="b">
        <f t="shared" si="111"/>
        <v>1</v>
      </c>
    </row>
    <row r="239" spans="1:15">
      <c r="A239" s="121" t="str">
        <f t="shared" si="112"/>
        <v>JUIN</v>
      </c>
      <c r="B239" s="126" t="s">
        <v>305</v>
      </c>
      <c r="C239" s="32">
        <f>+C214</f>
        <v>0</v>
      </c>
      <c r="D239" s="31"/>
      <c r="E239" s="32">
        <f>+D214</f>
        <v>234000</v>
      </c>
      <c r="F239" s="32"/>
      <c r="G239" s="32"/>
      <c r="H239" s="55">
        <f>+F214</f>
        <v>0</v>
      </c>
      <c r="I239" s="32">
        <f t="shared" si="109"/>
        <v>158000</v>
      </c>
      <c r="J239" s="30">
        <f t="shared" ref="J239" si="113">+SUM(C239:G239)-(H239+I239)</f>
        <v>76000</v>
      </c>
      <c r="K239" s="143" t="b">
        <f t="shared" si="111"/>
        <v>1</v>
      </c>
    </row>
    <row r="240" spans="1:15">
      <c r="A240" s="121" t="str">
        <f t="shared" si="112"/>
        <v>JUIN</v>
      </c>
      <c r="B240" s="126" t="s">
        <v>31</v>
      </c>
      <c r="C240" s="32">
        <f t="shared" ref="C240" si="114">+C215</f>
        <v>28375</v>
      </c>
      <c r="D240" s="31"/>
      <c r="E240" s="32">
        <f t="shared" ref="E240" si="115">+D215</f>
        <v>322000</v>
      </c>
      <c r="F240" s="32"/>
      <c r="G240" s="32"/>
      <c r="H240" s="55">
        <f t="shared" ref="H240" si="116">+F215</f>
        <v>0</v>
      </c>
      <c r="I240" s="32">
        <f t="shared" si="109"/>
        <v>271400</v>
      </c>
      <c r="J240" s="30">
        <f t="shared" si="110"/>
        <v>78975</v>
      </c>
      <c r="K240" s="143" t="b">
        <f t="shared" si="111"/>
        <v>1</v>
      </c>
    </row>
    <row r="241" spans="1:11">
      <c r="A241" s="121" t="str">
        <f t="shared" si="112"/>
        <v>JUIN</v>
      </c>
      <c r="B241" s="128" t="s">
        <v>84</v>
      </c>
      <c r="C241" s="119">
        <f t="shared" ref="C241:C249" si="117">+C216</f>
        <v>233614</v>
      </c>
      <c r="D241" s="122"/>
      <c r="E241" s="119">
        <f t="shared" ref="E241:E249" si="118">+D216</f>
        <v>0</v>
      </c>
      <c r="F241" s="136"/>
      <c r="G241" s="136"/>
      <c r="H241" s="154">
        <f t="shared" ref="H241:H249" si="119">+F216</f>
        <v>0</v>
      </c>
      <c r="I241" s="119">
        <f t="shared" si="109"/>
        <v>0</v>
      </c>
      <c r="J241" s="120">
        <f>+SUM(C241:G241)-(H241+I241)</f>
        <v>233614</v>
      </c>
      <c r="K241" s="143" t="b">
        <f t="shared" si="111"/>
        <v>1</v>
      </c>
    </row>
    <row r="242" spans="1:11">
      <c r="A242" s="121" t="str">
        <f t="shared" si="112"/>
        <v>JUIN</v>
      </c>
      <c r="B242" s="128" t="s">
        <v>83</v>
      </c>
      <c r="C242" s="119">
        <f t="shared" si="117"/>
        <v>249769</v>
      </c>
      <c r="D242" s="122"/>
      <c r="E242" s="119">
        <f t="shared" si="118"/>
        <v>0</v>
      </c>
      <c r="F242" s="136"/>
      <c r="G242" s="136"/>
      <c r="H242" s="154">
        <f t="shared" si="119"/>
        <v>0</v>
      </c>
      <c r="I242" s="119">
        <f t="shared" si="109"/>
        <v>0</v>
      </c>
      <c r="J242" s="120">
        <f t="shared" ref="J242:J249" si="120">+SUM(C242:G242)-(H242+I242)</f>
        <v>249769</v>
      </c>
      <c r="K242" s="143" t="b">
        <f t="shared" si="111"/>
        <v>1</v>
      </c>
    </row>
    <row r="243" spans="1:11">
      <c r="A243" s="121" t="str">
        <f t="shared" si="112"/>
        <v>JUIN</v>
      </c>
      <c r="B243" s="126" t="s">
        <v>143</v>
      </c>
      <c r="C243" s="32">
        <f t="shared" si="117"/>
        <v>46550</v>
      </c>
      <c r="D243" s="31"/>
      <c r="E243" s="32">
        <f t="shared" si="118"/>
        <v>829000</v>
      </c>
      <c r="F243" s="32"/>
      <c r="G243" s="103"/>
      <c r="H243" s="55">
        <f t="shared" si="119"/>
        <v>375000</v>
      </c>
      <c r="I243" s="32">
        <f t="shared" si="109"/>
        <v>199900</v>
      </c>
      <c r="J243" s="30">
        <f t="shared" si="120"/>
        <v>300650</v>
      </c>
      <c r="K243" s="143" t="b">
        <f t="shared" si="111"/>
        <v>1</v>
      </c>
    </row>
    <row r="244" spans="1:11">
      <c r="A244" s="121" t="str">
        <f t="shared" ref="A244:A249" si="121">+A243</f>
        <v>JUIN</v>
      </c>
      <c r="B244" s="126" t="s">
        <v>197</v>
      </c>
      <c r="C244" s="32">
        <f t="shared" si="117"/>
        <v>84605</v>
      </c>
      <c r="D244" s="31"/>
      <c r="E244" s="32">
        <f t="shared" si="118"/>
        <v>38000</v>
      </c>
      <c r="F244" s="32"/>
      <c r="G244" s="103"/>
      <c r="H244" s="55">
        <f t="shared" si="119"/>
        <v>43805</v>
      </c>
      <c r="I244" s="32">
        <f t="shared" si="109"/>
        <v>78800</v>
      </c>
      <c r="J244" s="30">
        <f t="shared" si="120"/>
        <v>0</v>
      </c>
      <c r="K244" s="143" t="b">
        <f t="shared" si="111"/>
        <v>1</v>
      </c>
    </row>
    <row r="245" spans="1:11">
      <c r="A245" s="121" t="str">
        <f t="shared" si="121"/>
        <v>JUIN</v>
      </c>
      <c r="B245" s="126" t="s">
        <v>93</v>
      </c>
      <c r="C245" s="32">
        <f t="shared" si="117"/>
        <v>-7600</v>
      </c>
      <c r="D245" s="31"/>
      <c r="E245" s="32">
        <f t="shared" si="118"/>
        <v>529000</v>
      </c>
      <c r="F245" s="32"/>
      <c r="G245" s="103"/>
      <c r="H245" s="55">
        <f t="shared" si="119"/>
        <v>20500</v>
      </c>
      <c r="I245" s="32">
        <f t="shared" si="109"/>
        <v>275300</v>
      </c>
      <c r="J245" s="30">
        <f t="shared" si="120"/>
        <v>225600</v>
      </c>
      <c r="K245" s="143" t="b">
        <f t="shared" si="111"/>
        <v>1</v>
      </c>
    </row>
    <row r="246" spans="1:11">
      <c r="A246" s="121" t="str">
        <f t="shared" si="121"/>
        <v>JUIN</v>
      </c>
      <c r="B246" s="126" t="s">
        <v>298</v>
      </c>
      <c r="C246" s="32">
        <f t="shared" si="117"/>
        <v>12000</v>
      </c>
      <c r="D246" s="31"/>
      <c r="E246" s="32">
        <f t="shared" si="118"/>
        <v>421000</v>
      </c>
      <c r="F246" s="32"/>
      <c r="G246" s="103"/>
      <c r="H246" s="55">
        <f t="shared" si="119"/>
        <v>40000</v>
      </c>
      <c r="I246" s="32">
        <f t="shared" si="109"/>
        <v>367775</v>
      </c>
      <c r="J246" s="30">
        <f t="shared" si="120"/>
        <v>25225</v>
      </c>
      <c r="K246" s="143" t="b">
        <f t="shared" si="111"/>
        <v>1</v>
      </c>
    </row>
    <row r="247" spans="1:11">
      <c r="A247" s="121" t="str">
        <f t="shared" si="121"/>
        <v>JUIN</v>
      </c>
      <c r="B247" s="126" t="s">
        <v>29</v>
      </c>
      <c r="C247" s="32">
        <f t="shared" si="117"/>
        <v>149800</v>
      </c>
      <c r="D247" s="31"/>
      <c r="E247" s="32">
        <f t="shared" si="118"/>
        <v>1048000</v>
      </c>
      <c r="F247" s="32"/>
      <c r="G247" s="103"/>
      <c r="H247" s="55">
        <f t="shared" si="119"/>
        <v>295000</v>
      </c>
      <c r="I247" s="32">
        <f t="shared" si="109"/>
        <v>810000</v>
      </c>
      <c r="J247" s="30">
        <f t="shared" si="120"/>
        <v>92800</v>
      </c>
      <c r="K247" s="143" t="b">
        <f t="shared" si="111"/>
        <v>1</v>
      </c>
    </row>
    <row r="248" spans="1:11">
      <c r="A248" s="121" t="str">
        <f t="shared" si="121"/>
        <v>JUIN</v>
      </c>
      <c r="B248" s="127" t="s">
        <v>268</v>
      </c>
      <c r="C248" s="32">
        <f t="shared" si="117"/>
        <v>354300</v>
      </c>
      <c r="D248" s="118"/>
      <c r="E248" s="32">
        <f t="shared" si="118"/>
        <v>574000</v>
      </c>
      <c r="F248" s="51"/>
      <c r="G248" s="137"/>
      <c r="H248" s="55">
        <f t="shared" si="119"/>
        <v>150000</v>
      </c>
      <c r="I248" s="32">
        <f t="shared" si="109"/>
        <v>743100</v>
      </c>
      <c r="J248" s="30">
        <f t="shared" si="120"/>
        <v>35200</v>
      </c>
      <c r="K248" s="143" t="b">
        <f t="shared" si="111"/>
        <v>1</v>
      </c>
    </row>
    <row r="249" spans="1:11">
      <c r="A249" s="121" t="str">
        <f t="shared" si="121"/>
        <v>JUIN</v>
      </c>
      <c r="B249" s="127" t="s">
        <v>113</v>
      </c>
      <c r="C249" s="32">
        <f t="shared" si="117"/>
        <v>14676</v>
      </c>
      <c r="D249" s="118"/>
      <c r="E249" s="32">
        <f t="shared" si="118"/>
        <v>25324</v>
      </c>
      <c r="F249" s="51"/>
      <c r="G249" s="137"/>
      <c r="H249" s="55">
        <f t="shared" si="119"/>
        <v>30000</v>
      </c>
      <c r="I249" s="32">
        <f t="shared" si="109"/>
        <v>10000</v>
      </c>
      <c r="J249" s="30">
        <f t="shared" si="120"/>
        <v>0</v>
      </c>
      <c r="K249" s="143" t="b">
        <f t="shared" si="111"/>
        <v>1</v>
      </c>
    </row>
    <row r="250" spans="1:11">
      <c r="A250" s="34" t="s">
        <v>60</v>
      </c>
      <c r="B250" s="35"/>
      <c r="C250" s="35"/>
      <c r="D250" s="35"/>
      <c r="E250" s="35"/>
      <c r="F250" s="35"/>
      <c r="G250" s="35"/>
      <c r="H250" s="35"/>
      <c r="I250" s="35"/>
      <c r="J250" s="36"/>
      <c r="K250" s="142"/>
    </row>
    <row r="251" spans="1:11">
      <c r="A251" s="121" t="str">
        <f>A249</f>
        <v>JUIN</v>
      </c>
      <c r="B251" s="37" t="s">
        <v>61</v>
      </c>
      <c r="C251" s="38">
        <f>+C210</f>
        <v>275723</v>
      </c>
      <c r="D251" s="49"/>
      <c r="E251" s="49">
        <f>D210</f>
        <v>8454305</v>
      </c>
      <c r="F251" s="49"/>
      <c r="G251" s="124"/>
      <c r="H251" s="51">
        <f>+F210</f>
        <v>5159824</v>
      </c>
      <c r="I251" s="125">
        <f>+E210</f>
        <v>2771320</v>
      </c>
      <c r="J251" s="30">
        <f>+SUM(C251:G251)-(H251+I251)</f>
        <v>798884</v>
      </c>
      <c r="K251" s="143" t="b">
        <f>J251=I210</f>
        <v>1</v>
      </c>
    </row>
    <row r="252" spans="1:11">
      <c r="A252" s="43" t="s">
        <v>62</v>
      </c>
      <c r="B252" s="24"/>
      <c r="C252" s="35"/>
      <c r="D252" s="24"/>
      <c r="E252" s="24"/>
      <c r="F252" s="24"/>
      <c r="G252" s="24"/>
      <c r="H252" s="24"/>
      <c r="I252" s="24"/>
      <c r="J252" s="36"/>
      <c r="K252" s="142"/>
    </row>
    <row r="253" spans="1:11">
      <c r="A253" s="121" t="str">
        <f>+A251</f>
        <v>JUIN</v>
      </c>
      <c r="B253" s="37" t="s">
        <v>24</v>
      </c>
      <c r="C253" s="124">
        <f>+C208</f>
        <v>14703145</v>
      </c>
      <c r="D253" s="131">
        <f>+G208</f>
        <v>17622093</v>
      </c>
      <c r="E253" s="49"/>
      <c r="F253" s="49"/>
      <c r="G253" s="49"/>
      <c r="H253" s="51">
        <f>+F208</f>
        <v>25049328</v>
      </c>
      <c r="I253" s="53">
        <f>+E208</f>
        <v>35235</v>
      </c>
      <c r="J253" s="30">
        <f>+SUM(C253:G253)-(H253+I253)</f>
        <v>7240675</v>
      </c>
      <c r="K253" s="143" t="b">
        <f>+J253=I208</f>
        <v>1</v>
      </c>
    </row>
    <row r="254" spans="1:11">
      <c r="A254" s="121" t="str">
        <f t="shared" ref="A254" si="122">+A253</f>
        <v>JUIN</v>
      </c>
      <c r="B254" s="37" t="s">
        <v>64</v>
      </c>
      <c r="C254" s="124">
        <f>+C209</f>
        <v>499301</v>
      </c>
      <c r="D254" s="49">
        <f>+G209</f>
        <v>0</v>
      </c>
      <c r="E254" s="48"/>
      <c r="F254" s="48"/>
      <c r="G254" s="48">
        <f>+D209</f>
        <v>19049328</v>
      </c>
      <c r="H254" s="32">
        <f>+F209</f>
        <v>2000000</v>
      </c>
      <c r="I254" s="50">
        <f>+E209</f>
        <v>3906424</v>
      </c>
      <c r="J254" s="30">
        <f>+SUM(C254:G254)-(H254+I254)</f>
        <v>13642205</v>
      </c>
      <c r="K254" s="143" t="b">
        <f>+J254=I209</f>
        <v>1</v>
      </c>
    </row>
    <row r="255" spans="1:11" ht="15.75">
      <c r="C255" s="140">
        <f>SUM(C236:C254)</f>
        <v>17011568</v>
      </c>
      <c r="I255" s="139">
        <f>SUM(I236:I254)</f>
        <v>11040109</v>
      </c>
      <c r="J255" s="104">
        <f>+SUM(J236:J254)</f>
        <v>23593552</v>
      </c>
      <c r="K255" s="5" t="b">
        <f>J255=I225</f>
        <v>1</v>
      </c>
    </row>
    <row r="256" spans="1:11" ht="15.75">
      <c r="C256" s="140"/>
      <c r="I256" s="139"/>
      <c r="J256" s="104"/>
    </row>
    <row r="257" spans="1:16" ht="15.75">
      <c r="A257" s="157"/>
      <c r="B257" s="157"/>
      <c r="C257" s="158"/>
      <c r="D257" s="157"/>
      <c r="E257" s="157"/>
      <c r="F257" s="157"/>
      <c r="G257" s="157"/>
      <c r="H257" s="157"/>
      <c r="I257" s="159"/>
      <c r="J257" s="160"/>
      <c r="K257" s="157"/>
      <c r="L257" s="161"/>
      <c r="M257" s="161"/>
      <c r="N257" s="161"/>
      <c r="O257" s="161"/>
      <c r="P257" s="157"/>
    </row>
    <row r="260" spans="1:16" ht="15.75">
      <c r="A260" s="6" t="s">
        <v>36</v>
      </c>
      <c r="B260" s="6" t="s">
        <v>1</v>
      </c>
      <c r="C260" s="6">
        <v>45047</v>
      </c>
      <c r="D260" s="7" t="s">
        <v>37</v>
      </c>
      <c r="E260" s="7" t="s">
        <v>38</v>
      </c>
      <c r="F260" s="7" t="s">
        <v>39</v>
      </c>
      <c r="G260" s="7" t="s">
        <v>40</v>
      </c>
      <c r="H260" s="6">
        <v>45076</v>
      </c>
      <c r="I260" s="7" t="s">
        <v>41</v>
      </c>
      <c r="K260" s="45"/>
      <c r="L260" s="45" t="s">
        <v>42</v>
      </c>
      <c r="M260" s="45" t="s">
        <v>43</v>
      </c>
      <c r="N260" s="45" t="s">
        <v>44</v>
      </c>
      <c r="O260" s="45" t="s">
        <v>45</v>
      </c>
    </row>
    <row r="261" spans="1:16" ht="16.5">
      <c r="A261" s="58" t="str">
        <f>K261</f>
        <v>BCI</v>
      </c>
      <c r="B261" s="59" t="s">
        <v>46</v>
      </c>
      <c r="C261" s="61">
        <v>17286490</v>
      </c>
      <c r="D261" s="61">
        <f>+L261</f>
        <v>0</v>
      </c>
      <c r="E261" s="61">
        <f>+N261</f>
        <v>583345</v>
      </c>
      <c r="F261" s="61">
        <f>+M261</f>
        <v>2000000</v>
      </c>
      <c r="G261" s="61">
        <f t="shared" ref="G261:G276" si="123">+O261</f>
        <v>0</v>
      </c>
      <c r="H261" s="61">
        <v>14703145</v>
      </c>
      <c r="I261" s="61">
        <f>+C261+D261-E261-F261+G261</f>
        <v>14703145</v>
      </c>
      <c r="J261" s="9">
        <f>I261-H261</f>
        <v>0</v>
      </c>
      <c r="K261" s="45" t="s">
        <v>24</v>
      </c>
      <c r="L261" s="178">
        <v>0</v>
      </c>
      <c r="M261" s="178">
        <v>2000000</v>
      </c>
      <c r="N261" s="178">
        <v>583345</v>
      </c>
      <c r="O261" s="178">
        <v>0</v>
      </c>
    </row>
    <row r="262" spans="1:16" ht="16.5">
      <c r="A262" s="58" t="str">
        <f t="shared" ref="A262:A276" si="124">K262</f>
        <v>BCI-Sous Compte</v>
      </c>
      <c r="B262" s="59" t="s">
        <v>46</v>
      </c>
      <c r="C262" s="61">
        <v>5202151</v>
      </c>
      <c r="D262" s="61">
        <f t="shared" ref="D262:D276" si="125">+L262</f>
        <v>0</v>
      </c>
      <c r="E262" s="61">
        <f t="shared" ref="E262:E267" si="126">+N262</f>
        <v>4702850</v>
      </c>
      <c r="F262" s="61">
        <f t="shared" ref="F262:F276" si="127">+M262</f>
        <v>0</v>
      </c>
      <c r="G262" s="61">
        <f t="shared" si="123"/>
        <v>0</v>
      </c>
      <c r="H262" s="61">
        <v>499301</v>
      </c>
      <c r="I262" s="61">
        <f>+C262+D262-E262-F262+G262</f>
        <v>499301</v>
      </c>
      <c r="J262" s="9">
        <f t="shared" ref="J262:J269" si="128">I262-H262</f>
        <v>0</v>
      </c>
      <c r="K262" s="45" t="s">
        <v>148</v>
      </c>
      <c r="L262" s="178">
        <v>0</v>
      </c>
      <c r="M262" s="178">
        <v>0</v>
      </c>
      <c r="N262" s="178">
        <v>4702850</v>
      </c>
      <c r="O262" s="178">
        <v>0</v>
      </c>
    </row>
    <row r="263" spans="1:16" ht="16.5">
      <c r="A263" s="58" t="str">
        <f t="shared" si="124"/>
        <v>Caisse</v>
      </c>
      <c r="B263" s="59" t="s">
        <v>25</v>
      </c>
      <c r="C263" s="61">
        <v>3813317</v>
      </c>
      <c r="D263" s="61">
        <f t="shared" si="125"/>
        <v>2180000</v>
      </c>
      <c r="E263" s="61">
        <f t="shared" si="126"/>
        <v>1411594</v>
      </c>
      <c r="F263" s="61">
        <f t="shared" si="127"/>
        <v>4306000</v>
      </c>
      <c r="G263" s="61">
        <f t="shared" si="123"/>
        <v>0</v>
      </c>
      <c r="H263" s="61">
        <v>275723</v>
      </c>
      <c r="I263" s="61">
        <f>+C263+D263-E263-F263+G263</f>
        <v>275723</v>
      </c>
      <c r="J263" s="101">
        <f t="shared" si="128"/>
        <v>0</v>
      </c>
      <c r="K263" s="45" t="s">
        <v>25</v>
      </c>
      <c r="L263" s="178">
        <v>2180000</v>
      </c>
      <c r="M263" s="178">
        <v>4306000</v>
      </c>
      <c r="N263" s="178">
        <v>1411594</v>
      </c>
      <c r="O263" s="178">
        <v>0</v>
      </c>
    </row>
    <row r="264" spans="1:16" ht="16.5">
      <c r="A264" s="58" t="str">
        <f t="shared" si="124"/>
        <v>Crépin</v>
      </c>
      <c r="B264" s="59" t="s">
        <v>154</v>
      </c>
      <c r="C264" s="61">
        <v>74020</v>
      </c>
      <c r="D264" s="61">
        <f t="shared" si="125"/>
        <v>905000</v>
      </c>
      <c r="E264" s="61">
        <f t="shared" si="126"/>
        <v>665400</v>
      </c>
      <c r="F264" s="61">
        <f t="shared" si="127"/>
        <v>73000</v>
      </c>
      <c r="G264" s="61">
        <f t="shared" si="123"/>
        <v>0</v>
      </c>
      <c r="H264" s="61">
        <v>240620</v>
      </c>
      <c r="I264" s="61">
        <f>+C264+D264-E264-F264+G264</f>
        <v>240620</v>
      </c>
      <c r="J264" s="9">
        <f t="shared" si="128"/>
        <v>0</v>
      </c>
      <c r="K264" s="45" t="s">
        <v>47</v>
      </c>
      <c r="L264" s="178">
        <v>905000</v>
      </c>
      <c r="M264" s="178">
        <v>73000</v>
      </c>
      <c r="N264" s="178">
        <v>665400</v>
      </c>
      <c r="O264" s="178">
        <v>0</v>
      </c>
    </row>
    <row r="265" spans="1:16" ht="16.5">
      <c r="A265" s="58" t="str">
        <f t="shared" si="124"/>
        <v>D58</v>
      </c>
      <c r="B265" s="59" t="s">
        <v>4</v>
      </c>
      <c r="C265" s="61">
        <v>0</v>
      </c>
      <c r="D265" s="61">
        <f t="shared" si="125"/>
        <v>384500</v>
      </c>
      <c r="E265" s="61">
        <f t="shared" si="126"/>
        <v>369800</v>
      </c>
      <c r="F265" s="61">
        <f t="shared" si="127"/>
        <v>0</v>
      </c>
      <c r="G265" s="61">
        <f t="shared" si="123"/>
        <v>0</v>
      </c>
      <c r="H265" s="61">
        <v>14700</v>
      </c>
      <c r="I265" s="61">
        <f>+C265+D265-E265-F265+G265</f>
        <v>14700</v>
      </c>
      <c r="J265" s="9">
        <f t="shared" si="128"/>
        <v>0</v>
      </c>
      <c r="K265" s="45" t="s">
        <v>269</v>
      </c>
      <c r="L265" s="178">
        <v>384500</v>
      </c>
      <c r="M265" s="178">
        <v>0</v>
      </c>
      <c r="N265" s="178">
        <v>369800</v>
      </c>
      <c r="O265" s="178">
        <v>0</v>
      </c>
    </row>
    <row r="266" spans="1:16" ht="16.5">
      <c r="A266" s="58" t="str">
        <f t="shared" si="124"/>
        <v>Donald</v>
      </c>
      <c r="B266" s="59" t="s">
        <v>154</v>
      </c>
      <c r="C266" s="61">
        <v>28350</v>
      </c>
      <c r="D266" s="61">
        <f t="shared" si="125"/>
        <v>722000</v>
      </c>
      <c r="E266" s="61">
        <f t="shared" si="126"/>
        <v>540360</v>
      </c>
      <c r="F266" s="61">
        <f t="shared" si="127"/>
        <v>98000</v>
      </c>
      <c r="G266" s="61">
        <f t="shared" si="123"/>
        <v>0</v>
      </c>
      <c r="H266" s="61">
        <v>111990</v>
      </c>
      <c r="I266" s="61">
        <f t="shared" ref="I266:I267" si="129">+C266+D266-E266-F266+G266</f>
        <v>111990</v>
      </c>
      <c r="J266" s="9">
        <f t="shared" si="128"/>
        <v>0</v>
      </c>
      <c r="K266" s="45" t="s">
        <v>255</v>
      </c>
      <c r="L266" s="178">
        <v>722000</v>
      </c>
      <c r="M266" s="178">
        <v>98000</v>
      </c>
      <c r="N266" s="178">
        <v>540360</v>
      </c>
      <c r="O266" s="178">
        <v>0</v>
      </c>
    </row>
    <row r="267" spans="1:16" ht="16.5">
      <c r="A267" s="58" t="str">
        <f t="shared" si="124"/>
        <v>Evariste</v>
      </c>
      <c r="B267" s="59" t="s">
        <v>155</v>
      </c>
      <c r="C267" s="61">
        <v>39425</v>
      </c>
      <c r="D267" s="61">
        <f t="shared" si="125"/>
        <v>211000</v>
      </c>
      <c r="E267" s="61">
        <f t="shared" si="126"/>
        <v>222050</v>
      </c>
      <c r="F267" s="61">
        <f t="shared" si="127"/>
        <v>0</v>
      </c>
      <c r="G267" s="61">
        <f t="shared" si="123"/>
        <v>0</v>
      </c>
      <c r="H267" s="61">
        <v>28375</v>
      </c>
      <c r="I267" s="61">
        <f t="shared" si="129"/>
        <v>28375</v>
      </c>
      <c r="J267" s="9">
        <f t="shared" si="128"/>
        <v>0</v>
      </c>
      <c r="K267" s="45" t="s">
        <v>31</v>
      </c>
      <c r="L267" s="178">
        <v>211000</v>
      </c>
      <c r="M267" s="178">
        <v>0</v>
      </c>
      <c r="N267" s="178">
        <v>222050</v>
      </c>
      <c r="O267" s="178">
        <v>0</v>
      </c>
    </row>
    <row r="268" spans="1:16" ht="16.5">
      <c r="A268" s="58" t="str">
        <f t="shared" si="124"/>
        <v>I55S</v>
      </c>
      <c r="B268" s="115" t="s">
        <v>4</v>
      </c>
      <c r="C268" s="117">
        <v>233614</v>
      </c>
      <c r="D268" s="117">
        <f t="shared" si="125"/>
        <v>0</v>
      </c>
      <c r="E268" s="117">
        <f>+N268</f>
        <v>0</v>
      </c>
      <c r="F268" s="117">
        <f t="shared" si="127"/>
        <v>0</v>
      </c>
      <c r="G268" s="117">
        <f t="shared" si="123"/>
        <v>0</v>
      </c>
      <c r="H268" s="117">
        <v>233614</v>
      </c>
      <c r="I268" s="117">
        <f>+C268+D268-E268-F268+G268</f>
        <v>233614</v>
      </c>
      <c r="J268" s="9">
        <f t="shared" si="128"/>
        <v>0</v>
      </c>
      <c r="K268" s="45" t="s">
        <v>84</v>
      </c>
      <c r="L268" s="178">
        <v>0</v>
      </c>
      <c r="M268" s="178">
        <v>0</v>
      </c>
      <c r="N268" s="178">
        <v>0</v>
      </c>
      <c r="O268" s="178">
        <v>0</v>
      </c>
    </row>
    <row r="269" spans="1:16" ht="16.5">
      <c r="A269" s="58" t="str">
        <f t="shared" si="124"/>
        <v>I73X</v>
      </c>
      <c r="B269" s="115" t="s">
        <v>4</v>
      </c>
      <c r="C269" s="117">
        <v>249769</v>
      </c>
      <c r="D269" s="117">
        <f t="shared" si="125"/>
        <v>0</v>
      </c>
      <c r="E269" s="117">
        <f>+N269</f>
        <v>0</v>
      </c>
      <c r="F269" s="117">
        <f t="shared" si="127"/>
        <v>0</v>
      </c>
      <c r="G269" s="117">
        <f t="shared" si="123"/>
        <v>0</v>
      </c>
      <c r="H269" s="117">
        <v>249769</v>
      </c>
      <c r="I269" s="117">
        <f t="shared" ref="I269:I274" si="130">+C269+D269-E269-F269+G269</f>
        <v>249769</v>
      </c>
      <c r="J269" s="9">
        <f t="shared" si="128"/>
        <v>0</v>
      </c>
      <c r="K269" s="45" t="s">
        <v>83</v>
      </c>
      <c r="L269" s="178">
        <v>0</v>
      </c>
      <c r="M269" s="178">
        <v>0</v>
      </c>
      <c r="N269" s="178">
        <v>0</v>
      </c>
      <c r="O269" s="178">
        <v>0</v>
      </c>
    </row>
    <row r="270" spans="1:16" ht="16.5">
      <c r="A270" s="58" t="str">
        <f t="shared" si="124"/>
        <v>Grace</v>
      </c>
      <c r="B270" s="59" t="s">
        <v>2</v>
      </c>
      <c r="C270" s="181">
        <v>55550</v>
      </c>
      <c r="D270" s="61">
        <f t="shared" si="125"/>
        <v>382000</v>
      </c>
      <c r="E270" s="61">
        <f t="shared" ref="E270:E276" si="131">+N270</f>
        <v>91000</v>
      </c>
      <c r="F270" s="61">
        <f t="shared" si="127"/>
        <v>300000</v>
      </c>
      <c r="G270" s="61">
        <f t="shared" si="123"/>
        <v>0</v>
      </c>
      <c r="H270" s="181">
        <v>46550</v>
      </c>
      <c r="I270" s="181">
        <f t="shared" si="130"/>
        <v>46550</v>
      </c>
      <c r="J270" s="182">
        <f>I270-H270</f>
        <v>0</v>
      </c>
      <c r="K270" s="183" t="s">
        <v>143</v>
      </c>
      <c r="L270" s="178">
        <v>382000</v>
      </c>
      <c r="M270" s="178">
        <v>300000</v>
      </c>
      <c r="N270" s="178">
        <v>91000</v>
      </c>
      <c r="O270" s="178">
        <v>0</v>
      </c>
    </row>
    <row r="271" spans="1:16" ht="16.5">
      <c r="A271" s="58" t="str">
        <f t="shared" si="124"/>
        <v>Hurielle</v>
      </c>
      <c r="B271" s="97" t="s">
        <v>154</v>
      </c>
      <c r="C271" s="61">
        <v>30005</v>
      </c>
      <c r="D271" s="61">
        <f t="shared" si="125"/>
        <v>335000</v>
      </c>
      <c r="E271" s="61">
        <f t="shared" si="131"/>
        <v>280400</v>
      </c>
      <c r="F271" s="61">
        <f t="shared" si="127"/>
        <v>0</v>
      </c>
      <c r="G271" s="61">
        <f t="shared" si="123"/>
        <v>0</v>
      </c>
      <c r="H271" s="61">
        <v>84605</v>
      </c>
      <c r="I271" s="61">
        <f t="shared" si="130"/>
        <v>84605</v>
      </c>
      <c r="J271" s="9">
        <f t="shared" ref="J271" si="132">I271-H271</f>
        <v>0</v>
      </c>
      <c r="K271" s="45" t="s">
        <v>197</v>
      </c>
      <c r="L271" s="178">
        <v>335000</v>
      </c>
      <c r="M271" s="178">
        <v>0</v>
      </c>
      <c r="N271" s="178">
        <v>280400</v>
      </c>
      <c r="O271" s="178">
        <v>0</v>
      </c>
    </row>
    <row r="272" spans="1:16" ht="16.5">
      <c r="A272" s="58" t="str">
        <f t="shared" si="124"/>
        <v>Merveille</v>
      </c>
      <c r="B272" s="59" t="s">
        <v>2</v>
      </c>
      <c r="C272" s="181">
        <v>20800</v>
      </c>
      <c r="D272" s="61">
        <f t="shared" si="125"/>
        <v>132000</v>
      </c>
      <c r="E272" s="61">
        <f t="shared" si="131"/>
        <v>160400</v>
      </c>
      <c r="F272" s="61">
        <f t="shared" si="127"/>
        <v>0</v>
      </c>
      <c r="G272" s="61">
        <f t="shared" si="123"/>
        <v>0</v>
      </c>
      <c r="H272" s="181">
        <v>-7600</v>
      </c>
      <c r="I272" s="181">
        <f t="shared" si="130"/>
        <v>-7600</v>
      </c>
      <c r="J272" s="182">
        <f>I272-H272</f>
        <v>0</v>
      </c>
      <c r="K272" s="183" t="s">
        <v>93</v>
      </c>
      <c r="L272" s="178">
        <v>132000</v>
      </c>
      <c r="M272" s="178">
        <v>0</v>
      </c>
      <c r="N272" s="178">
        <v>160400</v>
      </c>
      <c r="O272" s="178">
        <v>0</v>
      </c>
    </row>
    <row r="273" spans="1:15" ht="16.5">
      <c r="A273" s="58" t="s">
        <v>298</v>
      </c>
      <c r="B273" s="97" t="s">
        <v>154</v>
      </c>
      <c r="C273" s="61">
        <v>0</v>
      </c>
      <c r="D273" s="61">
        <f t="shared" si="125"/>
        <v>35000</v>
      </c>
      <c r="E273" s="61">
        <f t="shared" si="131"/>
        <v>23000</v>
      </c>
      <c r="F273" s="61">
        <f t="shared" si="127"/>
        <v>0</v>
      </c>
      <c r="G273" s="61">
        <f t="shared" si="123"/>
        <v>0</v>
      </c>
      <c r="H273" s="61">
        <v>12000</v>
      </c>
      <c r="I273" s="61">
        <f t="shared" ref="I273" si="133">+C273+D273-E273-F273+G273</f>
        <v>12000</v>
      </c>
      <c r="J273" s="9">
        <f t="shared" ref="J273" si="134">I273-H273</f>
        <v>0</v>
      </c>
      <c r="K273" s="45" t="s">
        <v>298</v>
      </c>
      <c r="L273" s="178">
        <v>35000</v>
      </c>
      <c r="M273" s="178">
        <v>0</v>
      </c>
      <c r="N273" s="178">
        <v>23000</v>
      </c>
      <c r="O273" s="178">
        <v>0</v>
      </c>
    </row>
    <row r="274" spans="1:15" ht="16.5">
      <c r="A274" s="58" t="str">
        <f t="shared" si="124"/>
        <v>P29</v>
      </c>
      <c r="B274" s="97" t="s">
        <v>4</v>
      </c>
      <c r="C274" s="61">
        <v>11000</v>
      </c>
      <c r="D274" s="61">
        <f t="shared" si="125"/>
        <v>653000</v>
      </c>
      <c r="E274" s="61">
        <f t="shared" si="131"/>
        <v>514200</v>
      </c>
      <c r="F274" s="61">
        <f t="shared" si="127"/>
        <v>0</v>
      </c>
      <c r="G274" s="61">
        <f t="shared" si="123"/>
        <v>0</v>
      </c>
      <c r="H274" s="61">
        <v>149800</v>
      </c>
      <c r="I274" s="61">
        <f t="shared" si="130"/>
        <v>149800</v>
      </c>
      <c r="J274" s="9">
        <f t="shared" ref="J274:J275" si="135">I274-H274</f>
        <v>0</v>
      </c>
      <c r="K274" s="45" t="s">
        <v>29</v>
      </c>
      <c r="L274" s="178">
        <v>653000</v>
      </c>
      <c r="M274" s="178">
        <v>0</v>
      </c>
      <c r="N274" s="178">
        <v>514200</v>
      </c>
      <c r="O274" s="178">
        <v>0</v>
      </c>
    </row>
    <row r="275" spans="1:15" ht="16.5">
      <c r="A275" s="58" t="str">
        <f t="shared" si="124"/>
        <v>T73</v>
      </c>
      <c r="B275" s="59" t="s">
        <v>4</v>
      </c>
      <c r="C275" s="61">
        <v>173700</v>
      </c>
      <c r="D275" s="61">
        <f t="shared" si="125"/>
        <v>837500</v>
      </c>
      <c r="E275" s="61">
        <f t="shared" si="131"/>
        <v>656900</v>
      </c>
      <c r="F275" s="61">
        <f t="shared" si="127"/>
        <v>0</v>
      </c>
      <c r="G275" s="61">
        <f t="shared" si="123"/>
        <v>0</v>
      </c>
      <c r="H275" s="61">
        <v>354300</v>
      </c>
      <c r="I275" s="61">
        <f>+C275+D275-E275-F275+G275</f>
        <v>354300</v>
      </c>
      <c r="J275" s="9">
        <f t="shared" si="135"/>
        <v>0</v>
      </c>
      <c r="K275" s="45" t="s">
        <v>268</v>
      </c>
      <c r="L275" s="178">
        <v>837500</v>
      </c>
      <c r="M275" s="178">
        <v>0</v>
      </c>
      <c r="N275" s="178">
        <v>656900</v>
      </c>
      <c r="O275" s="178">
        <v>0</v>
      </c>
    </row>
    <row r="276" spans="1:15" ht="16.5">
      <c r="A276" s="58" t="str">
        <f t="shared" si="124"/>
        <v>Tiffany</v>
      </c>
      <c r="B276" s="59" t="s">
        <v>2</v>
      </c>
      <c r="C276" s="61">
        <v>24676</v>
      </c>
      <c r="D276" s="61">
        <f t="shared" si="125"/>
        <v>0</v>
      </c>
      <c r="E276" s="61">
        <f t="shared" si="131"/>
        <v>10000</v>
      </c>
      <c r="F276" s="61">
        <f t="shared" si="127"/>
        <v>0</v>
      </c>
      <c r="G276" s="61">
        <f t="shared" si="123"/>
        <v>0</v>
      </c>
      <c r="H276" s="61">
        <v>14676</v>
      </c>
      <c r="I276" s="61">
        <f>+C276+D276-E276-F276+G276</f>
        <v>14676</v>
      </c>
      <c r="J276" s="9">
        <f>I276-H276</f>
        <v>0</v>
      </c>
      <c r="K276" s="45" t="s">
        <v>113</v>
      </c>
      <c r="L276" s="178">
        <v>0</v>
      </c>
      <c r="M276" s="178">
        <v>0</v>
      </c>
      <c r="N276" s="178">
        <v>10000</v>
      </c>
      <c r="O276" s="178">
        <v>0</v>
      </c>
    </row>
    <row r="277" spans="1:15" ht="16.5">
      <c r="A277" s="10" t="s">
        <v>50</v>
      </c>
      <c r="B277" s="11"/>
      <c r="C277" s="12">
        <f t="shared" ref="C277:I277" si="136">SUM(C261:C276)</f>
        <v>27242867</v>
      </c>
      <c r="D277" s="57">
        <f t="shared" si="136"/>
        <v>6777000</v>
      </c>
      <c r="E277" s="57">
        <f t="shared" si="136"/>
        <v>10231299</v>
      </c>
      <c r="F277" s="57">
        <f t="shared" si="136"/>
        <v>6777000</v>
      </c>
      <c r="G277" s="57">
        <f t="shared" si="136"/>
        <v>0</v>
      </c>
      <c r="H277" s="57">
        <f t="shared" si="136"/>
        <v>17011568</v>
      </c>
      <c r="I277" s="57">
        <f t="shared" si="136"/>
        <v>17011568</v>
      </c>
      <c r="J277" s="9">
        <f>I277-H277</f>
        <v>0</v>
      </c>
      <c r="K277" s="3"/>
      <c r="L277" s="47">
        <f>+SUM(L261:L276)</f>
        <v>6777000</v>
      </c>
      <c r="M277" s="47">
        <f>+SUM(M261:M276)</f>
        <v>6777000</v>
      </c>
      <c r="N277" s="47">
        <f>+SUM(N261:N276)</f>
        <v>10231299</v>
      </c>
      <c r="O277" s="47">
        <f>+SUM(O261:O276)</f>
        <v>0</v>
      </c>
    </row>
    <row r="278" spans="1:15" ht="16.5">
      <c r="A278" s="10"/>
      <c r="B278" s="11"/>
      <c r="C278" s="12"/>
      <c r="D278" s="13"/>
      <c r="E278" s="12"/>
      <c r="F278" s="13"/>
      <c r="G278" s="12"/>
      <c r="H278" s="12"/>
      <c r="I278" s="133" t="b">
        <f>I277=D280</f>
        <v>1</v>
      </c>
      <c r="J278" s="9">
        <f>H277-I277</f>
        <v>0</v>
      </c>
      <c r="L278" s="5"/>
      <c r="M278" s="5"/>
      <c r="N278" s="5"/>
      <c r="O278" s="5"/>
    </row>
    <row r="279" spans="1:15" ht="16.5">
      <c r="A279" s="10" t="s">
        <v>292</v>
      </c>
      <c r="B279" s="11" t="s">
        <v>209</v>
      </c>
      <c r="C279" s="12" t="s">
        <v>208</v>
      </c>
      <c r="D279" s="12" t="s">
        <v>293</v>
      </c>
      <c r="E279" s="12" t="s">
        <v>51</v>
      </c>
      <c r="F279" s="12"/>
      <c r="G279" s="12">
        <f>+D277-F277</f>
        <v>0</v>
      </c>
      <c r="H279" s="12"/>
      <c r="I279" s="207"/>
    </row>
    <row r="280" spans="1:15" ht="16.5">
      <c r="A280" s="14">
        <f>C277</f>
        <v>27242867</v>
      </c>
      <c r="B280" s="15">
        <f>G277</f>
        <v>0</v>
      </c>
      <c r="C280" s="12">
        <f>E277</f>
        <v>10231299</v>
      </c>
      <c r="D280" s="12">
        <f>A280+B280-C280</f>
        <v>17011568</v>
      </c>
      <c r="E280" s="13">
        <f>I277-D280</f>
        <v>0</v>
      </c>
      <c r="F280" s="12"/>
      <c r="G280" s="12"/>
      <c r="H280" s="12"/>
      <c r="I280" s="12"/>
    </row>
    <row r="281" spans="1:15" ht="16.5">
      <c r="A281" s="14"/>
      <c r="B281" s="15"/>
      <c r="C281" s="12"/>
      <c r="D281" s="12"/>
      <c r="E281" s="13"/>
      <c r="F281" s="12"/>
      <c r="G281" s="12"/>
      <c r="H281" s="12"/>
      <c r="I281" s="12"/>
    </row>
    <row r="282" spans="1:15">
      <c r="A282" s="16" t="s">
        <v>52</v>
      </c>
      <c r="B282" s="16"/>
      <c r="C282" s="16"/>
      <c r="D282" s="17"/>
      <c r="E282" s="17"/>
      <c r="F282" s="17"/>
      <c r="G282" s="17"/>
      <c r="H282" s="17"/>
      <c r="I282" s="17"/>
    </row>
    <row r="283" spans="1:15">
      <c r="A283" s="18" t="s">
        <v>294</v>
      </c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5">
      <c r="A284" s="19"/>
      <c r="B284" s="17"/>
      <c r="C284" s="20"/>
      <c r="D284" s="20"/>
      <c r="E284" s="20"/>
      <c r="F284" s="20"/>
      <c r="G284" s="20"/>
      <c r="H284" s="17"/>
      <c r="I284" s="17"/>
    </row>
    <row r="285" spans="1:15">
      <c r="A285" s="166" t="s">
        <v>53</v>
      </c>
      <c r="B285" s="168" t="s">
        <v>54</v>
      </c>
      <c r="C285" s="170" t="s">
        <v>295</v>
      </c>
      <c r="D285" s="171" t="s">
        <v>55</v>
      </c>
      <c r="E285" s="172"/>
      <c r="F285" s="172"/>
      <c r="G285" s="173"/>
      <c r="H285" s="174" t="s">
        <v>56</v>
      </c>
      <c r="I285" s="162" t="s">
        <v>57</v>
      </c>
      <c r="J285" s="205"/>
    </row>
    <row r="286" spans="1:15" ht="25.5">
      <c r="A286" s="167"/>
      <c r="B286" s="169"/>
      <c r="C286" s="22"/>
      <c r="D286" s="21" t="s">
        <v>24</v>
      </c>
      <c r="E286" s="21" t="s">
        <v>25</v>
      </c>
      <c r="F286" s="22" t="s">
        <v>123</v>
      </c>
      <c r="G286" s="21" t="s">
        <v>58</v>
      </c>
      <c r="H286" s="175"/>
      <c r="I286" s="163"/>
      <c r="J286" s="165" t="s">
        <v>296</v>
      </c>
      <c r="K286" s="142"/>
    </row>
    <row r="287" spans="1:15">
      <c r="A287" s="23"/>
      <c r="B287" s="24" t="s">
        <v>59</v>
      </c>
      <c r="C287" s="25"/>
      <c r="D287" s="25"/>
      <c r="E287" s="25"/>
      <c r="F287" s="25"/>
      <c r="G287" s="25"/>
      <c r="H287" s="25"/>
      <c r="I287" s="26"/>
      <c r="J287" s="165"/>
      <c r="K287" s="142"/>
    </row>
    <row r="288" spans="1:15">
      <c r="A288" s="121" t="s">
        <v>131</v>
      </c>
      <c r="B288" s="126" t="s">
        <v>47</v>
      </c>
      <c r="C288" s="32">
        <f>+C264</f>
        <v>74020</v>
      </c>
      <c r="D288" s="31"/>
      <c r="E288" s="32">
        <f>+D264</f>
        <v>905000</v>
      </c>
      <c r="F288" s="32"/>
      <c r="G288" s="32"/>
      <c r="H288" s="55">
        <f>+F264</f>
        <v>73000</v>
      </c>
      <c r="I288" s="32">
        <f>+E264</f>
        <v>665400</v>
      </c>
      <c r="J288" s="30">
        <f t="shared" ref="J288:J291" si="137">+SUM(C288:G288)-(H288+I288)</f>
        <v>240620</v>
      </c>
      <c r="K288" s="143" t="b">
        <f t="shared" ref="K288:K300" si="138">J288=I264</f>
        <v>1</v>
      </c>
    </row>
    <row r="289" spans="1:11">
      <c r="A289" s="121" t="str">
        <f>+A288</f>
        <v>MAI</v>
      </c>
      <c r="B289" s="126" t="s">
        <v>269</v>
      </c>
      <c r="C289" s="32">
        <f t="shared" ref="C289:C291" si="139">+C265</f>
        <v>0</v>
      </c>
      <c r="D289" s="31"/>
      <c r="E289" s="32">
        <f t="shared" ref="E289:E291" si="140">+D265</f>
        <v>384500</v>
      </c>
      <c r="F289" s="32"/>
      <c r="G289" s="32"/>
      <c r="H289" s="55">
        <f t="shared" ref="H289:H291" si="141">+F265</f>
        <v>0</v>
      </c>
      <c r="I289" s="32">
        <f t="shared" ref="I289:I291" si="142">+E265</f>
        <v>369800</v>
      </c>
      <c r="J289" s="30">
        <f t="shared" si="137"/>
        <v>14700</v>
      </c>
      <c r="K289" s="143" t="b">
        <f t="shared" si="138"/>
        <v>1</v>
      </c>
    </row>
    <row r="290" spans="1:11">
      <c r="A290" s="121" t="str">
        <f t="shared" ref="A290:A300" si="143">+A289</f>
        <v>MAI</v>
      </c>
      <c r="B290" s="126" t="s">
        <v>255</v>
      </c>
      <c r="C290" s="32">
        <f t="shared" si="139"/>
        <v>28350</v>
      </c>
      <c r="D290" s="31"/>
      <c r="E290" s="32">
        <f t="shared" si="140"/>
        <v>722000</v>
      </c>
      <c r="F290" s="32"/>
      <c r="G290" s="32"/>
      <c r="H290" s="55">
        <f t="shared" si="141"/>
        <v>98000</v>
      </c>
      <c r="I290" s="32">
        <f t="shared" si="142"/>
        <v>540360</v>
      </c>
      <c r="J290" s="30">
        <f t="shared" si="137"/>
        <v>111990</v>
      </c>
      <c r="K290" s="143" t="b">
        <f t="shared" si="138"/>
        <v>1</v>
      </c>
    </row>
    <row r="291" spans="1:11">
      <c r="A291" s="121" t="str">
        <f t="shared" si="143"/>
        <v>MAI</v>
      </c>
      <c r="B291" s="126" t="s">
        <v>31</v>
      </c>
      <c r="C291" s="32">
        <f t="shared" si="139"/>
        <v>39425</v>
      </c>
      <c r="D291" s="31"/>
      <c r="E291" s="32">
        <f t="shared" si="140"/>
        <v>211000</v>
      </c>
      <c r="F291" s="32"/>
      <c r="G291" s="32"/>
      <c r="H291" s="55">
        <f t="shared" si="141"/>
        <v>0</v>
      </c>
      <c r="I291" s="32">
        <f t="shared" si="142"/>
        <v>222050</v>
      </c>
      <c r="J291" s="30">
        <f t="shared" si="137"/>
        <v>28375</v>
      </c>
      <c r="K291" s="143" t="b">
        <f t="shared" si="138"/>
        <v>1</v>
      </c>
    </row>
    <row r="292" spans="1:11">
      <c r="A292" s="121" t="str">
        <f t="shared" si="143"/>
        <v>MAI</v>
      </c>
      <c r="B292" s="128" t="s">
        <v>84</v>
      </c>
      <c r="C292" s="119">
        <f>+C268</f>
        <v>233614</v>
      </c>
      <c r="D292" s="122"/>
      <c r="E292" s="119">
        <f>+D268</f>
        <v>0</v>
      </c>
      <c r="F292" s="136"/>
      <c r="G292" s="136"/>
      <c r="H292" s="154">
        <f>+F268</f>
        <v>0</v>
      </c>
      <c r="I292" s="119">
        <f t="shared" ref="I292:I297" si="144">+E268</f>
        <v>0</v>
      </c>
      <c r="J292" s="120">
        <f>+SUM(C292:G292)-(H292+I292)</f>
        <v>233614</v>
      </c>
      <c r="K292" s="143" t="b">
        <f t="shared" si="138"/>
        <v>1</v>
      </c>
    </row>
    <row r="293" spans="1:11">
      <c r="A293" s="121" t="str">
        <f t="shared" si="143"/>
        <v>MAI</v>
      </c>
      <c r="B293" s="128" t="s">
        <v>83</v>
      </c>
      <c r="C293" s="119">
        <f>+C269</f>
        <v>249769</v>
      </c>
      <c r="D293" s="122"/>
      <c r="E293" s="119">
        <f>+D269</f>
        <v>0</v>
      </c>
      <c r="F293" s="136"/>
      <c r="G293" s="136"/>
      <c r="H293" s="154">
        <f>+F269</f>
        <v>0</v>
      </c>
      <c r="I293" s="119">
        <f t="shared" si="144"/>
        <v>0</v>
      </c>
      <c r="J293" s="120">
        <f t="shared" ref="J293:J300" si="145">+SUM(C293:G293)-(H293+I293)</f>
        <v>249769</v>
      </c>
      <c r="K293" s="143" t="b">
        <f t="shared" si="138"/>
        <v>1</v>
      </c>
    </row>
    <row r="294" spans="1:11">
      <c r="A294" s="121" t="str">
        <f t="shared" si="143"/>
        <v>MAI</v>
      </c>
      <c r="B294" s="126" t="s">
        <v>143</v>
      </c>
      <c r="C294" s="32">
        <f>+C270</f>
        <v>55550</v>
      </c>
      <c r="D294" s="31"/>
      <c r="E294" s="32">
        <f>+D270</f>
        <v>382000</v>
      </c>
      <c r="F294" s="32"/>
      <c r="G294" s="103"/>
      <c r="H294" s="55">
        <f>+F270</f>
        <v>300000</v>
      </c>
      <c r="I294" s="32">
        <f t="shared" si="144"/>
        <v>91000</v>
      </c>
      <c r="J294" s="30">
        <f t="shared" si="145"/>
        <v>46550</v>
      </c>
      <c r="K294" s="143" t="b">
        <f t="shared" si="138"/>
        <v>1</v>
      </c>
    </row>
    <row r="295" spans="1:11">
      <c r="A295" s="121" t="str">
        <f t="shared" si="143"/>
        <v>MAI</v>
      </c>
      <c r="B295" s="126" t="s">
        <v>197</v>
      </c>
      <c r="C295" s="32">
        <f t="shared" ref="C295:C300" si="146">+C271</f>
        <v>30005</v>
      </c>
      <c r="D295" s="31"/>
      <c r="E295" s="32">
        <f t="shared" ref="E295:E300" si="147">+D271</f>
        <v>335000</v>
      </c>
      <c r="F295" s="32"/>
      <c r="G295" s="103"/>
      <c r="H295" s="55">
        <f t="shared" ref="H295:H300" si="148">+F271</f>
        <v>0</v>
      </c>
      <c r="I295" s="32">
        <f t="shared" si="144"/>
        <v>280400</v>
      </c>
      <c r="J295" s="30">
        <f t="shared" si="145"/>
        <v>84605</v>
      </c>
      <c r="K295" s="143" t="b">
        <f t="shared" si="138"/>
        <v>1</v>
      </c>
    </row>
    <row r="296" spans="1:11">
      <c r="A296" s="121" t="str">
        <f t="shared" si="143"/>
        <v>MAI</v>
      </c>
      <c r="B296" s="126" t="s">
        <v>93</v>
      </c>
      <c r="C296" s="32">
        <f t="shared" si="146"/>
        <v>20800</v>
      </c>
      <c r="D296" s="31"/>
      <c r="E296" s="32">
        <f t="shared" si="147"/>
        <v>132000</v>
      </c>
      <c r="F296" s="32"/>
      <c r="G296" s="103"/>
      <c r="H296" s="55">
        <f t="shared" si="148"/>
        <v>0</v>
      </c>
      <c r="I296" s="32">
        <f t="shared" si="144"/>
        <v>160400</v>
      </c>
      <c r="J296" s="30">
        <f t="shared" si="145"/>
        <v>-7600</v>
      </c>
      <c r="K296" s="143" t="b">
        <f t="shared" si="138"/>
        <v>1</v>
      </c>
    </row>
    <row r="297" spans="1:11">
      <c r="A297" s="121" t="str">
        <f t="shared" si="143"/>
        <v>MAI</v>
      </c>
      <c r="B297" s="126" t="s">
        <v>298</v>
      </c>
      <c r="C297" s="32">
        <f t="shared" si="146"/>
        <v>0</v>
      </c>
      <c r="D297" s="31"/>
      <c r="E297" s="32">
        <f t="shared" si="147"/>
        <v>35000</v>
      </c>
      <c r="F297" s="32"/>
      <c r="G297" s="103"/>
      <c r="H297" s="55">
        <f t="shared" si="148"/>
        <v>0</v>
      </c>
      <c r="I297" s="32">
        <f t="shared" si="144"/>
        <v>23000</v>
      </c>
      <c r="J297" s="30">
        <f t="shared" ref="J297" si="149">+SUM(C297:G297)-(H297+I297)</f>
        <v>12000</v>
      </c>
      <c r="K297" s="143" t="b">
        <f t="shared" si="138"/>
        <v>1</v>
      </c>
    </row>
    <row r="298" spans="1:11">
      <c r="A298" s="121" t="str">
        <f t="shared" si="143"/>
        <v>MAI</v>
      </c>
      <c r="B298" s="126" t="s">
        <v>29</v>
      </c>
      <c r="C298" s="32">
        <f t="shared" si="146"/>
        <v>11000</v>
      </c>
      <c r="D298" s="31"/>
      <c r="E298" s="32">
        <f t="shared" si="147"/>
        <v>653000</v>
      </c>
      <c r="F298" s="32"/>
      <c r="G298" s="103"/>
      <c r="H298" s="55">
        <f t="shared" si="148"/>
        <v>0</v>
      </c>
      <c r="I298" s="32">
        <f t="shared" ref="I298:I300" si="150">+E274</f>
        <v>514200</v>
      </c>
      <c r="J298" s="30">
        <f t="shared" si="145"/>
        <v>149800</v>
      </c>
      <c r="K298" s="143" t="b">
        <f t="shared" si="138"/>
        <v>1</v>
      </c>
    </row>
    <row r="299" spans="1:11">
      <c r="A299" s="121" t="str">
        <f t="shared" si="143"/>
        <v>MAI</v>
      </c>
      <c r="B299" s="127" t="s">
        <v>268</v>
      </c>
      <c r="C299" s="32">
        <f t="shared" si="146"/>
        <v>173700</v>
      </c>
      <c r="D299" s="118"/>
      <c r="E299" s="32">
        <f t="shared" si="147"/>
        <v>837500</v>
      </c>
      <c r="F299" s="51"/>
      <c r="G299" s="137"/>
      <c r="H299" s="55">
        <f t="shared" si="148"/>
        <v>0</v>
      </c>
      <c r="I299" s="32">
        <f t="shared" si="150"/>
        <v>656900</v>
      </c>
      <c r="J299" s="30">
        <f t="shared" si="145"/>
        <v>354300</v>
      </c>
      <c r="K299" s="143" t="b">
        <f t="shared" si="138"/>
        <v>1</v>
      </c>
    </row>
    <row r="300" spans="1:11">
      <c r="A300" s="121" t="str">
        <f t="shared" si="143"/>
        <v>MAI</v>
      </c>
      <c r="B300" s="127" t="s">
        <v>113</v>
      </c>
      <c r="C300" s="32">
        <f t="shared" si="146"/>
        <v>24676</v>
      </c>
      <c r="D300" s="118"/>
      <c r="E300" s="32">
        <f t="shared" si="147"/>
        <v>0</v>
      </c>
      <c r="F300" s="51"/>
      <c r="G300" s="137"/>
      <c r="H300" s="55">
        <f t="shared" si="148"/>
        <v>0</v>
      </c>
      <c r="I300" s="32">
        <f t="shared" si="150"/>
        <v>10000</v>
      </c>
      <c r="J300" s="30">
        <f t="shared" si="145"/>
        <v>14676</v>
      </c>
      <c r="K300" s="143" t="b">
        <f t="shared" si="138"/>
        <v>1</v>
      </c>
    </row>
    <row r="301" spans="1:11">
      <c r="A301" s="34" t="s">
        <v>60</v>
      </c>
      <c r="B301" s="35"/>
      <c r="C301" s="35"/>
      <c r="D301" s="35"/>
      <c r="E301" s="35"/>
      <c r="F301" s="35"/>
      <c r="G301" s="35"/>
      <c r="H301" s="35"/>
      <c r="I301" s="35"/>
      <c r="J301" s="36"/>
      <c r="K301" s="142"/>
    </row>
    <row r="302" spans="1:11">
      <c r="A302" s="121" t="str">
        <f>A300</f>
        <v>MAI</v>
      </c>
      <c r="B302" s="37" t="s">
        <v>61</v>
      </c>
      <c r="C302" s="38">
        <f>+C263</f>
        <v>3813317</v>
      </c>
      <c r="D302" s="49"/>
      <c r="E302" s="49">
        <f>D263</f>
        <v>2180000</v>
      </c>
      <c r="F302" s="49"/>
      <c r="G302" s="124"/>
      <c r="H302" s="51">
        <f>+F263</f>
        <v>4306000</v>
      </c>
      <c r="I302" s="125">
        <f>+E263</f>
        <v>1411594</v>
      </c>
      <c r="J302" s="30">
        <f>+SUM(C302:G302)-(H302+I302)</f>
        <v>275723</v>
      </c>
      <c r="K302" s="143" t="b">
        <f>J302=I263</f>
        <v>1</v>
      </c>
    </row>
    <row r="303" spans="1:11">
      <c r="A303" s="43" t="s">
        <v>62</v>
      </c>
      <c r="B303" s="24"/>
      <c r="C303" s="35"/>
      <c r="D303" s="24"/>
      <c r="E303" s="24"/>
      <c r="F303" s="24"/>
      <c r="G303" s="24"/>
      <c r="H303" s="24"/>
      <c r="I303" s="24"/>
      <c r="J303" s="36"/>
      <c r="K303" s="142"/>
    </row>
    <row r="304" spans="1:11">
      <c r="A304" s="121" t="str">
        <f>+A302</f>
        <v>MAI</v>
      </c>
      <c r="B304" s="37" t="s">
        <v>24</v>
      </c>
      <c r="C304" s="124">
        <f>+C261</f>
        <v>17286490</v>
      </c>
      <c r="D304" s="131">
        <f>+G261</f>
        <v>0</v>
      </c>
      <c r="E304" s="49"/>
      <c r="F304" s="49"/>
      <c r="G304" s="49"/>
      <c r="H304" s="51">
        <f>+F261</f>
        <v>2000000</v>
      </c>
      <c r="I304" s="53">
        <f>+E261</f>
        <v>583345</v>
      </c>
      <c r="J304" s="30">
        <f>+SUM(C304:G304)-(H304+I304)</f>
        <v>14703145</v>
      </c>
      <c r="K304" s="143" t="b">
        <f>+J304=I261</f>
        <v>1</v>
      </c>
    </row>
    <row r="305" spans="1:16">
      <c r="A305" s="121" t="str">
        <f t="shared" ref="A305" si="151">+A304</f>
        <v>MAI</v>
      </c>
      <c r="B305" s="37" t="s">
        <v>64</v>
      </c>
      <c r="C305" s="124">
        <f>+C262</f>
        <v>5202151</v>
      </c>
      <c r="D305" s="49">
        <f>+G262</f>
        <v>0</v>
      </c>
      <c r="E305" s="48"/>
      <c r="F305" s="48"/>
      <c r="G305" s="48"/>
      <c r="H305" s="32">
        <f>+F262</f>
        <v>0</v>
      </c>
      <c r="I305" s="50">
        <f>+E262</f>
        <v>4702850</v>
      </c>
      <c r="J305" s="30">
        <f>SUM(C305:G305)-(H305+I305)</f>
        <v>499301</v>
      </c>
      <c r="K305" s="143" t="b">
        <f>+J305=I262</f>
        <v>1</v>
      </c>
    </row>
    <row r="306" spans="1:16" ht="15.75">
      <c r="C306" s="140">
        <f>SUM(C288:C305)</f>
        <v>27242867</v>
      </c>
      <c r="I306" s="139">
        <f>SUM(I288:I305)</f>
        <v>10231299</v>
      </c>
      <c r="J306" s="104">
        <f>+SUM(J288:J305)</f>
        <v>17011568</v>
      </c>
      <c r="K306" s="5" t="b">
        <f>J306=I277</f>
        <v>1</v>
      </c>
    </row>
    <row r="307" spans="1:16" ht="15.75">
      <c r="C307" s="140"/>
      <c r="I307" s="139"/>
      <c r="J307" s="104"/>
    </row>
    <row r="308" spans="1:16" ht="15.75">
      <c r="A308" s="157"/>
      <c r="B308" s="157"/>
      <c r="C308" s="158"/>
      <c r="D308" s="157"/>
      <c r="E308" s="157"/>
      <c r="F308" s="157"/>
      <c r="G308" s="157"/>
      <c r="H308" s="157"/>
      <c r="I308" s="159"/>
      <c r="J308" s="160"/>
      <c r="K308" s="157"/>
      <c r="L308" s="161"/>
      <c r="M308" s="161"/>
      <c r="N308" s="161"/>
      <c r="O308" s="161"/>
      <c r="P308" s="157"/>
    </row>
    <row r="311" spans="1:16" ht="15.75">
      <c r="A311" s="6" t="s">
        <v>36</v>
      </c>
      <c r="B311" s="6" t="s">
        <v>1</v>
      </c>
      <c r="C311" s="6">
        <v>45017</v>
      </c>
      <c r="D311" s="7" t="s">
        <v>37</v>
      </c>
      <c r="E311" s="7" t="s">
        <v>38</v>
      </c>
      <c r="F311" s="7" t="s">
        <v>39</v>
      </c>
      <c r="G311" s="7" t="s">
        <v>40</v>
      </c>
      <c r="H311" s="6">
        <v>45046</v>
      </c>
      <c r="I311" s="7" t="s">
        <v>41</v>
      </c>
      <c r="K311" s="45"/>
      <c r="L311" s="45" t="s">
        <v>42</v>
      </c>
      <c r="M311" s="45" t="s">
        <v>43</v>
      </c>
      <c r="N311" s="45" t="s">
        <v>44</v>
      </c>
      <c r="O311" s="45" t="s">
        <v>45</v>
      </c>
    </row>
    <row r="312" spans="1:16" ht="16.5">
      <c r="A312" s="58" t="str">
        <f>K312</f>
        <v>BCI</v>
      </c>
      <c r="B312" s="59" t="s">
        <v>46</v>
      </c>
      <c r="C312" s="61">
        <v>19719835</v>
      </c>
      <c r="D312" s="61">
        <f>+L312</f>
        <v>0</v>
      </c>
      <c r="E312" s="61">
        <f>+N312</f>
        <v>433345</v>
      </c>
      <c r="F312" s="61">
        <f>+M312</f>
        <v>2000000</v>
      </c>
      <c r="G312" s="61">
        <f t="shared" ref="G312:G326" si="152">+O312</f>
        <v>0</v>
      </c>
      <c r="H312" s="61">
        <v>17286490</v>
      </c>
      <c r="I312" s="61">
        <f>+C312+D312-E312-F312+G312</f>
        <v>17286490</v>
      </c>
      <c r="J312" s="9">
        <f>I312-H312</f>
        <v>0</v>
      </c>
      <c r="K312" s="45" t="s">
        <v>24</v>
      </c>
      <c r="L312" s="178"/>
      <c r="M312" s="178">
        <v>2000000</v>
      </c>
      <c r="N312" s="178">
        <v>433345</v>
      </c>
      <c r="O312" s="178"/>
    </row>
    <row r="313" spans="1:16" ht="16.5">
      <c r="A313" s="58" t="str">
        <f t="shared" ref="A313:A326" si="153">K313</f>
        <v>BCI-Sous Compte</v>
      </c>
      <c r="B313" s="59" t="s">
        <v>46</v>
      </c>
      <c r="C313" s="61">
        <v>14616884</v>
      </c>
      <c r="D313" s="61">
        <f t="shared" ref="D313:D324" si="154">+L313</f>
        <v>0</v>
      </c>
      <c r="E313" s="61">
        <f t="shared" ref="E313:E318" si="155">+N313</f>
        <v>5414733</v>
      </c>
      <c r="F313" s="61">
        <f t="shared" ref="F313:F321" si="156">+M313</f>
        <v>4000000</v>
      </c>
      <c r="G313" s="61">
        <f t="shared" si="152"/>
        <v>0</v>
      </c>
      <c r="H313" s="61">
        <v>5202151</v>
      </c>
      <c r="I313" s="61">
        <f>+C313+D313-E313-F313+G313</f>
        <v>5202151</v>
      </c>
      <c r="J313" s="9">
        <f t="shared" ref="J313:J320" si="157">I313-H313</f>
        <v>0</v>
      </c>
      <c r="K313" s="45" t="s">
        <v>148</v>
      </c>
      <c r="L313" s="178"/>
      <c r="M313" s="178">
        <v>4000000</v>
      </c>
      <c r="N313" s="178">
        <v>5414733</v>
      </c>
      <c r="O313" s="178"/>
    </row>
    <row r="314" spans="1:16" ht="16.5">
      <c r="A314" s="58" t="str">
        <f t="shared" si="153"/>
        <v>Caisse</v>
      </c>
      <c r="B314" s="59" t="s">
        <v>25</v>
      </c>
      <c r="C314" s="61">
        <v>410707</v>
      </c>
      <c r="D314" s="61">
        <f t="shared" si="154"/>
        <v>6276700</v>
      </c>
      <c r="E314" s="61">
        <f t="shared" si="155"/>
        <v>1365190</v>
      </c>
      <c r="F314" s="61">
        <f t="shared" si="156"/>
        <v>1508900</v>
      </c>
      <c r="G314" s="61">
        <f t="shared" si="152"/>
        <v>0</v>
      </c>
      <c r="H314" s="61">
        <v>3813317</v>
      </c>
      <c r="I314" s="61">
        <f>+C314+D314-E314-F314+G314</f>
        <v>3813317</v>
      </c>
      <c r="J314" s="101">
        <f t="shared" si="157"/>
        <v>0</v>
      </c>
      <c r="K314" s="45" t="s">
        <v>25</v>
      </c>
      <c r="L314" s="178">
        <v>6276700</v>
      </c>
      <c r="M314" s="178">
        <v>1508900</v>
      </c>
      <c r="N314" s="178">
        <v>1365190</v>
      </c>
      <c r="O314" s="178"/>
    </row>
    <row r="315" spans="1:16" ht="16.5">
      <c r="A315" s="58" t="str">
        <f t="shared" si="153"/>
        <v>Crépin</v>
      </c>
      <c r="B315" s="59" t="s">
        <v>154</v>
      </c>
      <c r="C315" s="61">
        <v>206020</v>
      </c>
      <c r="D315" s="61">
        <f t="shared" si="154"/>
        <v>292000</v>
      </c>
      <c r="E315" s="61">
        <f t="shared" si="155"/>
        <v>424000</v>
      </c>
      <c r="F315" s="61">
        <f t="shared" si="156"/>
        <v>0</v>
      </c>
      <c r="G315" s="61">
        <f t="shared" si="152"/>
        <v>0</v>
      </c>
      <c r="H315" s="61">
        <v>74020</v>
      </c>
      <c r="I315" s="61">
        <f>+C315+D315-E315-F315+G315</f>
        <v>74020</v>
      </c>
      <c r="J315" s="9">
        <f t="shared" si="157"/>
        <v>0</v>
      </c>
      <c r="K315" s="45" t="s">
        <v>47</v>
      </c>
      <c r="L315" s="178">
        <v>292000</v>
      </c>
      <c r="M315" s="178">
        <v>0</v>
      </c>
      <c r="N315" s="178">
        <v>424000</v>
      </c>
      <c r="O315" s="178"/>
    </row>
    <row r="316" spans="1:16" ht="16.5">
      <c r="A316" s="58" t="str">
        <f t="shared" si="153"/>
        <v>D58</v>
      </c>
      <c r="B316" s="59" t="s">
        <v>4</v>
      </c>
      <c r="C316" s="61">
        <v>105100</v>
      </c>
      <c r="D316" s="61">
        <f t="shared" si="154"/>
        <v>34900</v>
      </c>
      <c r="E316" s="61">
        <f t="shared" si="155"/>
        <v>140000</v>
      </c>
      <c r="F316" s="61">
        <f t="shared" si="156"/>
        <v>0</v>
      </c>
      <c r="G316" s="61">
        <f t="shared" si="152"/>
        <v>0</v>
      </c>
      <c r="H316" s="61">
        <v>0</v>
      </c>
      <c r="I316" s="61">
        <f>+C316+D316-E316-F316+G316</f>
        <v>0</v>
      </c>
      <c r="J316" s="9">
        <f t="shared" si="157"/>
        <v>0</v>
      </c>
      <c r="K316" s="45" t="s">
        <v>269</v>
      </c>
      <c r="L316" s="178">
        <v>34900</v>
      </c>
      <c r="M316" s="178">
        <v>0</v>
      </c>
      <c r="N316" s="178">
        <v>140000</v>
      </c>
      <c r="O316" s="178"/>
    </row>
    <row r="317" spans="1:16" ht="16.5">
      <c r="A317" s="58" t="str">
        <f t="shared" si="153"/>
        <v>Donald</v>
      </c>
      <c r="B317" s="59" t="s">
        <v>154</v>
      </c>
      <c r="C317" s="61">
        <v>19350</v>
      </c>
      <c r="D317" s="61">
        <f t="shared" si="154"/>
        <v>150000</v>
      </c>
      <c r="E317" s="61">
        <f t="shared" si="155"/>
        <v>141000</v>
      </c>
      <c r="F317" s="61">
        <f t="shared" si="156"/>
        <v>0</v>
      </c>
      <c r="G317" s="61">
        <f t="shared" si="152"/>
        <v>0</v>
      </c>
      <c r="H317" s="61">
        <v>28350</v>
      </c>
      <c r="I317" s="61">
        <f t="shared" ref="I317:I318" si="158">+C317+D317-E317-F317+G317</f>
        <v>28350</v>
      </c>
      <c r="J317" s="9">
        <f t="shared" si="157"/>
        <v>0</v>
      </c>
      <c r="K317" s="45" t="s">
        <v>255</v>
      </c>
      <c r="L317" s="178">
        <v>150000</v>
      </c>
      <c r="M317" s="178">
        <v>0</v>
      </c>
      <c r="N317" s="178">
        <v>141000</v>
      </c>
      <c r="O317" s="178"/>
    </row>
    <row r="318" spans="1:16" ht="16.5">
      <c r="A318" s="58" t="str">
        <f t="shared" si="153"/>
        <v>Evariste</v>
      </c>
      <c r="B318" s="59" t="s">
        <v>155</v>
      </c>
      <c r="C318" s="61">
        <v>25425</v>
      </c>
      <c r="D318" s="61">
        <f t="shared" si="154"/>
        <v>150000</v>
      </c>
      <c r="E318" s="61">
        <f t="shared" si="155"/>
        <v>136000</v>
      </c>
      <c r="F318" s="61">
        <f t="shared" si="156"/>
        <v>0</v>
      </c>
      <c r="G318" s="61">
        <f t="shared" si="152"/>
        <v>0</v>
      </c>
      <c r="H318" s="61">
        <v>39425</v>
      </c>
      <c r="I318" s="61">
        <f t="shared" si="158"/>
        <v>39425</v>
      </c>
      <c r="J318" s="9">
        <f t="shared" si="157"/>
        <v>0</v>
      </c>
      <c r="K318" s="45" t="s">
        <v>31</v>
      </c>
      <c r="L318" s="178">
        <v>150000</v>
      </c>
      <c r="M318" s="178">
        <v>0</v>
      </c>
      <c r="N318" s="178">
        <v>136000</v>
      </c>
      <c r="O318" s="178"/>
    </row>
    <row r="319" spans="1:16" ht="16.5">
      <c r="A319" s="58" t="str">
        <f t="shared" si="153"/>
        <v>I55S</v>
      </c>
      <c r="B319" s="115" t="s">
        <v>4</v>
      </c>
      <c r="C319" s="117">
        <v>233614</v>
      </c>
      <c r="D319" s="117">
        <f t="shared" si="154"/>
        <v>0</v>
      </c>
      <c r="E319" s="117">
        <f>+N319</f>
        <v>0</v>
      </c>
      <c r="F319" s="117">
        <f t="shared" si="156"/>
        <v>0</v>
      </c>
      <c r="G319" s="117">
        <f t="shared" si="152"/>
        <v>0</v>
      </c>
      <c r="H319" s="117">
        <v>233614</v>
      </c>
      <c r="I319" s="117">
        <f>+C319+D319-E319-F319+G319</f>
        <v>233614</v>
      </c>
      <c r="J319" s="9">
        <f t="shared" si="157"/>
        <v>0</v>
      </c>
      <c r="K319" s="45" t="s">
        <v>84</v>
      </c>
      <c r="L319" s="178"/>
      <c r="M319" s="178"/>
      <c r="N319" s="178"/>
      <c r="O319" s="178"/>
    </row>
    <row r="320" spans="1:16" ht="16.5">
      <c r="A320" s="58" t="str">
        <f t="shared" si="153"/>
        <v>I73X</v>
      </c>
      <c r="B320" s="115" t="s">
        <v>4</v>
      </c>
      <c r="C320" s="117">
        <v>249769</v>
      </c>
      <c r="D320" s="117">
        <f t="shared" si="154"/>
        <v>0</v>
      </c>
      <c r="E320" s="117">
        <f>+N320</f>
        <v>0</v>
      </c>
      <c r="F320" s="117">
        <f t="shared" si="156"/>
        <v>0</v>
      </c>
      <c r="G320" s="117">
        <f t="shared" si="152"/>
        <v>0</v>
      </c>
      <c r="H320" s="117">
        <v>249769</v>
      </c>
      <c r="I320" s="117">
        <f t="shared" ref="I320:I324" si="159">+C320+D320-E320-F320+G320</f>
        <v>249769</v>
      </c>
      <c r="J320" s="9">
        <f t="shared" si="157"/>
        <v>0</v>
      </c>
      <c r="K320" s="45" t="s">
        <v>83</v>
      </c>
      <c r="L320" s="178"/>
      <c r="M320" s="178"/>
      <c r="N320" s="178"/>
      <c r="O320" s="178"/>
    </row>
    <row r="321" spans="1:15" ht="16.5">
      <c r="A321" s="58" t="str">
        <f t="shared" si="153"/>
        <v>Grace</v>
      </c>
      <c r="B321" s="59" t="s">
        <v>2</v>
      </c>
      <c r="C321" s="181">
        <v>166600</v>
      </c>
      <c r="D321" s="61">
        <f t="shared" si="154"/>
        <v>150000</v>
      </c>
      <c r="E321" s="61">
        <f t="shared" ref="E321" si="160">+N321</f>
        <v>141050</v>
      </c>
      <c r="F321" s="61">
        <f t="shared" si="156"/>
        <v>120000</v>
      </c>
      <c r="G321" s="61">
        <f t="shared" si="152"/>
        <v>0</v>
      </c>
      <c r="H321" s="181">
        <v>55550</v>
      </c>
      <c r="I321" s="181">
        <f t="shared" si="159"/>
        <v>55550</v>
      </c>
      <c r="J321" s="182">
        <f>I321-H321</f>
        <v>0</v>
      </c>
      <c r="K321" s="183" t="s">
        <v>143</v>
      </c>
      <c r="L321" s="178">
        <v>150000</v>
      </c>
      <c r="M321" s="178">
        <v>120000</v>
      </c>
      <c r="N321" s="178">
        <v>141050</v>
      </c>
      <c r="O321" s="178"/>
    </row>
    <row r="322" spans="1:15" ht="16.5">
      <c r="A322" s="58" t="str">
        <f t="shared" si="153"/>
        <v>Hurielle</v>
      </c>
      <c r="B322" s="97" t="s">
        <v>154</v>
      </c>
      <c r="C322" s="61">
        <v>28005</v>
      </c>
      <c r="D322" s="61">
        <f t="shared" si="154"/>
        <v>150000</v>
      </c>
      <c r="E322" s="61">
        <f>+N322</f>
        <v>133000</v>
      </c>
      <c r="F322" s="61">
        <f>+M322</f>
        <v>15000</v>
      </c>
      <c r="G322" s="61">
        <f t="shared" si="152"/>
        <v>0</v>
      </c>
      <c r="H322" s="61">
        <v>30005</v>
      </c>
      <c r="I322" s="61">
        <f t="shared" si="159"/>
        <v>30005</v>
      </c>
      <c r="J322" s="9">
        <f t="shared" ref="J322" si="161">I322-H322</f>
        <v>0</v>
      </c>
      <c r="K322" s="45" t="s">
        <v>197</v>
      </c>
      <c r="L322" s="178">
        <v>150000</v>
      </c>
      <c r="M322" s="178">
        <v>15000</v>
      </c>
      <c r="N322" s="178">
        <v>133000</v>
      </c>
      <c r="O322" s="178"/>
    </row>
    <row r="323" spans="1:15" ht="16.5">
      <c r="A323" s="58" t="str">
        <f t="shared" si="153"/>
        <v>Merveille</v>
      </c>
      <c r="B323" s="59" t="s">
        <v>2</v>
      </c>
      <c r="C323" s="181">
        <v>18800</v>
      </c>
      <c r="D323" s="61">
        <f t="shared" si="154"/>
        <v>150000</v>
      </c>
      <c r="E323" s="61">
        <f t="shared" ref="E323:E326" si="162">+N323</f>
        <v>148000</v>
      </c>
      <c r="F323" s="61">
        <f t="shared" ref="F323:F326" si="163">+M323</f>
        <v>0</v>
      </c>
      <c r="G323" s="61">
        <f t="shared" si="152"/>
        <v>0</v>
      </c>
      <c r="H323" s="181">
        <v>20800</v>
      </c>
      <c r="I323" s="181">
        <f t="shared" si="159"/>
        <v>20800</v>
      </c>
      <c r="J323" s="182">
        <f>I323-H323</f>
        <v>0</v>
      </c>
      <c r="K323" s="183" t="s">
        <v>93</v>
      </c>
      <c r="L323" s="178">
        <v>150000</v>
      </c>
      <c r="M323" s="178">
        <v>0</v>
      </c>
      <c r="N323" s="178">
        <v>148000</v>
      </c>
      <c r="O323" s="178"/>
    </row>
    <row r="324" spans="1:15" ht="16.5">
      <c r="A324" s="58" t="str">
        <f t="shared" si="153"/>
        <v>P29</v>
      </c>
      <c r="B324" s="97" t="s">
        <v>4</v>
      </c>
      <c r="C324" s="61">
        <v>236000</v>
      </c>
      <c r="D324" s="61">
        <f t="shared" si="154"/>
        <v>270000</v>
      </c>
      <c r="E324" s="61">
        <f t="shared" si="162"/>
        <v>388300</v>
      </c>
      <c r="F324" s="61">
        <f t="shared" si="163"/>
        <v>106700</v>
      </c>
      <c r="G324" s="61">
        <f t="shared" si="152"/>
        <v>0</v>
      </c>
      <c r="H324" s="61">
        <v>11000</v>
      </c>
      <c r="I324" s="61">
        <f t="shared" si="159"/>
        <v>11000</v>
      </c>
      <c r="J324" s="9">
        <f t="shared" ref="J324:J325" si="164">I324-H324</f>
        <v>0</v>
      </c>
      <c r="K324" s="45" t="s">
        <v>29</v>
      </c>
      <c r="L324" s="178">
        <v>270000</v>
      </c>
      <c r="M324" s="178">
        <v>106700</v>
      </c>
      <c r="N324" s="178">
        <v>388300</v>
      </c>
      <c r="O324" s="178"/>
    </row>
    <row r="325" spans="1:15" ht="16.5">
      <c r="A325" s="58" t="str">
        <f t="shared" si="153"/>
        <v>T73</v>
      </c>
      <c r="B325" s="59" t="s">
        <v>4</v>
      </c>
      <c r="C325" s="61">
        <v>311700</v>
      </c>
      <c r="D325" s="61">
        <f>+L325</f>
        <v>30000</v>
      </c>
      <c r="E325" s="61">
        <f t="shared" si="162"/>
        <v>133000</v>
      </c>
      <c r="F325" s="61">
        <f t="shared" si="163"/>
        <v>35000</v>
      </c>
      <c r="G325" s="61">
        <f t="shared" si="152"/>
        <v>0</v>
      </c>
      <c r="H325" s="61">
        <v>173700</v>
      </c>
      <c r="I325" s="61">
        <f>+C325+D325-E325-F325+G325</f>
        <v>173700</v>
      </c>
      <c r="J325" s="9">
        <f t="shared" si="164"/>
        <v>0</v>
      </c>
      <c r="K325" s="45" t="s">
        <v>268</v>
      </c>
      <c r="L325" s="178">
        <v>30000</v>
      </c>
      <c r="M325" s="178">
        <v>35000</v>
      </c>
      <c r="N325" s="178">
        <v>133000</v>
      </c>
      <c r="O325" s="178"/>
    </row>
    <row r="326" spans="1:15" ht="16.5">
      <c r="A326" s="58" t="str">
        <f t="shared" si="153"/>
        <v>Tiffany</v>
      </c>
      <c r="B326" s="59" t="s">
        <v>2</v>
      </c>
      <c r="C326" s="61">
        <v>16676</v>
      </c>
      <c r="D326" s="61">
        <f t="shared" ref="D326" si="165">+L326</f>
        <v>132000</v>
      </c>
      <c r="E326" s="61">
        <f t="shared" si="162"/>
        <v>124000</v>
      </c>
      <c r="F326" s="61">
        <f t="shared" si="163"/>
        <v>0</v>
      </c>
      <c r="G326" s="61">
        <f t="shared" si="152"/>
        <v>0</v>
      </c>
      <c r="H326" s="61">
        <v>24676</v>
      </c>
      <c r="I326" s="61">
        <f>+C326+D326-E326-F326+G326</f>
        <v>24676</v>
      </c>
      <c r="J326" s="9">
        <f>I326-H326</f>
        <v>0</v>
      </c>
      <c r="K326" s="45" t="s">
        <v>113</v>
      </c>
      <c r="L326" s="178">
        <v>132000</v>
      </c>
      <c r="M326" s="178">
        <v>0</v>
      </c>
      <c r="N326" s="178">
        <v>124000</v>
      </c>
      <c r="O326" s="178"/>
    </row>
    <row r="327" spans="1:15" ht="16.5">
      <c r="A327" s="10" t="s">
        <v>50</v>
      </c>
      <c r="B327" s="11"/>
      <c r="C327" s="12">
        <f t="shared" ref="C327:I327" si="166">SUM(C312:C326)</f>
        <v>36364485</v>
      </c>
      <c r="D327" s="57">
        <f t="shared" si="166"/>
        <v>7785600</v>
      </c>
      <c r="E327" s="57">
        <f t="shared" si="166"/>
        <v>9121618</v>
      </c>
      <c r="F327" s="57">
        <f t="shared" si="166"/>
        <v>7785600</v>
      </c>
      <c r="G327" s="57">
        <f t="shared" si="166"/>
        <v>0</v>
      </c>
      <c r="H327" s="57">
        <f t="shared" si="166"/>
        <v>27242867</v>
      </c>
      <c r="I327" s="57">
        <f t="shared" si="166"/>
        <v>27242867</v>
      </c>
      <c r="J327" s="9">
        <f>I327-H327</f>
        <v>0</v>
      </c>
      <c r="K327" s="3"/>
      <c r="L327" s="47">
        <f>+SUM(L312:L326)</f>
        <v>7785600</v>
      </c>
      <c r="M327" s="47">
        <f>+SUM(M312:M326)</f>
        <v>7785600</v>
      </c>
      <c r="N327" s="47">
        <f>+SUM(N312:N326)</f>
        <v>9121618</v>
      </c>
      <c r="O327" s="47">
        <f>+SUM(O312:O326)</f>
        <v>0</v>
      </c>
    </row>
    <row r="328" spans="1:15" ht="16.5">
      <c r="A328" s="10"/>
      <c r="B328" s="11"/>
      <c r="C328" s="12"/>
      <c r="D328" s="13"/>
      <c r="E328" s="12"/>
      <c r="F328" s="13"/>
      <c r="G328" s="12"/>
      <c r="H328" s="12"/>
      <c r="I328" s="133" t="b">
        <f>I327=D330</f>
        <v>1</v>
      </c>
      <c r="J328" s="9">
        <f>H327-I327</f>
        <v>0</v>
      </c>
      <c r="L328" s="5"/>
      <c r="M328" s="5"/>
      <c r="N328" s="5"/>
      <c r="O328" s="5"/>
    </row>
    <row r="329" spans="1:15" ht="16.5">
      <c r="A329" s="10" t="s">
        <v>287</v>
      </c>
      <c r="B329" s="11" t="s">
        <v>202</v>
      </c>
      <c r="C329" s="12" t="s">
        <v>203</v>
      </c>
      <c r="D329" s="12" t="s">
        <v>288</v>
      </c>
      <c r="E329" s="12" t="s">
        <v>51</v>
      </c>
      <c r="F329" s="12"/>
      <c r="G329" s="12">
        <f>+D327-F327</f>
        <v>0</v>
      </c>
      <c r="H329" s="12"/>
      <c r="I329" s="207"/>
    </row>
    <row r="330" spans="1:15" ht="16.5">
      <c r="A330" s="14">
        <f>C327</f>
        <v>36364485</v>
      </c>
      <c r="B330" s="15">
        <f>G327</f>
        <v>0</v>
      </c>
      <c r="C330" s="12">
        <f>E327</f>
        <v>9121618</v>
      </c>
      <c r="D330" s="12">
        <f>A330+B330-C330</f>
        <v>27242867</v>
      </c>
      <c r="E330" s="13">
        <f>I327-D330</f>
        <v>0</v>
      </c>
      <c r="F330" s="12"/>
      <c r="G330" s="12"/>
      <c r="H330" s="12"/>
      <c r="I330" s="12"/>
    </row>
    <row r="331" spans="1:15" ht="16.5">
      <c r="A331" s="14"/>
      <c r="B331" s="15"/>
      <c r="C331" s="12"/>
      <c r="D331" s="12"/>
      <c r="E331" s="13"/>
      <c r="F331" s="12"/>
      <c r="G331" s="12"/>
      <c r="H331" s="12"/>
      <c r="I331" s="12"/>
    </row>
    <row r="332" spans="1:15">
      <c r="A332" s="16" t="s">
        <v>52</v>
      </c>
      <c r="B332" s="16"/>
      <c r="C332" s="16"/>
      <c r="D332" s="17"/>
      <c r="E332" s="17"/>
      <c r="F332" s="17"/>
      <c r="G332" s="17"/>
      <c r="H332" s="17"/>
      <c r="I332" s="17"/>
    </row>
    <row r="333" spans="1:15">
      <c r="A333" s="18" t="s">
        <v>289</v>
      </c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5">
      <c r="A334" s="19"/>
      <c r="B334" s="17"/>
      <c r="C334" s="20"/>
      <c r="D334" s="20"/>
      <c r="E334" s="20"/>
      <c r="F334" s="20"/>
      <c r="G334" s="20"/>
      <c r="H334" s="17"/>
      <c r="I334" s="17"/>
    </row>
    <row r="335" spans="1:15">
      <c r="A335" s="166" t="s">
        <v>53</v>
      </c>
      <c r="B335" s="168" t="s">
        <v>54</v>
      </c>
      <c r="C335" s="170" t="s">
        <v>290</v>
      </c>
      <c r="D335" s="171" t="s">
        <v>55</v>
      </c>
      <c r="E335" s="172"/>
      <c r="F335" s="172"/>
      <c r="G335" s="173"/>
      <c r="H335" s="174" t="s">
        <v>56</v>
      </c>
      <c r="I335" s="162" t="s">
        <v>57</v>
      </c>
      <c r="J335" s="205"/>
    </row>
    <row r="336" spans="1:15" ht="25.5">
      <c r="A336" s="167"/>
      <c r="B336" s="169"/>
      <c r="C336" s="22"/>
      <c r="D336" s="21" t="s">
        <v>24</v>
      </c>
      <c r="E336" s="21" t="s">
        <v>25</v>
      </c>
      <c r="F336" s="22" t="s">
        <v>123</v>
      </c>
      <c r="G336" s="21" t="s">
        <v>58</v>
      </c>
      <c r="H336" s="175"/>
      <c r="I336" s="163"/>
      <c r="J336" s="165" t="s">
        <v>291</v>
      </c>
      <c r="K336" s="142"/>
    </row>
    <row r="337" spans="1:11">
      <c r="A337" s="23"/>
      <c r="B337" s="24" t="s">
        <v>59</v>
      </c>
      <c r="C337" s="25"/>
      <c r="D337" s="25"/>
      <c r="E337" s="25"/>
      <c r="F337" s="25"/>
      <c r="G337" s="25"/>
      <c r="H337" s="25"/>
      <c r="I337" s="26"/>
      <c r="J337" s="165"/>
      <c r="K337" s="142"/>
    </row>
    <row r="338" spans="1:11">
      <c r="A338" s="121" t="s">
        <v>127</v>
      </c>
      <c r="B338" s="126" t="s">
        <v>47</v>
      </c>
      <c r="C338" s="32">
        <f>+C315</f>
        <v>206020</v>
      </c>
      <c r="D338" s="31"/>
      <c r="E338" s="32">
        <f>+D315</f>
        <v>292000</v>
      </c>
      <c r="F338" s="32"/>
      <c r="G338" s="32"/>
      <c r="H338" s="55">
        <f>+F315</f>
        <v>0</v>
      </c>
      <c r="I338" s="32">
        <f>+E315</f>
        <v>424000</v>
      </c>
      <c r="J338" s="30">
        <f t="shared" ref="J338:J341" si="167">+SUM(C338:G338)-(H338+I338)</f>
        <v>74020</v>
      </c>
      <c r="K338" s="143" t="b">
        <f t="shared" ref="K338:K349" si="168">J338=I315</f>
        <v>1</v>
      </c>
    </row>
    <row r="339" spans="1:11">
      <c r="A339" s="121" t="str">
        <f>+A338</f>
        <v>AVRIL</v>
      </c>
      <c r="B339" s="126" t="s">
        <v>269</v>
      </c>
      <c r="C339" s="32">
        <f t="shared" ref="C339:C341" si="169">+C316</f>
        <v>105100</v>
      </c>
      <c r="D339" s="31"/>
      <c r="E339" s="32">
        <f t="shared" ref="E339:E341" si="170">+D316</f>
        <v>34900</v>
      </c>
      <c r="F339" s="32"/>
      <c r="G339" s="32"/>
      <c r="H339" s="55">
        <f t="shared" ref="H339:H341" si="171">+F316</f>
        <v>0</v>
      </c>
      <c r="I339" s="32">
        <f t="shared" ref="I339:I341" si="172">+E316</f>
        <v>140000</v>
      </c>
      <c r="J339" s="30">
        <f t="shared" si="167"/>
        <v>0</v>
      </c>
      <c r="K339" s="143" t="b">
        <f t="shared" si="168"/>
        <v>1</v>
      </c>
    </row>
    <row r="340" spans="1:11">
      <c r="A340" s="121" t="str">
        <f t="shared" ref="A340:A349" si="173">+A339</f>
        <v>AVRIL</v>
      </c>
      <c r="B340" s="126" t="s">
        <v>255</v>
      </c>
      <c r="C340" s="32">
        <f t="shared" si="169"/>
        <v>19350</v>
      </c>
      <c r="D340" s="31"/>
      <c r="E340" s="32">
        <f t="shared" si="170"/>
        <v>150000</v>
      </c>
      <c r="F340" s="32"/>
      <c r="G340" s="32"/>
      <c r="H340" s="55">
        <f t="shared" si="171"/>
        <v>0</v>
      </c>
      <c r="I340" s="32">
        <f t="shared" si="172"/>
        <v>141000</v>
      </c>
      <c r="J340" s="30">
        <f t="shared" si="167"/>
        <v>28350</v>
      </c>
      <c r="K340" s="143" t="b">
        <f t="shared" si="168"/>
        <v>1</v>
      </c>
    </row>
    <row r="341" spans="1:11">
      <c r="A341" s="121" t="str">
        <f t="shared" si="173"/>
        <v>AVRIL</v>
      </c>
      <c r="B341" s="126" t="s">
        <v>31</v>
      </c>
      <c r="C341" s="32">
        <f t="shared" si="169"/>
        <v>25425</v>
      </c>
      <c r="D341" s="31"/>
      <c r="E341" s="32">
        <f t="shared" si="170"/>
        <v>150000</v>
      </c>
      <c r="F341" s="32"/>
      <c r="G341" s="32"/>
      <c r="H341" s="55">
        <f t="shared" si="171"/>
        <v>0</v>
      </c>
      <c r="I341" s="32">
        <f t="shared" si="172"/>
        <v>136000</v>
      </c>
      <c r="J341" s="30">
        <f t="shared" si="167"/>
        <v>39425</v>
      </c>
      <c r="K341" s="143" t="b">
        <f t="shared" si="168"/>
        <v>1</v>
      </c>
    </row>
    <row r="342" spans="1:11">
      <c r="A342" s="121" t="str">
        <f t="shared" si="173"/>
        <v>AVRIL</v>
      </c>
      <c r="B342" s="128" t="s">
        <v>84</v>
      </c>
      <c r="C342" s="119">
        <f>+C319</f>
        <v>233614</v>
      </c>
      <c r="D342" s="122"/>
      <c r="E342" s="119">
        <f>+D319</f>
        <v>0</v>
      </c>
      <c r="F342" s="136"/>
      <c r="G342" s="136"/>
      <c r="H342" s="154">
        <f>+F319</f>
        <v>0</v>
      </c>
      <c r="I342" s="119">
        <f>+E319</f>
        <v>0</v>
      </c>
      <c r="J342" s="120">
        <f>+SUM(C342:G342)-(H342+I342)</f>
        <v>233614</v>
      </c>
      <c r="K342" s="143" t="b">
        <f t="shared" si="168"/>
        <v>1</v>
      </c>
    </row>
    <row r="343" spans="1:11">
      <c r="A343" s="121" t="str">
        <f t="shared" si="173"/>
        <v>AVRIL</v>
      </c>
      <c r="B343" s="128" t="s">
        <v>83</v>
      </c>
      <c r="C343" s="119">
        <f>+C320</f>
        <v>249769</v>
      </c>
      <c r="D343" s="122"/>
      <c r="E343" s="119">
        <f>+D320</f>
        <v>0</v>
      </c>
      <c r="F343" s="136"/>
      <c r="G343" s="136"/>
      <c r="H343" s="154">
        <f>+F320</f>
        <v>0</v>
      </c>
      <c r="I343" s="119">
        <f>+E320</f>
        <v>0</v>
      </c>
      <c r="J343" s="120">
        <f t="shared" ref="J343:J349" si="174">+SUM(C343:G343)-(H343+I343)</f>
        <v>249769</v>
      </c>
      <c r="K343" s="143" t="b">
        <f t="shared" si="168"/>
        <v>1</v>
      </c>
    </row>
    <row r="344" spans="1:11">
      <c r="A344" s="121" t="str">
        <f t="shared" si="173"/>
        <v>AVRIL</v>
      </c>
      <c r="B344" s="126" t="s">
        <v>143</v>
      </c>
      <c r="C344" s="32">
        <f>+C321</f>
        <v>166600</v>
      </c>
      <c r="D344" s="31"/>
      <c r="E344" s="32">
        <f>+D321</f>
        <v>150000</v>
      </c>
      <c r="F344" s="32"/>
      <c r="G344" s="103"/>
      <c r="H344" s="55">
        <f>+F321</f>
        <v>120000</v>
      </c>
      <c r="I344" s="32">
        <f>+E321</f>
        <v>141050</v>
      </c>
      <c r="J344" s="30">
        <f t="shared" si="174"/>
        <v>55550</v>
      </c>
      <c r="K344" s="143" t="b">
        <f t="shared" si="168"/>
        <v>1</v>
      </c>
    </row>
    <row r="345" spans="1:11">
      <c r="A345" s="121" t="str">
        <f t="shared" si="173"/>
        <v>AVRIL</v>
      </c>
      <c r="B345" s="126" t="s">
        <v>197</v>
      </c>
      <c r="C345" s="32">
        <f>+C322</f>
        <v>28005</v>
      </c>
      <c r="D345" s="31"/>
      <c r="E345" s="32">
        <f>+D322</f>
        <v>150000</v>
      </c>
      <c r="F345" s="32"/>
      <c r="G345" s="103"/>
      <c r="H345" s="55">
        <f>+F322</f>
        <v>15000</v>
      </c>
      <c r="I345" s="32">
        <f>+E322</f>
        <v>133000</v>
      </c>
      <c r="J345" s="30">
        <f t="shared" si="174"/>
        <v>30005</v>
      </c>
      <c r="K345" s="143" t="b">
        <f t="shared" si="168"/>
        <v>1</v>
      </c>
    </row>
    <row r="346" spans="1:11">
      <c r="A346" s="121" t="str">
        <f>A345</f>
        <v>AVRIL</v>
      </c>
      <c r="B346" s="126" t="s">
        <v>93</v>
      </c>
      <c r="C346" s="32">
        <f t="shared" ref="C346:C349" si="175">+C323</f>
        <v>18800</v>
      </c>
      <c r="D346" s="31"/>
      <c r="E346" s="32">
        <f t="shared" ref="E346:E349" si="176">+D323</f>
        <v>150000</v>
      </c>
      <c r="F346" s="32"/>
      <c r="G346" s="103"/>
      <c r="H346" s="55">
        <f t="shared" ref="H346:H349" si="177">+F323</f>
        <v>0</v>
      </c>
      <c r="I346" s="32">
        <f t="shared" ref="I346:I349" si="178">+E323</f>
        <v>148000</v>
      </c>
      <c r="J346" s="30">
        <f t="shared" si="174"/>
        <v>20800</v>
      </c>
      <c r="K346" s="143" t="b">
        <f t="shared" si="168"/>
        <v>1</v>
      </c>
    </row>
    <row r="347" spans="1:11">
      <c r="A347" s="121" t="str">
        <f t="shared" si="173"/>
        <v>AVRIL</v>
      </c>
      <c r="B347" s="126" t="s">
        <v>29</v>
      </c>
      <c r="C347" s="32">
        <f t="shared" si="175"/>
        <v>236000</v>
      </c>
      <c r="D347" s="31"/>
      <c r="E347" s="32">
        <f t="shared" si="176"/>
        <v>270000</v>
      </c>
      <c r="F347" s="32"/>
      <c r="G347" s="103"/>
      <c r="H347" s="55">
        <f t="shared" si="177"/>
        <v>106700</v>
      </c>
      <c r="I347" s="32">
        <f t="shared" si="178"/>
        <v>388300</v>
      </c>
      <c r="J347" s="30">
        <f t="shared" si="174"/>
        <v>11000</v>
      </c>
      <c r="K347" s="143" t="b">
        <f t="shared" si="168"/>
        <v>1</v>
      </c>
    </row>
    <row r="348" spans="1:11">
      <c r="A348" s="121" t="str">
        <f t="shared" si="173"/>
        <v>AVRIL</v>
      </c>
      <c r="B348" s="127" t="s">
        <v>268</v>
      </c>
      <c r="C348" s="32">
        <f t="shared" si="175"/>
        <v>311700</v>
      </c>
      <c r="D348" s="118"/>
      <c r="E348" s="32">
        <f t="shared" si="176"/>
        <v>30000</v>
      </c>
      <c r="F348" s="51"/>
      <c r="G348" s="137"/>
      <c r="H348" s="55">
        <f t="shared" si="177"/>
        <v>35000</v>
      </c>
      <c r="I348" s="32">
        <f t="shared" si="178"/>
        <v>133000</v>
      </c>
      <c r="J348" s="30">
        <f t="shared" si="174"/>
        <v>173700</v>
      </c>
      <c r="K348" s="143" t="b">
        <f t="shared" si="168"/>
        <v>1</v>
      </c>
    </row>
    <row r="349" spans="1:11">
      <c r="A349" s="121" t="str">
        <f t="shared" si="173"/>
        <v>AVRIL</v>
      </c>
      <c r="B349" s="127" t="s">
        <v>113</v>
      </c>
      <c r="C349" s="32">
        <f t="shared" si="175"/>
        <v>16676</v>
      </c>
      <c r="D349" s="118"/>
      <c r="E349" s="32">
        <f t="shared" si="176"/>
        <v>132000</v>
      </c>
      <c r="F349" s="51"/>
      <c r="G349" s="137"/>
      <c r="H349" s="55">
        <f t="shared" si="177"/>
        <v>0</v>
      </c>
      <c r="I349" s="32">
        <f t="shared" si="178"/>
        <v>124000</v>
      </c>
      <c r="J349" s="30">
        <f t="shared" si="174"/>
        <v>24676</v>
      </c>
      <c r="K349" s="143" t="b">
        <f t="shared" si="168"/>
        <v>1</v>
      </c>
    </row>
    <row r="350" spans="1:11">
      <c r="A350" s="34" t="s">
        <v>60</v>
      </c>
      <c r="B350" s="35"/>
      <c r="C350" s="35"/>
      <c r="D350" s="35"/>
      <c r="E350" s="35"/>
      <c r="F350" s="35"/>
      <c r="G350" s="35"/>
      <c r="H350" s="35"/>
      <c r="I350" s="35"/>
      <c r="J350" s="36"/>
      <c r="K350" s="142"/>
    </row>
    <row r="351" spans="1:11">
      <c r="A351" s="121" t="str">
        <f>A349</f>
        <v>AVRIL</v>
      </c>
      <c r="B351" s="37" t="s">
        <v>61</v>
      </c>
      <c r="C351" s="38">
        <f>+C314</f>
        <v>410707</v>
      </c>
      <c r="D351" s="49"/>
      <c r="E351" s="49">
        <f>D314</f>
        <v>6276700</v>
      </c>
      <c r="F351" s="49"/>
      <c r="G351" s="124"/>
      <c r="H351" s="51">
        <f>+F314</f>
        <v>1508900</v>
      </c>
      <c r="I351" s="125">
        <f>+E314</f>
        <v>1365190</v>
      </c>
      <c r="J351" s="30">
        <f>+SUM(C351:G351)-(H351+I351)</f>
        <v>3813317</v>
      </c>
      <c r="K351" s="143" t="b">
        <f>J351=I314</f>
        <v>1</v>
      </c>
    </row>
    <row r="352" spans="1:11">
      <c r="A352" s="43" t="s">
        <v>62</v>
      </c>
      <c r="B352" s="24"/>
      <c r="C352" s="35"/>
      <c r="D352" s="24"/>
      <c r="E352" s="24"/>
      <c r="F352" s="24"/>
      <c r="G352" s="24"/>
      <c r="H352" s="24"/>
      <c r="I352" s="24"/>
      <c r="J352" s="36"/>
      <c r="K352" s="142"/>
    </row>
    <row r="353" spans="1:16">
      <c r="A353" s="121" t="str">
        <f>+A351</f>
        <v>AVRIL</v>
      </c>
      <c r="B353" s="37" t="s">
        <v>24</v>
      </c>
      <c r="C353" s="124">
        <f>+C312</f>
        <v>19719835</v>
      </c>
      <c r="D353" s="131">
        <f>+G312</f>
        <v>0</v>
      </c>
      <c r="E353" s="49"/>
      <c r="F353" s="49"/>
      <c r="G353" s="49"/>
      <c r="H353" s="51">
        <f>+F312</f>
        <v>2000000</v>
      </c>
      <c r="I353" s="53">
        <f>+E312</f>
        <v>433345</v>
      </c>
      <c r="J353" s="30">
        <f>+SUM(C353:G353)-(H353+I353)</f>
        <v>17286490</v>
      </c>
      <c r="K353" s="143" t="b">
        <f>+J353=I312</f>
        <v>1</v>
      </c>
    </row>
    <row r="354" spans="1:16">
      <c r="A354" s="121" t="str">
        <f t="shared" ref="A354" si="179">+A353</f>
        <v>AVRIL</v>
      </c>
      <c r="B354" s="37" t="s">
        <v>64</v>
      </c>
      <c r="C354" s="124">
        <f>+C313</f>
        <v>14616884</v>
      </c>
      <c r="D354" s="49">
        <f>+G313</f>
        <v>0</v>
      </c>
      <c r="E354" s="48"/>
      <c r="F354" s="48"/>
      <c r="G354" s="48"/>
      <c r="H354" s="32">
        <f>+F313</f>
        <v>4000000</v>
      </c>
      <c r="I354" s="50">
        <f>+E313</f>
        <v>5414733</v>
      </c>
      <c r="J354" s="30">
        <f>SUM(C354:G354)-(H354+I354)</f>
        <v>5202151</v>
      </c>
      <c r="K354" s="143" t="b">
        <f>+J354=I313</f>
        <v>1</v>
      </c>
    </row>
    <row r="355" spans="1:16" ht="15.75">
      <c r="C355" s="140">
        <f>SUM(C338:C354)</f>
        <v>36364485</v>
      </c>
      <c r="I355" s="139">
        <f>SUM(I338:I354)</f>
        <v>9121618</v>
      </c>
      <c r="J355" s="104">
        <f>+SUM(J338:J354)</f>
        <v>27242867</v>
      </c>
      <c r="K355" s="5" t="b">
        <f>J355=I327</f>
        <v>1</v>
      </c>
    </row>
    <row r="356" spans="1:16" ht="15.75">
      <c r="C356" s="140"/>
      <c r="I356" s="139"/>
      <c r="J356" s="104"/>
    </row>
    <row r="357" spans="1:16" ht="15.75">
      <c r="A357" s="157"/>
      <c r="B357" s="157"/>
      <c r="C357" s="158"/>
      <c r="D357" s="157"/>
      <c r="E357" s="157"/>
      <c r="F357" s="157"/>
      <c r="G357" s="157"/>
      <c r="H357" s="157"/>
      <c r="I357" s="159"/>
      <c r="J357" s="160"/>
      <c r="K357" s="157"/>
      <c r="L357" s="161"/>
      <c r="M357" s="161"/>
      <c r="N357" s="161"/>
      <c r="O357" s="161"/>
      <c r="P357" s="157"/>
    </row>
    <row r="359" spans="1:16" ht="15.75">
      <c r="A359" s="6" t="s">
        <v>36</v>
      </c>
      <c r="B359" s="6" t="s">
        <v>1</v>
      </c>
      <c r="C359" s="6">
        <v>44986</v>
      </c>
      <c r="D359" s="7" t="s">
        <v>37</v>
      </c>
      <c r="E359" s="7" t="s">
        <v>38</v>
      </c>
      <c r="F359" s="7" t="s">
        <v>39</v>
      </c>
      <c r="G359" s="7" t="s">
        <v>40</v>
      </c>
      <c r="H359" s="6">
        <v>45016</v>
      </c>
      <c r="I359" s="7" t="s">
        <v>41</v>
      </c>
      <c r="K359" s="45"/>
      <c r="L359" s="45" t="s">
        <v>42</v>
      </c>
      <c r="M359" s="45" t="s">
        <v>43</v>
      </c>
      <c r="N359" s="45" t="s">
        <v>44</v>
      </c>
      <c r="O359" s="45" t="s">
        <v>45</v>
      </c>
    </row>
    <row r="360" spans="1:16" ht="16.5">
      <c r="A360" s="58" t="str">
        <f>K360</f>
        <v>BCI</v>
      </c>
      <c r="B360" s="59" t="s">
        <v>46</v>
      </c>
      <c r="C360" s="61">
        <v>4918207</v>
      </c>
      <c r="D360" s="61">
        <f>+L360</f>
        <v>0</v>
      </c>
      <c r="E360" s="61">
        <f>+N360</f>
        <v>693345</v>
      </c>
      <c r="F360" s="61">
        <f>+M360</f>
        <v>2000000</v>
      </c>
      <c r="G360" s="61">
        <f t="shared" ref="G360:G374" si="180">+O360</f>
        <v>17494973</v>
      </c>
      <c r="H360" s="61">
        <v>19719835</v>
      </c>
      <c r="I360" s="61">
        <f>+C360+D360-E360-F360+G360</f>
        <v>19719835</v>
      </c>
      <c r="J360" s="9">
        <f>I360-H360</f>
        <v>0</v>
      </c>
      <c r="K360" s="45" t="s">
        <v>24</v>
      </c>
      <c r="L360" s="178"/>
      <c r="M360" s="178">
        <v>2000000</v>
      </c>
      <c r="N360" s="178">
        <v>693345</v>
      </c>
      <c r="O360" s="178">
        <v>17494973</v>
      </c>
    </row>
    <row r="361" spans="1:16" ht="16.5">
      <c r="A361" s="58" t="str">
        <f t="shared" ref="A361:A374" si="181">K361</f>
        <v>BCI-Sous Compte</v>
      </c>
      <c r="B361" s="59" t="s">
        <v>46</v>
      </c>
      <c r="C361" s="61">
        <v>2231034</v>
      </c>
      <c r="D361" s="61">
        <f t="shared" ref="D361:D372" si="182">+L361</f>
        <v>0</v>
      </c>
      <c r="E361" s="61">
        <f t="shared" ref="E361:E366" si="183">+N361</f>
        <v>2724801</v>
      </c>
      <c r="F361" s="61">
        <f t="shared" ref="F361:F369" si="184">+M361</f>
        <v>4000000</v>
      </c>
      <c r="G361" s="61">
        <f t="shared" si="180"/>
        <v>19110651</v>
      </c>
      <c r="H361" s="61">
        <v>14616884</v>
      </c>
      <c r="I361" s="61">
        <f>+C361+D361-E361-F361+G361</f>
        <v>14616884</v>
      </c>
      <c r="J361" s="9">
        <f t="shared" ref="J361:J368" si="185">I361-H361</f>
        <v>0</v>
      </c>
      <c r="K361" s="45" t="s">
        <v>148</v>
      </c>
      <c r="L361" s="178"/>
      <c r="M361" s="178">
        <v>4000000</v>
      </c>
      <c r="N361" s="178">
        <v>2724801</v>
      </c>
      <c r="O361" s="178">
        <v>19110651</v>
      </c>
    </row>
    <row r="362" spans="1:16" ht="16.5">
      <c r="A362" s="58" t="str">
        <f t="shared" si="181"/>
        <v>Caisse</v>
      </c>
      <c r="B362" s="59" t="s">
        <v>25</v>
      </c>
      <c r="C362" s="61">
        <v>925495</v>
      </c>
      <c r="D362" s="61">
        <f t="shared" si="182"/>
        <v>6008000</v>
      </c>
      <c r="E362" s="61">
        <f t="shared" si="183"/>
        <v>2280788</v>
      </c>
      <c r="F362" s="61">
        <f t="shared" si="184"/>
        <v>4242000</v>
      </c>
      <c r="G362" s="61">
        <f t="shared" si="180"/>
        <v>0</v>
      </c>
      <c r="H362" s="61">
        <v>410707</v>
      </c>
      <c r="I362" s="61">
        <f>+C362+D362-E362-F362+G362</f>
        <v>410707</v>
      </c>
      <c r="J362" s="101">
        <f t="shared" si="185"/>
        <v>0</v>
      </c>
      <c r="K362" s="45" t="s">
        <v>25</v>
      </c>
      <c r="L362" s="178">
        <v>6008000</v>
      </c>
      <c r="M362" s="178">
        <v>4242000</v>
      </c>
      <c r="N362" s="178">
        <v>2280788</v>
      </c>
      <c r="O362" s="178"/>
    </row>
    <row r="363" spans="1:16" ht="16.5">
      <c r="A363" s="58" t="str">
        <f t="shared" si="181"/>
        <v>Crépin</v>
      </c>
      <c r="B363" s="59" t="s">
        <v>154</v>
      </c>
      <c r="C363" s="61">
        <v>46045</v>
      </c>
      <c r="D363" s="61">
        <f t="shared" si="182"/>
        <v>1304000</v>
      </c>
      <c r="E363" s="61">
        <f t="shared" si="183"/>
        <v>1144025</v>
      </c>
      <c r="F363" s="61">
        <f t="shared" si="184"/>
        <v>0</v>
      </c>
      <c r="G363" s="61">
        <f t="shared" si="180"/>
        <v>0</v>
      </c>
      <c r="H363" s="61">
        <v>206020</v>
      </c>
      <c r="I363" s="61">
        <f>+C363+D363-E363-F363+G363</f>
        <v>206020</v>
      </c>
      <c r="J363" s="9">
        <f t="shared" si="185"/>
        <v>0</v>
      </c>
      <c r="K363" s="45" t="s">
        <v>47</v>
      </c>
      <c r="L363" s="178">
        <v>1304000</v>
      </c>
      <c r="M363" s="178">
        <v>0</v>
      </c>
      <c r="N363" s="178">
        <v>1144025</v>
      </c>
      <c r="O363" s="178"/>
    </row>
    <row r="364" spans="1:16" ht="16.5">
      <c r="A364" s="58" t="str">
        <f t="shared" si="181"/>
        <v>D58</v>
      </c>
      <c r="B364" s="59" t="s">
        <v>4</v>
      </c>
      <c r="C364" s="61">
        <v>107500</v>
      </c>
      <c r="D364" s="61">
        <f t="shared" si="182"/>
        <v>692000</v>
      </c>
      <c r="E364" s="61">
        <f t="shared" si="183"/>
        <v>694400</v>
      </c>
      <c r="F364" s="61">
        <f t="shared" si="184"/>
        <v>0</v>
      </c>
      <c r="G364" s="61">
        <f t="shared" si="180"/>
        <v>0</v>
      </c>
      <c r="H364" s="61">
        <v>105100</v>
      </c>
      <c r="I364" s="61">
        <f>+C364+D364-E364-F364+G364</f>
        <v>105100</v>
      </c>
      <c r="J364" s="9">
        <f t="shared" si="185"/>
        <v>0</v>
      </c>
      <c r="K364" s="45" t="s">
        <v>269</v>
      </c>
      <c r="L364" s="178">
        <v>692000</v>
      </c>
      <c r="M364" s="178">
        <v>0</v>
      </c>
      <c r="N364" s="178">
        <v>694400</v>
      </c>
      <c r="O364" s="178"/>
    </row>
    <row r="365" spans="1:16" ht="16.5">
      <c r="A365" s="58" t="str">
        <f t="shared" si="181"/>
        <v>Donald</v>
      </c>
      <c r="B365" s="59" t="s">
        <v>154</v>
      </c>
      <c r="C365" s="61">
        <v>8650</v>
      </c>
      <c r="D365" s="61">
        <f t="shared" si="182"/>
        <v>130000</v>
      </c>
      <c r="E365" s="61">
        <f t="shared" si="183"/>
        <v>119300</v>
      </c>
      <c r="F365" s="61">
        <f t="shared" si="184"/>
        <v>0</v>
      </c>
      <c r="G365" s="61">
        <f t="shared" si="180"/>
        <v>0</v>
      </c>
      <c r="H365" s="61">
        <v>19350</v>
      </c>
      <c r="I365" s="61">
        <f t="shared" ref="I365:I366" si="186">+C365+D365-E365-F365+G365</f>
        <v>19350</v>
      </c>
      <c r="J365" s="9">
        <f t="shared" si="185"/>
        <v>0</v>
      </c>
      <c r="K365" s="45" t="s">
        <v>255</v>
      </c>
      <c r="L365" s="178">
        <v>130000</v>
      </c>
      <c r="M365" s="178">
        <v>0</v>
      </c>
      <c r="N365" s="178">
        <v>119300</v>
      </c>
      <c r="O365" s="178"/>
    </row>
    <row r="366" spans="1:16" ht="16.5">
      <c r="A366" s="58" t="str">
        <f t="shared" si="181"/>
        <v>Evariste</v>
      </c>
      <c r="B366" s="59" t="s">
        <v>155</v>
      </c>
      <c r="C366" s="61">
        <v>18325</v>
      </c>
      <c r="D366" s="61">
        <f t="shared" si="182"/>
        <v>164000</v>
      </c>
      <c r="E366" s="61">
        <f t="shared" si="183"/>
        <v>156900</v>
      </c>
      <c r="F366" s="61">
        <f t="shared" si="184"/>
        <v>0</v>
      </c>
      <c r="G366" s="61">
        <f t="shared" si="180"/>
        <v>0</v>
      </c>
      <c r="H366" s="61">
        <v>25425</v>
      </c>
      <c r="I366" s="61">
        <f t="shared" si="186"/>
        <v>25425</v>
      </c>
      <c r="J366" s="9">
        <f t="shared" si="185"/>
        <v>0</v>
      </c>
      <c r="K366" s="45" t="s">
        <v>31</v>
      </c>
      <c r="L366" s="178">
        <v>164000</v>
      </c>
      <c r="M366" s="178">
        <v>0</v>
      </c>
      <c r="N366" s="178">
        <v>156900</v>
      </c>
      <c r="O366" s="178"/>
    </row>
    <row r="367" spans="1:16" ht="16.5">
      <c r="A367" s="58" t="str">
        <f t="shared" si="181"/>
        <v>I55S</v>
      </c>
      <c r="B367" s="115" t="s">
        <v>4</v>
      </c>
      <c r="C367" s="117">
        <v>233614</v>
      </c>
      <c r="D367" s="117">
        <f t="shared" si="182"/>
        <v>0</v>
      </c>
      <c r="E367" s="117">
        <f>+N367</f>
        <v>0</v>
      </c>
      <c r="F367" s="117">
        <f t="shared" si="184"/>
        <v>0</v>
      </c>
      <c r="G367" s="117">
        <f t="shared" si="180"/>
        <v>0</v>
      </c>
      <c r="H367" s="117">
        <v>233614</v>
      </c>
      <c r="I367" s="117">
        <f>+C367+D367-E367-F367+G367</f>
        <v>233614</v>
      </c>
      <c r="J367" s="9">
        <f t="shared" si="185"/>
        <v>0</v>
      </c>
      <c r="K367" s="45" t="s">
        <v>84</v>
      </c>
      <c r="L367" s="178"/>
      <c r="M367" s="178"/>
      <c r="N367" s="178"/>
      <c r="O367" s="178"/>
    </row>
    <row r="368" spans="1:16" ht="16.5">
      <c r="A368" s="58" t="str">
        <f t="shared" si="181"/>
        <v>I73X</v>
      </c>
      <c r="B368" s="115" t="s">
        <v>4</v>
      </c>
      <c r="C368" s="117">
        <v>249769</v>
      </c>
      <c r="D368" s="117">
        <f t="shared" si="182"/>
        <v>0</v>
      </c>
      <c r="E368" s="117">
        <f>+N368</f>
        <v>0</v>
      </c>
      <c r="F368" s="117">
        <f t="shared" si="184"/>
        <v>0</v>
      </c>
      <c r="G368" s="117">
        <f t="shared" si="180"/>
        <v>0</v>
      </c>
      <c r="H368" s="117">
        <v>249769</v>
      </c>
      <c r="I368" s="117">
        <f t="shared" ref="I368:I372" si="187">+C368+D368-E368-F368+G368</f>
        <v>249769</v>
      </c>
      <c r="J368" s="9">
        <f t="shared" si="185"/>
        <v>0</v>
      </c>
      <c r="K368" s="45" t="s">
        <v>83</v>
      </c>
      <c r="L368" s="178"/>
      <c r="M368" s="178"/>
      <c r="N368" s="178"/>
      <c r="O368" s="178"/>
    </row>
    <row r="369" spans="1:15" ht="16.5">
      <c r="A369" s="58" t="str">
        <f t="shared" si="181"/>
        <v>Grace</v>
      </c>
      <c r="B369" s="59" t="s">
        <v>2</v>
      </c>
      <c r="C369" s="181">
        <v>11250</v>
      </c>
      <c r="D369" s="61">
        <f t="shared" si="182"/>
        <v>363000</v>
      </c>
      <c r="E369" s="61">
        <f t="shared" ref="E369" si="188">+N369</f>
        <v>182650</v>
      </c>
      <c r="F369" s="61">
        <f t="shared" si="184"/>
        <v>25000</v>
      </c>
      <c r="G369" s="61">
        <f t="shared" si="180"/>
        <v>0</v>
      </c>
      <c r="H369" s="181">
        <v>166600</v>
      </c>
      <c r="I369" s="181">
        <f t="shared" si="187"/>
        <v>166600</v>
      </c>
      <c r="J369" s="182">
        <f>I369-H369</f>
        <v>0</v>
      </c>
      <c r="K369" s="183" t="s">
        <v>143</v>
      </c>
      <c r="L369" s="178">
        <v>363000</v>
      </c>
      <c r="M369" s="178">
        <v>25000</v>
      </c>
      <c r="N369" s="178">
        <v>182650</v>
      </c>
      <c r="O369" s="178"/>
    </row>
    <row r="370" spans="1:15" ht="16.5">
      <c r="A370" s="58" t="str">
        <f t="shared" si="181"/>
        <v>Hurielle</v>
      </c>
      <c r="B370" s="97" t="s">
        <v>154</v>
      </c>
      <c r="C370" s="61">
        <v>39355</v>
      </c>
      <c r="D370" s="61">
        <f t="shared" si="182"/>
        <v>185000</v>
      </c>
      <c r="E370" s="61">
        <f>+N370</f>
        <v>188350</v>
      </c>
      <c r="F370" s="61">
        <f>+M370</f>
        <v>8000</v>
      </c>
      <c r="G370" s="61">
        <f t="shared" si="180"/>
        <v>0</v>
      </c>
      <c r="H370" s="61">
        <v>28005</v>
      </c>
      <c r="I370" s="61">
        <f t="shared" si="187"/>
        <v>28005</v>
      </c>
      <c r="J370" s="9">
        <f t="shared" ref="J370" si="189">I370-H370</f>
        <v>0</v>
      </c>
      <c r="K370" s="45" t="s">
        <v>197</v>
      </c>
      <c r="L370" s="178">
        <v>185000</v>
      </c>
      <c r="M370" s="178">
        <v>8000</v>
      </c>
      <c r="N370" s="178">
        <v>188350</v>
      </c>
      <c r="O370" s="178"/>
    </row>
    <row r="371" spans="1:15" ht="16.5">
      <c r="A371" s="58" t="str">
        <f t="shared" si="181"/>
        <v>Merveille</v>
      </c>
      <c r="B371" s="59" t="s">
        <v>2</v>
      </c>
      <c r="C371" s="181">
        <v>14300</v>
      </c>
      <c r="D371" s="61">
        <f t="shared" si="182"/>
        <v>35000</v>
      </c>
      <c r="E371" s="61">
        <f t="shared" ref="E371:E374" si="190">+N371</f>
        <v>30500</v>
      </c>
      <c r="F371" s="61">
        <f t="shared" ref="F371:F374" si="191">+M371</f>
        <v>0</v>
      </c>
      <c r="G371" s="61">
        <f t="shared" si="180"/>
        <v>0</v>
      </c>
      <c r="H371" s="181">
        <v>18800</v>
      </c>
      <c r="I371" s="181">
        <f t="shared" si="187"/>
        <v>18800</v>
      </c>
      <c r="J371" s="182">
        <f>I371-H371</f>
        <v>0</v>
      </c>
      <c r="K371" s="183" t="s">
        <v>93</v>
      </c>
      <c r="L371" s="178">
        <v>35000</v>
      </c>
      <c r="M371" s="178">
        <v>0</v>
      </c>
      <c r="N371" s="178">
        <v>30500</v>
      </c>
      <c r="O371" s="178"/>
    </row>
    <row r="372" spans="1:15" ht="16.5">
      <c r="A372" s="58" t="str">
        <f t="shared" si="181"/>
        <v>P29</v>
      </c>
      <c r="B372" s="97" t="s">
        <v>4</v>
      </c>
      <c r="C372" s="61">
        <v>100600</v>
      </c>
      <c r="D372" s="61">
        <f t="shared" si="182"/>
        <v>589000</v>
      </c>
      <c r="E372" s="61">
        <f t="shared" si="190"/>
        <v>453600</v>
      </c>
      <c r="F372" s="61">
        <f t="shared" si="191"/>
        <v>0</v>
      </c>
      <c r="G372" s="61">
        <f t="shared" si="180"/>
        <v>0</v>
      </c>
      <c r="H372" s="61">
        <v>236000</v>
      </c>
      <c r="I372" s="61">
        <f t="shared" si="187"/>
        <v>236000</v>
      </c>
      <c r="J372" s="9">
        <f t="shared" ref="J372:J373" si="192">I372-H372</f>
        <v>0</v>
      </c>
      <c r="K372" s="45" t="s">
        <v>29</v>
      </c>
      <c r="L372" s="178">
        <v>589000</v>
      </c>
      <c r="M372" s="178">
        <v>0</v>
      </c>
      <c r="N372" s="178">
        <v>453600</v>
      </c>
      <c r="O372" s="178"/>
    </row>
    <row r="373" spans="1:15" ht="16.5">
      <c r="A373" s="58" t="str">
        <f t="shared" si="181"/>
        <v>T73</v>
      </c>
      <c r="B373" s="59" t="s">
        <v>4</v>
      </c>
      <c r="C373" s="61">
        <v>208300</v>
      </c>
      <c r="D373" s="61">
        <f>+L373</f>
        <v>805000</v>
      </c>
      <c r="E373" s="61">
        <f t="shared" si="190"/>
        <v>701600</v>
      </c>
      <c r="F373" s="61">
        <f t="shared" si="191"/>
        <v>0</v>
      </c>
      <c r="G373" s="61">
        <f t="shared" si="180"/>
        <v>0</v>
      </c>
      <c r="H373" s="61">
        <v>311700</v>
      </c>
      <c r="I373" s="61">
        <f>+C373+D373-E373-F373+G373</f>
        <v>311700</v>
      </c>
      <c r="J373" s="9">
        <f t="shared" si="192"/>
        <v>0</v>
      </c>
      <c r="K373" s="45" t="s">
        <v>268</v>
      </c>
      <c r="L373" s="178">
        <v>805000</v>
      </c>
      <c r="M373" s="178">
        <v>0</v>
      </c>
      <c r="N373" s="178">
        <v>701600</v>
      </c>
      <c r="O373" s="178"/>
    </row>
    <row r="374" spans="1:15" ht="16.5">
      <c r="A374" s="58" t="str">
        <f t="shared" si="181"/>
        <v>Tiffany</v>
      </c>
      <c r="B374" s="59" t="s">
        <v>2</v>
      </c>
      <c r="C374" s="61">
        <v>26676</v>
      </c>
      <c r="D374" s="61">
        <f t="shared" ref="D374" si="193">+L374</f>
        <v>0</v>
      </c>
      <c r="E374" s="61">
        <f t="shared" si="190"/>
        <v>10000</v>
      </c>
      <c r="F374" s="61">
        <f t="shared" si="191"/>
        <v>0</v>
      </c>
      <c r="G374" s="61">
        <f t="shared" si="180"/>
        <v>0</v>
      </c>
      <c r="H374" s="61">
        <v>16676</v>
      </c>
      <c r="I374" s="61">
        <f>+C374+D374-E374-F374+G374</f>
        <v>16676</v>
      </c>
      <c r="J374" s="9">
        <f>I374-H374</f>
        <v>0</v>
      </c>
      <c r="K374" s="45" t="s">
        <v>113</v>
      </c>
      <c r="L374" s="178">
        <v>0</v>
      </c>
      <c r="M374" s="178">
        <v>0</v>
      </c>
      <c r="N374" s="178">
        <v>10000</v>
      </c>
      <c r="O374" s="178"/>
    </row>
    <row r="375" spans="1:15" ht="16.5">
      <c r="A375" s="10" t="s">
        <v>50</v>
      </c>
      <c r="B375" s="11"/>
      <c r="C375" s="12">
        <f t="shared" ref="C375:I375" si="194">SUM(C360:C374)</f>
        <v>9139120</v>
      </c>
      <c r="D375" s="57">
        <f t="shared" si="194"/>
        <v>10275000</v>
      </c>
      <c r="E375" s="57">
        <f t="shared" si="194"/>
        <v>9380259</v>
      </c>
      <c r="F375" s="57">
        <f t="shared" si="194"/>
        <v>10275000</v>
      </c>
      <c r="G375" s="57">
        <f t="shared" si="194"/>
        <v>36605624</v>
      </c>
      <c r="H375" s="57">
        <f t="shared" si="194"/>
        <v>36364485</v>
      </c>
      <c r="I375" s="57">
        <f t="shared" si="194"/>
        <v>36364485</v>
      </c>
      <c r="J375" s="9">
        <f>I375-H375</f>
        <v>0</v>
      </c>
      <c r="K375" s="3"/>
      <c r="L375" s="47">
        <f>+SUM(L360:L374)</f>
        <v>10275000</v>
      </c>
      <c r="M375" s="47">
        <f>+SUM(M360:M374)</f>
        <v>10275000</v>
      </c>
      <c r="N375" s="47">
        <f>+SUM(N360:N374)</f>
        <v>9380259</v>
      </c>
      <c r="O375" s="47">
        <f>+SUM(O360:O374)</f>
        <v>36605624</v>
      </c>
    </row>
    <row r="376" spans="1:15" ht="16.5">
      <c r="A376" s="10"/>
      <c r="B376" s="11"/>
      <c r="C376" s="12"/>
      <c r="D376" s="13"/>
      <c r="E376" s="12"/>
      <c r="F376" s="13"/>
      <c r="G376" s="12"/>
      <c r="H376" s="12"/>
      <c r="I376" s="133" t="b">
        <f>I375=D378</f>
        <v>1</v>
      </c>
      <c r="J376" s="9">
        <f>H375-I375</f>
        <v>0</v>
      </c>
      <c r="L376" s="5"/>
      <c r="M376" s="5"/>
      <c r="N376" s="5"/>
      <c r="O376" s="5"/>
    </row>
    <row r="377" spans="1:15" ht="16.5">
      <c r="A377" s="10" t="s">
        <v>280</v>
      </c>
      <c r="B377" s="11" t="s">
        <v>190</v>
      </c>
      <c r="C377" s="12" t="s">
        <v>281</v>
      </c>
      <c r="D377" s="12" t="s">
        <v>282</v>
      </c>
      <c r="E377" s="12" t="s">
        <v>51</v>
      </c>
      <c r="F377" s="12"/>
      <c r="G377" s="12">
        <f>+D375-F375</f>
        <v>0</v>
      </c>
      <c r="H377" s="12"/>
      <c r="I377" s="207"/>
    </row>
    <row r="378" spans="1:15" ht="16.5">
      <c r="A378" s="14">
        <f>C375</f>
        <v>9139120</v>
      </c>
      <c r="B378" s="15">
        <f>G375</f>
        <v>36605624</v>
      </c>
      <c r="C378" s="12">
        <f>E375</f>
        <v>9380259</v>
      </c>
      <c r="D378" s="12">
        <f>A378+B378-C378</f>
        <v>36364485</v>
      </c>
      <c r="E378" s="13">
        <f>I375-D378</f>
        <v>0</v>
      </c>
      <c r="F378" s="12"/>
      <c r="G378" s="12"/>
      <c r="H378" s="12"/>
      <c r="I378" s="12"/>
    </row>
    <row r="379" spans="1:15" ht="16.5">
      <c r="A379" s="14"/>
      <c r="B379" s="15"/>
      <c r="C379" s="12"/>
      <c r="D379" s="12"/>
      <c r="E379" s="13"/>
      <c r="F379" s="12"/>
      <c r="G379" s="12"/>
      <c r="H379" s="12"/>
      <c r="I379" s="12"/>
    </row>
    <row r="380" spans="1:15">
      <c r="A380" s="16" t="s">
        <v>52</v>
      </c>
      <c r="B380" s="16"/>
      <c r="C380" s="16"/>
      <c r="D380" s="17"/>
      <c r="E380" s="17"/>
      <c r="F380" s="17"/>
      <c r="G380" s="17"/>
      <c r="H380" s="17"/>
      <c r="I380" s="17"/>
    </row>
    <row r="381" spans="1:15">
      <c r="A381" s="18" t="s">
        <v>283</v>
      </c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5">
      <c r="A382" s="19"/>
      <c r="B382" s="17"/>
      <c r="C382" s="20"/>
      <c r="D382" s="20"/>
      <c r="E382" s="20"/>
      <c r="F382" s="20"/>
      <c r="G382" s="20"/>
      <c r="H382" s="17"/>
      <c r="I382" s="17"/>
    </row>
    <row r="383" spans="1:15">
      <c r="A383" s="166" t="s">
        <v>53</v>
      </c>
      <c r="B383" s="168" t="s">
        <v>54</v>
      </c>
      <c r="C383" s="170" t="s">
        <v>284</v>
      </c>
      <c r="D383" s="171" t="s">
        <v>55</v>
      </c>
      <c r="E383" s="172"/>
      <c r="F383" s="172"/>
      <c r="G383" s="173"/>
      <c r="H383" s="174" t="s">
        <v>56</v>
      </c>
      <c r="I383" s="162" t="s">
        <v>57</v>
      </c>
      <c r="J383" s="205"/>
    </row>
    <row r="384" spans="1:15" ht="25.5">
      <c r="A384" s="167"/>
      <c r="B384" s="169"/>
      <c r="C384" s="22"/>
      <c r="D384" s="21" t="s">
        <v>24</v>
      </c>
      <c r="E384" s="21" t="s">
        <v>25</v>
      </c>
      <c r="F384" s="22" t="s">
        <v>123</v>
      </c>
      <c r="G384" s="21" t="s">
        <v>58</v>
      </c>
      <c r="H384" s="175"/>
      <c r="I384" s="163"/>
      <c r="J384" s="165" t="s">
        <v>285</v>
      </c>
      <c r="K384" s="142"/>
    </row>
    <row r="385" spans="1:11">
      <c r="A385" s="23"/>
      <c r="B385" s="24" t="s">
        <v>59</v>
      </c>
      <c r="C385" s="25"/>
      <c r="D385" s="25"/>
      <c r="E385" s="25"/>
      <c r="F385" s="25"/>
      <c r="G385" s="25"/>
      <c r="H385" s="25"/>
      <c r="I385" s="26"/>
      <c r="J385" s="165"/>
      <c r="K385" s="142"/>
    </row>
    <row r="386" spans="1:11">
      <c r="A386" s="121" t="s">
        <v>120</v>
      </c>
      <c r="B386" s="126" t="s">
        <v>47</v>
      </c>
      <c r="C386" s="32">
        <f>+C363</f>
        <v>46045</v>
      </c>
      <c r="D386" s="31"/>
      <c r="E386" s="32">
        <f>+D363</f>
        <v>1304000</v>
      </c>
      <c r="F386" s="32"/>
      <c r="G386" s="32"/>
      <c r="H386" s="55">
        <f>+F363</f>
        <v>0</v>
      </c>
      <c r="I386" s="32">
        <f>+E363</f>
        <v>1144025</v>
      </c>
      <c r="J386" s="30">
        <f t="shared" ref="J386:J389" si="195">+SUM(C386:G386)-(H386+I386)</f>
        <v>206020</v>
      </c>
      <c r="K386" s="143" t="b">
        <f t="shared" ref="K386:K397" si="196">J386=I363</f>
        <v>1</v>
      </c>
    </row>
    <row r="387" spans="1:11">
      <c r="A387" s="121" t="str">
        <f>+A386</f>
        <v>MARS</v>
      </c>
      <c r="B387" s="126" t="s">
        <v>269</v>
      </c>
      <c r="C387" s="32">
        <f t="shared" ref="C387:C389" si="197">+C364</f>
        <v>107500</v>
      </c>
      <c r="D387" s="31"/>
      <c r="E387" s="32">
        <f t="shared" ref="E387:E389" si="198">+D364</f>
        <v>692000</v>
      </c>
      <c r="F387" s="32"/>
      <c r="G387" s="32"/>
      <c r="H387" s="55">
        <f t="shared" ref="H387:H389" si="199">+F364</f>
        <v>0</v>
      </c>
      <c r="I387" s="32">
        <f t="shared" ref="I387:I389" si="200">+E364</f>
        <v>694400</v>
      </c>
      <c r="J387" s="30">
        <f t="shared" si="195"/>
        <v>105100</v>
      </c>
      <c r="K387" s="143" t="b">
        <f t="shared" si="196"/>
        <v>1</v>
      </c>
    </row>
    <row r="388" spans="1:11">
      <c r="A388" s="121" t="str">
        <f t="shared" ref="A388:A397" si="201">+A387</f>
        <v>MARS</v>
      </c>
      <c r="B388" s="126" t="s">
        <v>255</v>
      </c>
      <c r="C388" s="32">
        <f t="shared" si="197"/>
        <v>8650</v>
      </c>
      <c r="D388" s="31"/>
      <c r="E388" s="32">
        <f t="shared" si="198"/>
        <v>130000</v>
      </c>
      <c r="F388" s="32"/>
      <c r="G388" s="32"/>
      <c r="H388" s="55">
        <f t="shared" si="199"/>
        <v>0</v>
      </c>
      <c r="I388" s="32">
        <f t="shared" si="200"/>
        <v>119300</v>
      </c>
      <c r="J388" s="30">
        <f t="shared" si="195"/>
        <v>19350</v>
      </c>
      <c r="K388" s="143" t="b">
        <f t="shared" si="196"/>
        <v>1</v>
      </c>
    </row>
    <row r="389" spans="1:11">
      <c r="A389" s="121" t="str">
        <f t="shared" si="201"/>
        <v>MARS</v>
      </c>
      <c r="B389" s="126" t="s">
        <v>31</v>
      </c>
      <c r="C389" s="32">
        <f t="shared" si="197"/>
        <v>18325</v>
      </c>
      <c r="D389" s="31"/>
      <c r="E389" s="32">
        <f t="shared" si="198"/>
        <v>164000</v>
      </c>
      <c r="F389" s="32"/>
      <c r="G389" s="32"/>
      <c r="H389" s="55">
        <f t="shared" si="199"/>
        <v>0</v>
      </c>
      <c r="I389" s="32">
        <f t="shared" si="200"/>
        <v>156900</v>
      </c>
      <c r="J389" s="30">
        <f t="shared" si="195"/>
        <v>25425</v>
      </c>
      <c r="K389" s="143" t="b">
        <f t="shared" si="196"/>
        <v>1</v>
      </c>
    </row>
    <row r="390" spans="1:11">
      <c r="A390" s="121" t="str">
        <f t="shared" si="201"/>
        <v>MARS</v>
      </c>
      <c r="B390" s="128" t="s">
        <v>84</v>
      </c>
      <c r="C390" s="119">
        <f>+C367</f>
        <v>233614</v>
      </c>
      <c r="D390" s="122"/>
      <c r="E390" s="119">
        <f>+D367</f>
        <v>0</v>
      </c>
      <c r="F390" s="136"/>
      <c r="G390" s="136"/>
      <c r="H390" s="154">
        <f>+F367</f>
        <v>0</v>
      </c>
      <c r="I390" s="119">
        <f>+E367</f>
        <v>0</v>
      </c>
      <c r="J390" s="120">
        <f>+SUM(C390:G390)-(H390+I390)</f>
        <v>233614</v>
      </c>
      <c r="K390" s="143" t="b">
        <f t="shared" si="196"/>
        <v>1</v>
      </c>
    </row>
    <row r="391" spans="1:11">
      <c r="A391" s="121" t="str">
        <f t="shared" si="201"/>
        <v>MARS</v>
      </c>
      <c r="B391" s="128" t="s">
        <v>83</v>
      </c>
      <c r="C391" s="119">
        <f>+C368</f>
        <v>249769</v>
      </c>
      <c r="D391" s="122"/>
      <c r="E391" s="119">
        <f>+D368</f>
        <v>0</v>
      </c>
      <c r="F391" s="136"/>
      <c r="G391" s="136"/>
      <c r="H391" s="154">
        <f>+F368</f>
        <v>0</v>
      </c>
      <c r="I391" s="119">
        <f>+E368</f>
        <v>0</v>
      </c>
      <c r="J391" s="120">
        <f t="shared" ref="J391:J397" si="202">+SUM(C391:G391)-(H391+I391)</f>
        <v>249769</v>
      </c>
      <c r="K391" s="143" t="b">
        <f t="shared" si="196"/>
        <v>1</v>
      </c>
    </row>
    <row r="392" spans="1:11">
      <c r="A392" s="121" t="str">
        <f t="shared" si="201"/>
        <v>MARS</v>
      </c>
      <c r="B392" s="126" t="s">
        <v>143</v>
      </c>
      <c r="C392" s="32">
        <f>+C369</f>
        <v>11250</v>
      </c>
      <c r="D392" s="31"/>
      <c r="E392" s="32">
        <f>+D369</f>
        <v>363000</v>
      </c>
      <c r="F392" s="32"/>
      <c r="G392" s="103"/>
      <c r="H392" s="55">
        <f>+F369</f>
        <v>25000</v>
      </c>
      <c r="I392" s="32">
        <f>+E369</f>
        <v>182650</v>
      </c>
      <c r="J392" s="30">
        <f t="shared" si="202"/>
        <v>166600</v>
      </c>
      <c r="K392" s="143" t="b">
        <f t="shared" si="196"/>
        <v>1</v>
      </c>
    </row>
    <row r="393" spans="1:11">
      <c r="A393" s="121" t="str">
        <f t="shared" si="201"/>
        <v>MARS</v>
      </c>
      <c r="B393" s="126" t="s">
        <v>197</v>
      </c>
      <c r="C393" s="32">
        <f>+C370</f>
        <v>39355</v>
      </c>
      <c r="D393" s="31"/>
      <c r="E393" s="32">
        <f>+D370</f>
        <v>185000</v>
      </c>
      <c r="F393" s="32"/>
      <c r="G393" s="103"/>
      <c r="H393" s="55">
        <f>+F370</f>
        <v>8000</v>
      </c>
      <c r="I393" s="32">
        <f>+E370</f>
        <v>188350</v>
      </c>
      <c r="J393" s="30">
        <f t="shared" si="202"/>
        <v>28005</v>
      </c>
      <c r="K393" s="143" t="b">
        <f t="shared" si="196"/>
        <v>1</v>
      </c>
    </row>
    <row r="394" spans="1:11">
      <c r="A394" s="121" t="str">
        <f>A393</f>
        <v>MARS</v>
      </c>
      <c r="B394" s="126" t="s">
        <v>93</v>
      </c>
      <c r="C394" s="32">
        <f t="shared" ref="C394:C397" si="203">+C371</f>
        <v>14300</v>
      </c>
      <c r="D394" s="31"/>
      <c r="E394" s="32">
        <f t="shared" ref="E394:E397" si="204">+D371</f>
        <v>35000</v>
      </c>
      <c r="F394" s="32"/>
      <c r="G394" s="103"/>
      <c r="H394" s="55">
        <f t="shared" ref="H394:H397" si="205">+F371</f>
        <v>0</v>
      </c>
      <c r="I394" s="32">
        <f t="shared" ref="I394:I397" si="206">+E371</f>
        <v>30500</v>
      </c>
      <c r="J394" s="30">
        <f t="shared" si="202"/>
        <v>18800</v>
      </c>
      <c r="K394" s="143" t="b">
        <f t="shared" si="196"/>
        <v>1</v>
      </c>
    </row>
    <row r="395" spans="1:11">
      <c r="A395" s="121" t="str">
        <f t="shared" si="201"/>
        <v>MARS</v>
      </c>
      <c r="B395" s="126" t="s">
        <v>29</v>
      </c>
      <c r="C395" s="32">
        <f t="shared" si="203"/>
        <v>100600</v>
      </c>
      <c r="D395" s="31"/>
      <c r="E395" s="32">
        <f t="shared" si="204"/>
        <v>589000</v>
      </c>
      <c r="F395" s="32"/>
      <c r="G395" s="103"/>
      <c r="H395" s="55">
        <f t="shared" si="205"/>
        <v>0</v>
      </c>
      <c r="I395" s="32">
        <f t="shared" si="206"/>
        <v>453600</v>
      </c>
      <c r="J395" s="30">
        <f t="shared" si="202"/>
        <v>236000</v>
      </c>
      <c r="K395" s="143" t="b">
        <f t="shared" si="196"/>
        <v>1</v>
      </c>
    </row>
    <row r="396" spans="1:11">
      <c r="A396" s="121" t="str">
        <f t="shared" si="201"/>
        <v>MARS</v>
      </c>
      <c r="B396" s="127" t="s">
        <v>268</v>
      </c>
      <c r="C396" s="32">
        <f t="shared" si="203"/>
        <v>208300</v>
      </c>
      <c r="D396" s="118"/>
      <c r="E396" s="32">
        <f t="shared" si="204"/>
        <v>805000</v>
      </c>
      <c r="F396" s="51"/>
      <c r="G396" s="137"/>
      <c r="H396" s="55">
        <f t="shared" si="205"/>
        <v>0</v>
      </c>
      <c r="I396" s="32">
        <f t="shared" si="206"/>
        <v>701600</v>
      </c>
      <c r="J396" s="30">
        <f t="shared" si="202"/>
        <v>311700</v>
      </c>
      <c r="K396" s="143" t="b">
        <f t="shared" si="196"/>
        <v>1</v>
      </c>
    </row>
    <row r="397" spans="1:11">
      <c r="A397" s="121" t="str">
        <f t="shared" si="201"/>
        <v>MARS</v>
      </c>
      <c r="B397" s="127" t="s">
        <v>113</v>
      </c>
      <c r="C397" s="32">
        <f t="shared" si="203"/>
        <v>26676</v>
      </c>
      <c r="D397" s="118"/>
      <c r="E397" s="32">
        <f t="shared" si="204"/>
        <v>0</v>
      </c>
      <c r="F397" s="51"/>
      <c r="G397" s="137"/>
      <c r="H397" s="55">
        <f t="shared" si="205"/>
        <v>0</v>
      </c>
      <c r="I397" s="32">
        <f t="shared" si="206"/>
        <v>10000</v>
      </c>
      <c r="J397" s="30">
        <f t="shared" si="202"/>
        <v>16676</v>
      </c>
      <c r="K397" s="143" t="b">
        <f t="shared" si="196"/>
        <v>1</v>
      </c>
    </row>
    <row r="398" spans="1:11">
      <c r="A398" s="34" t="s">
        <v>60</v>
      </c>
      <c r="B398" s="35"/>
      <c r="C398" s="35"/>
      <c r="D398" s="35"/>
      <c r="E398" s="35"/>
      <c r="F398" s="35"/>
      <c r="G398" s="35"/>
      <c r="H398" s="35"/>
      <c r="I398" s="35"/>
      <c r="J398" s="36"/>
      <c r="K398" s="142"/>
    </row>
    <row r="399" spans="1:11">
      <c r="A399" s="121" t="str">
        <f>A397</f>
        <v>MARS</v>
      </c>
      <c r="B399" s="37" t="s">
        <v>61</v>
      </c>
      <c r="C399" s="38">
        <f>+C362</f>
        <v>925495</v>
      </c>
      <c r="D399" s="49"/>
      <c r="E399" s="49">
        <f>D362</f>
        <v>6008000</v>
      </c>
      <c r="F399" s="49"/>
      <c r="G399" s="124"/>
      <c r="H399" s="51">
        <f>+F362</f>
        <v>4242000</v>
      </c>
      <c r="I399" s="125">
        <f>+E362</f>
        <v>2280788</v>
      </c>
      <c r="J399" s="30">
        <f>+SUM(C399:G399)-(H399+I399)</f>
        <v>410707</v>
      </c>
      <c r="K399" s="143" t="b">
        <f>J399=I362</f>
        <v>1</v>
      </c>
    </row>
    <row r="400" spans="1:11">
      <c r="A400" s="43" t="s">
        <v>62</v>
      </c>
      <c r="B400" s="24"/>
      <c r="C400" s="35"/>
      <c r="D400" s="24"/>
      <c r="E400" s="24"/>
      <c r="F400" s="24"/>
      <c r="G400" s="24"/>
      <c r="H400" s="24"/>
      <c r="I400" s="24"/>
      <c r="J400" s="36"/>
      <c r="K400" s="142"/>
    </row>
    <row r="401" spans="1:16">
      <c r="A401" s="121" t="str">
        <f>+A399</f>
        <v>MARS</v>
      </c>
      <c r="B401" s="37" t="s">
        <v>24</v>
      </c>
      <c r="C401" s="124">
        <f>+C360</f>
        <v>4918207</v>
      </c>
      <c r="D401" s="131">
        <f>+G360</f>
        <v>17494973</v>
      </c>
      <c r="E401" s="49"/>
      <c r="F401" s="49"/>
      <c r="G401" s="49"/>
      <c r="H401" s="51">
        <f>+F360</f>
        <v>2000000</v>
      </c>
      <c r="I401" s="53">
        <f>+E360</f>
        <v>693345</v>
      </c>
      <c r="J401" s="30">
        <f>+SUM(C401:G401)-(H401+I401)</f>
        <v>19719835</v>
      </c>
      <c r="K401" s="143" t="b">
        <f>+J401=I360</f>
        <v>1</v>
      </c>
    </row>
    <row r="402" spans="1:16">
      <c r="A402" s="121" t="str">
        <f t="shared" ref="A402" si="207">+A401</f>
        <v>MARS</v>
      </c>
      <c r="B402" s="37" t="s">
        <v>64</v>
      </c>
      <c r="C402" s="124">
        <f>+C361</f>
        <v>2231034</v>
      </c>
      <c r="D402" s="49">
        <f>+G361</f>
        <v>19110651</v>
      </c>
      <c r="E402" s="48"/>
      <c r="F402" s="48"/>
      <c r="G402" s="48"/>
      <c r="H402" s="32">
        <f>+F361</f>
        <v>4000000</v>
      </c>
      <c r="I402" s="50">
        <f>+E361</f>
        <v>2724801</v>
      </c>
      <c r="J402" s="30">
        <f>SUM(C402:G402)-(H402+I402)</f>
        <v>14616884</v>
      </c>
      <c r="K402" s="143" t="b">
        <f>+J402=I361</f>
        <v>1</v>
      </c>
    </row>
    <row r="403" spans="1:16" ht="15.75">
      <c r="C403" s="140">
        <f>SUM(C386:C402)</f>
        <v>9139120</v>
      </c>
      <c r="I403" s="139">
        <f>SUM(I386:I402)</f>
        <v>9380259</v>
      </c>
      <c r="J403" s="104">
        <f>+SUM(J386:J402)</f>
        <v>36364485</v>
      </c>
      <c r="K403" s="5" t="b">
        <f>J403=I375</f>
        <v>1</v>
      </c>
    </row>
    <row r="404" spans="1:16" ht="15.75">
      <c r="C404" s="140"/>
      <c r="I404" s="139"/>
      <c r="J404" s="104"/>
    </row>
    <row r="405" spans="1:16" ht="15.75">
      <c r="A405" s="157"/>
      <c r="B405" s="157"/>
      <c r="C405" s="158"/>
      <c r="D405" s="157"/>
      <c r="E405" s="157"/>
      <c r="F405" s="157"/>
      <c r="G405" s="157"/>
      <c r="H405" s="157"/>
      <c r="I405" s="159"/>
      <c r="J405" s="160"/>
      <c r="K405" s="157"/>
      <c r="L405" s="161"/>
      <c r="M405" s="161"/>
      <c r="N405" s="161"/>
      <c r="O405" s="161"/>
      <c r="P405" s="157"/>
    </row>
    <row r="407" spans="1:16" ht="15.75">
      <c r="A407" s="6" t="s">
        <v>36</v>
      </c>
      <c r="B407" s="6" t="s">
        <v>1</v>
      </c>
      <c r="C407" s="6">
        <v>44958</v>
      </c>
      <c r="D407" s="7" t="s">
        <v>37</v>
      </c>
      <c r="E407" s="7" t="s">
        <v>38</v>
      </c>
      <c r="F407" s="7" t="s">
        <v>39</v>
      </c>
      <c r="G407" s="7" t="s">
        <v>40</v>
      </c>
      <c r="H407" s="6">
        <v>44985</v>
      </c>
      <c r="I407" s="7" t="s">
        <v>41</v>
      </c>
      <c r="K407" s="45"/>
      <c r="L407" s="45" t="s">
        <v>42</v>
      </c>
      <c r="M407" s="45" t="s">
        <v>43</v>
      </c>
      <c r="N407" s="45" t="s">
        <v>44</v>
      </c>
      <c r="O407" s="45" t="s">
        <v>45</v>
      </c>
    </row>
    <row r="408" spans="1:16" ht="16.5">
      <c r="A408" s="58" t="str">
        <f>K408</f>
        <v>BCI</v>
      </c>
      <c r="B408" s="59" t="s">
        <v>46</v>
      </c>
      <c r="C408" s="61">
        <v>9351552</v>
      </c>
      <c r="D408" s="61">
        <f>+L408</f>
        <v>0</v>
      </c>
      <c r="E408" s="61">
        <f>+N408</f>
        <v>433345</v>
      </c>
      <c r="F408" s="61">
        <f>+M408</f>
        <v>4000000</v>
      </c>
      <c r="G408" s="61">
        <f t="shared" ref="G408:G418" si="208">+O408</f>
        <v>0</v>
      </c>
      <c r="H408" s="61">
        <v>4918207</v>
      </c>
      <c r="I408" s="61">
        <f>+C408+D408-E408-F408+G408</f>
        <v>4918207</v>
      </c>
      <c r="J408" s="9">
        <f>I408-H408</f>
        <v>0</v>
      </c>
      <c r="K408" s="45" t="s">
        <v>24</v>
      </c>
      <c r="L408" s="47">
        <v>0</v>
      </c>
      <c r="M408" s="47">
        <v>4000000</v>
      </c>
      <c r="N408" s="47">
        <v>433345</v>
      </c>
      <c r="O408" s="47">
        <v>0</v>
      </c>
    </row>
    <row r="409" spans="1:16" ht="16.5">
      <c r="A409" s="58" t="str">
        <f t="shared" ref="A409:A422" si="209">K409</f>
        <v>BCI-Sous Compte</v>
      </c>
      <c r="B409" s="59" t="s">
        <v>46</v>
      </c>
      <c r="C409" s="61">
        <v>6338553</v>
      </c>
      <c r="D409" s="61">
        <f t="shared" ref="D409:D420" si="210">+L409</f>
        <v>0</v>
      </c>
      <c r="E409" s="61">
        <f t="shared" ref="E409:E414" si="211">+N409</f>
        <v>4107519</v>
      </c>
      <c r="F409" s="61">
        <f t="shared" ref="F409:F417" si="212">+M409</f>
        <v>0</v>
      </c>
      <c r="G409" s="61">
        <f t="shared" si="208"/>
        <v>0</v>
      </c>
      <c r="H409" s="61">
        <v>2231034</v>
      </c>
      <c r="I409" s="61">
        <f>+C409+D409-E409-F409+G409</f>
        <v>2231034</v>
      </c>
      <c r="J409" s="9">
        <f t="shared" ref="J409:J416" si="213">I409-H409</f>
        <v>0</v>
      </c>
      <c r="K409" s="45" t="s">
        <v>148</v>
      </c>
      <c r="L409" s="46">
        <v>0</v>
      </c>
      <c r="M409" s="47">
        <v>0</v>
      </c>
      <c r="N409" s="47">
        <v>4107519</v>
      </c>
      <c r="O409" s="47">
        <v>0</v>
      </c>
    </row>
    <row r="410" spans="1:16" ht="16.5">
      <c r="A410" s="58" t="str">
        <f t="shared" si="209"/>
        <v>Caisse</v>
      </c>
      <c r="B410" s="59" t="s">
        <v>25</v>
      </c>
      <c r="C410" s="61">
        <v>899588</v>
      </c>
      <c r="D410" s="61">
        <f t="shared" si="210"/>
        <v>4313500</v>
      </c>
      <c r="E410" s="61">
        <f t="shared" si="211"/>
        <v>1771593</v>
      </c>
      <c r="F410" s="61">
        <f t="shared" si="212"/>
        <v>2516000</v>
      </c>
      <c r="G410" s="61">
        <f t="shared" si="208"/>
        <v>0</v>
      </c>
      <c r="H410" s="61">
        <v>925495</v>
      </c>
      <c r="I410" s="61">
        <f>+C410+D410-E410-F410+G410</f>
        <v>925495</v>
      </c>
      <c r="J410" s="101">
        <f t="shared" si="213"/>
        <v>0</v>
      </c>
      <c r="K410" s="45" t="s">
        <v>25</v>
      </c>
      <c r="L410" s="47">
        <v>4313500</v>
      </c>
      <c r="M410" s="47">
        <v>2516000</v>
      </c>
      <c r="N410" s="47">
        <v>1771593</v>
      </c>
      <c r="O410" s="47">
        <v>0</v>
      </c>
    </row>
    <row r="411" spans="1:16" ht="16.5">
      <c r="A411" s="58" t="str">
        <f t="shared" si="209"/>
        <v>Crépin</v>
      </c>
      <c r="B411" s="59" t="s">
        <v>154</v>
      </c>
      <c r="C411" s="61">
        <v>89205</v>
      </c>
      <c r="D411" s="61">
        <f t="shared" si="210"/>
        <v>337000</v>
      </c>
      <c r="E411" s="61">
        <f t="shared" si="211"/>
        <v>350160</v>
      </c>
      <c r="F411" s="61">
        <f t="shared" si="212"/>
        <v>30000</v>
      </c>
      <c r="G411" s="61">
        <f t="shared" si="208"/>
        <v>0</v>
      </c>
      <c r="H411" s="61">
        <v>46045</v>
      </c>
      <c r="I411" s="61">
        <f>+C411+D411-E411-F411+G411</f>
        <v>46045</v>
      </c>
      <c r="J411" s="9">
        <f t="shared" si="213"/>
        <v>0</v>
      </c>
      <c r="K411" s="45" t="s">
        <v>47</v>
      </c>
      <c r="L411" s="47">
        <v>337000</v>
      </c>
      <c r="M411" s="47">
        <v>30000</v>
      </c>
      <c r="N411" s="47">
        <v>350160</v>
      </c>
      <c r="O411" s="47">
        <v>0</v>
      </c>
    </row>
    <row r="412" spans="1:16" ht="16.5">
      <c r="A412" s="58" t="str">
        <f t="shared" si="209"/>
        <v>D58</v>
      </c>
      <c r="B412" s="59" t="s">
        <v>4</v>
      </c>
      <c r="C412" s="61">
        <v>18500</v>
      </c>
      <c r="D412" s="61">
        <f t="shared" si="210"/>
        <v>287000</v>
      </c>
      <c r="E412" s="61">
        <f t="shared" si="211"/>
        <v>198000</v>
      </c>
      <c r="F412" s="61">
        <f t="shared" si="212"/>
        <v>0</v>
      </c>
      <c r="G412" s="61">
        <f t="shared" si="208"/>
        <v>0</v>
      </c>
      <c r="H412" s="61">
        <v>107500</v>
      </c>
      <c r="I412" s="61">
        <f>+C412+D412-E412-F412+G412</f>
        <v>107500</v>
      </c>
      <c r="J412" s="9">
        <f t="shared" si="213"/>
        <v>0</v>
      </c>
      <c r="K412" s="45" t="s">
        <v>269</v>
      </c>
      <c r="L412" s="47">
        <v>287000</v>
      </c>
      <c r="M412" s="47">
        <v>0</v>
      </c>
      <c r="N412" s="47">
        <v>198000</v>
      </c>
      <c r="O412" s="47">
        <v>0</v>
      </c>
    </row>
    <row r="413" spans="1:16" ht="16.5">
      <c r="A413" s="58" t="str">
        <f t="shared" si="209"/>
        <v>Donald</v>
      </c>
      <c r="B413" s="59" t="s">
        <v>154</v>
      </c>
      <c r="C413" s="61">
        <v>10650</v>
      </c>
      <c r="D413" s="61">
        <f t="shared" si="210"/>
        <v>30000</v>
      </c>
      <c r="E413" s="61">
        <f t="shared" si="211"/>
        <v>32000</v>
      </c>
      <c r="F413" s="61">
        <f t="shared" si="212"/>
        <v>0</v>
      </c>
      <c r="G413" s="61">
        <f t="shared" si="208"/>
        <v>0</v>
      </c>
      <c r="H413" s="61">
        <v>8650</v>
      </c>
      <c r="I413" s="61">
        <f t="shared" ref="I413:I414" si="214">+C413+D413-E413-F413+G413</f>
        <v>8650</v>
      </c>
      <c r="J413" s="9">
        <f t="shared" si="213"/>
        <v>0</v>
      </c>
      <c r="K413" s="45" t="s">
        <v>255</v>
      </c>
      <c r="L413" s="47">
        <v>30000</v>
      </c>
      <c r="M413" s="47">
        <v>0</v>
      </c>
      <c r="N413" s="47">
        <v>32000</v>
      </c>
      <c r="O413" s="47">
        <v>0</v>
      </c>
    </row>
    <row r="414" spans="1:16" ht="16.5">
      <c r="A414" s="58" t="str">
        <f t="shared" si="209"/>
        <v>Evariste</v>
      </c>
      <c r="B414" s="59" t="s">
        <v>155</v>
      </c>
      <c r="C414" s="61">
        <v>8325</v>
      </c>
      <c r="D414" s="61">
        <f t="shared" si="210"/>
        <v>295000</v>
      </c>
      <c r="E414" s="61">
        <f t="shared" si="211"/>
        <v>135000</v>
      </c>
      <c r="F414" s="61">
        <f t="shared" si="212"/>
        <v>150000</v>
      </c>
      <c r="G414" s="61">
        <f t="shared" si="208"/>
        <v>0</v>
      </c>
      <c r="H414" s="61">
        <v>18325</v>
      </c>
      <c r="I414" s="61">
        <f t="shared" si="214"/>
        <v>18325</v>
      </c>
      <c r="J414" s="9">
        <f t="shared" si="213"/>
        <v>0</v>
      </c>
      <c r="K414" s="45" t="s">
        <v>31</v>
      </c>
      <c r="L414" s="47">
        <v>295000</v>
      </c>
      <c r="M414" s="47">
        <v>150000</v>
      </c>
      <c r="N414" s="47">
        <v>135000</v>
      </c>
      <c r="O414" s="47">
        <v>0</v>
      </c>
    </row>
    <row r="415" spans="1:16" ht="16.5">
      <c r="A415" s="58" t="str">
        <f t="shared" si="209"/>
        <v>I55S</v>
      </c>
      <c r="B415" s="115" t="s">
        <v>4</v>
      </c>
      <c r="C415" s="117">
        <v>233614</v>
      </c>
      <c r="D415" s="117">
        <f t="shared" si="210"/>
        <v>0</v>
      </c>
      <c r="E415" s="117">
        <f>+N415</f>
        <v>0</v>
      </c>
      <c r="F415" s="117">
        <f t="shared" si="212"/>
        <v>0</v>
      </c>
      <c r="G415" s="117">
        <f t="shared" si="208"/>
        <v>0</v>
      </c>
      <c r="H415" s="117">
        <v>233614</v>
      </c>
      <c r="I415" s="117">
        <f>+C415+D415-E415-F415+G415</f>
        <v>233614</v>
      </c>
      <c r="J415" s="9">
        <f t="shared" si="213"/>
        <v>0</v>
      </c>
      <c r="K415" s="45" t="s">
        <v>84</v>
      </c>
      <c r="L415" s="47">
        <v>0</v>
      </c>
      <c r="M415" s="47">
        <v>0</v>
      </c>
      <c r="N415" s="47">
        <v>0</v>
      </c>
      <c r="O415" s="47">
        <v>0</v>
      </c>
    </row>
    <row r="416" spans="1:16" ht="16.5">
      <c r="A416" s="58" t="str">
        <f t="shared" si="209"/>
        <v>I73X</v>
      </c>
      <c r="B416" s="115" t="s">
        <v>4</v>
      </c>
      <c r="C416" s="117">
        <v>249769</v>
      </c>
      <c r="D416" s="117">
        <f t="shared" si="210"/>
        <v>0</v>
      </c>
      <c r="E416" s="117">
        <f>+N416</f>
        <v>0</v>
      </c>
      <c r="F416" s="117">
        <f t="shared" si="212"/>
        <v>0</v>
      </c>
      <c r="G416" s="117">
        <f t="shared" si="208"/>
        <v>0</v>
      </c>
      <c r="H416" s="117">
        <v>249769</v>
      </c>
      <c r="I416" s="117">
        <f t="shared" ref="I416:I418" si="215">+C416+D416-E416-F416+G416</f>
        <v>249769</v>
      </c>
      <c r="J416" s="9">
        <f t="shared" si="213"/>
        <v>0</v>
      </c>
      <c r="K416" s="45" t="s">
        <v>83</v>
      </c>
      <c r="L416" s="47">
        <v>0</v>
      </c>
      <c r="M416" s="47">
        <v>0</v>
      </c>
      <c r="N416" s="47">
        <v>0</v>
      </c>
      <c r="O416" s="47">
        <v>0</v>
      </c>
    </row>
    <row r="417" spans="1:15" ht="16.5">
      <c r="A417" s="58" t="str">
        <f t="shared" si="209"/>
        <v>Grace</v>
      </c>
      <c r="B417" s="59" t="s">
        <v>2</v>
      </c>
      <c r="C417" s="181">
        <v>20750</v>
      </c>
      <c r="D417" s="61">
        <f t="shared" si="210"/>
        <v>0</v>
      </c>
      <c r="E417" s="61">
        <f t="shared" ref="E417" si="216">+N417</f>
        <v>9500</v>
      </c>
      <c r="F417" s="61">
        <f t="shared" si="212"/>
        <v>0</v>
      </c>
      <c r="G417" s="61">
        <f t="shared" si="208"/>
        <v>0</v>
      </c>
      <c r="H417" s="181">
        <v>11250</v>
      </c>
      <c r="I417" s="181">
        <f t="shared" si="215"/>
        <v>11250</v>
      </c>
      <c r="J417" s="182">
        <f>I417-H417</f>
        <v>0</v>
      </c>
      <c r="K417" s="183" t="s">
        <v>143</v>
      </c>
      <c r="L417" s="184">
        <v>0</v>
      </c>
      <c r="M417" s="184">
        <v>0</v>
      </c>
      <c r="N417" s="47">
        <v>9500</v>
      </c>
      <c r="O417" s="184">
        <v>0</v>
      </c>
    </row>
    <row r="418" spans="1:15" ht="16.5">
      <c r="A418" s="58" t="str">
        <f t="shared" si="209"/>
        <v>Hurielle</v>
      </c>
      <c r="B418" s="97" t="s">
        <v>154</v>
      </c>
      <c r="C418" s="61">
        <v>153550</v>
      </c>
      <c r="D418" s="61">
        <f t="shared" si="210"/>
        <v>628000</v>
      </c>
      <c r="E418" s="61">
        <f>+N418</f>
        <v>638695</v>
      </c>
      <c r="F418" s="61">
        <f>+M418</f>
        <v>103500</v>
      </c>
      <c r="G418" s="61">
        <f t="shared" si="208"/>
        <v>0</v>
      </c>
      <c r="H418" s="61">
        <v>39355</v>
      </c>
      <c r="I418" s="61">
        <f t="shared" si="215"/>
        <v>39355</v>
      </c>
      <c r="J418" s="9">
        <f t="shared" ref="J418" si="217">I418-H418</f>
        <v>0</v>
      </c>
      <c r="K418" s="45" t="s">
        <v>197</v>
      </c>
      <c r="L418" s="47">
        <v>628000</v>
      </c>
      <c r="M418" s="47">
        <v>103500</v>
      </c>
      <c r="N418" s="47">
        <v>638695</v>
      </c>
      <c r="O418" s="47">
        <v>0</v>
      </c>
    </row>
    <row r="419" spans="1:15" ht="16.5">
      <c r="A419" s="58" t="str">
        <f t="shared" si="209"/>
        <v>Merveille</v>
      </c>
      <c r="B419" s="59" t="s">
        <v>2</v>
      </c>
      <c r="C419" s="181">
        <v>70300</v>
      </c>
      <c r="D419" s="61">
        <f t="shared" si="210"/>
        <v>3000</v>
      </c>
      <c r="E419" s="61">
        <f t="shared" ref="E419:E422" si="218">+N419</f>
        <v>29000</v>
      </c>
      <c r="F419" s="61">
        <f t="shared" ref="F419:F422" si="219">+M419</f>
        <v>30000</v>
      </c>
      <c r="G419" s="61">
        <f t="shared" ref="G419:G422" si="220">+O419</f>
        <v>0</v>
      </c>
      <c r="H419" s="181">
        <v>14300</v>
      </c>
      <c r="I419" s="181">
        <f t="shared" ref="I419:I420" si="221">+C419+D419-E419-F419+G419</f>
        <v>14300</v>
      </c>
      <c r="J419" s="182">
        <f>I419-H419</f>
        <v>0</v>
      </c>
      <c r="K419" s="183" t="s">
        <v>93</v>
      </c>
      <c r="L419" s="184">
        <v>3000</v>
      </c>
      <c r="M419" s="184">
        <v>30000</v>
      </c>
      <c r="N419" s="47">
        <v>29000</v>
      </c>
      <c r="O419" s="184">
        <v>0</v>
      </c>
    </row>
    <row r="420" spans="1:15" ht="16.5">
      <c r="A420" s="58" t="str">
        <f t="shared" si="209"/>
        <v>P29</v>
      </c>
      <c r="B420" s="97" t="s">
        <v>4</v>
      </c>
      <c r="C420" s="61">
        <v>99100</v>
      </c>
      <c r="D420" s="61">
        <f t="shared" si="210"/>
        <v>224000</v>
      </c>
      <c r="E420" s="61">
        <f t="shared" si="218"/>
        <v>222500</v>
      </c>
      <c r="F420" s="61">
        <f t="shared" si="219"/>
        <v>0</v>
      </c>
      <c r="G420" s="61">
        <f t="shared" si="220"/>
        <v>0</v>
      </c>
      <c r="H420" s="61">
        <v>100600</v>
      </c>
      <c r="I420" s="61">
        <f t="shared" si="221"/>
        <v>100600</v>
      </c>
      <c r="J420" s="9">
        <f t="shared" ref="J420:J421" si="222">I420-H420</f>
        <v>0</v>
      </c>
      <c r="K420" s="45" t="s">
        <v>29</v>
      </c>
      <c r="L420" s="47">
        <v>224000</v>
      </c>
      <c r="M420" s="47">
        <v>0</v>
      </c>
      <c r="N420" s="47">
        <v>222500</v>
      </c>
      <c r="O420" s="47">
        <v>0</v>
      </c>
    </row>
    <row r="421" spans="1:15" ht="16.5">
      <c r="A421" s="58" t="str">
        <f t="shared" si="209"/>
        <v>T73</v>
      </c>
      <c r="B421" s="59" t="s">
        <v>4</v>
      </c>
      <c r="C421" s="61">
        <v>13900</v>
      </c>
      <c r="D421" s="61">
        <f>+L421</f>
        <v>672000</v>
      </c>
      <c r="E421" s="61">
        <f t="shared" si="218"/>
        <v>477600</v>
      </c>
      <c r="F421" s="61">
        <f t="shared" si="219"/>
        <v>0</v>
      </c>
      <c r="G421" s="61">
        <f t="shared" si="220"/>
        <v>0</v>
      </c>
      <c r="H421" s="61">
        <v>208300</v>
      </c>
      <c r="I421" s="61">
        <f>+C421+D421-E421-F421+G421</f>
        <v>208300</v>
      </c>
      <c r="J421" s="9">
        <f t="shared" si="222"/>
        <v>0</v>
      </c>
      <c r="K421" s="45" t="s">
        <v>268</v>
      </c>
      <c r="L421" s="47">
        <v>672000</v>
      </c>
      <c r="M421" s="47">
        <v>0</v>
      </c>
      <c r="N421" s="184">
        <v>477600</v>
      </c>
      <c r="O421" s="47">
        <v>0</v>
      </c>
    </row>
    <row r="422" spans="1:15" ht="16.5">
      <c r="A422" s="58" t="str">
        <f t="shared" si="209"/>
        <v>Tiffany</v>
      </c>
      <c r="B422" s="59" t="s">
        <v>2</v>
      </c>
      <c r="C422" s="61">
        <v>-3324</v>
      </c>
      <c r="D422" s="61">
        <f t="shared" ref="D422" si="223">+L422</f>
        <v>40000</v>
      </c>
      <c r="E422" s="61">
        <f t="shared" si="218"/>
        <v>10000</v>
      </c>
      <c r="F422" s="61">
        <f t="shared" si="219"/>
        <v>0</v>
      </c>
      <c r="G422" s="61">
        <f t="shared" si="220"/>
        <v>0</v>
      </c>
      <c r="H422" s="61">
        <v>26676</v>
      </c>
      <c r="I422" s="61">
        <f>+C422+D422-E422-F422+G422</f>
        <v>26676</v>
      </c>
      <c r="J422" s="9">
        <f>I422-H422</f>
        <v>0</v>
      </c>
      <c r="K422" s="45" t="s">
        <v>113</v>
      </c>
      <c r="L422" s="47">
        <v>40000</v>
      </c>
      <c r="M422" s="47">
        <v>0</v>
      </c>
      <c r="N422" s="47">
        <v>10000</v>
      </c>
      <c r="O422" s="47">
        <v>0</v>
      </c>
    </row>
    <row r="423" spans="1:15" ht="16.5">
      <c r="A423" s="10" t="s">
        <v>50</v>
      </c>
      <c r="B423" s="11"/>
      <c r="C423" s="12">
        <f t="shared" ref="C423:I423" si="224">SUM(C408:C422)</f>
        <v>17554032</v>
      </c>
      <c r="D423" s="57">
        <f t="shared" si="224"/>
        <v>6829500</v>
      </c>
      <c r="E423" s="57">
        <f t="shared" si="224"/>
        <v>8414912</v>
      </c>
      <c r="F423" s="57">
        <f t="shared" si="224"/>
        <v>6829500</v>
      </c>
      <c r="G423" s="57">
        <f t="shared" si="224"/>
        <v>0</v>
      </c>
      <c r="H423" s="57">
        <f t="shared" si="224"/>
        <v>9139120</v>
      </c>
      <c r="I423" s="57">
        <f t="shared" si="224"/>
        <v>9139120</v>
      </c>
      <c r="J423" s="9">
        <f>I423-H423</f>
        <v>0</v>
      </c>
      <c r="K423" s="3"/>
      <c r="L423" s="47">
        <f>+SUM(L408:L422)</f>
        <v>6829500</v>
      </c>
      <c r="M423" s="47">
        <f>+SUM(M408:M422)</f>
        <v>6829500</v>
      </c>
      <c r="N423" s="47">
        <f>+SUM(N408:N422)</f>
        <v>8414912</v>
      </c>
      <c r="O423" s="47">
        <f>+SUM(O408:O422)</f>
        <v>0</v>
      </c>
    </row>
    <row r="424" spans="1:15" ht="16.5">
      <c r="A424" s="10"/>
      <c r="B424" s="11"/>
      <c r="C424" s="12"/>
      <c r="D424" s="13"/>
      <c r="E424" s="12"/>
      <c r="F424" s="13"/>
      <c r="G424" s="12"/>
      <c r="H424" s="12"/>
      <c r="I424" s="133" t="b">
        <f>I423=D426</f>
        <v>1</v>
      </c>
      <c r="J424" s="9">
        <f>H423-I423</f>
        <v>0</v>
      </c>
      <c r="L424" s="5"/>
      <c r="M424" s="5"/>
      <c r="N424" s="5"/>
      <c r="O424" s="5"/>
    </row>
    <row r="425" spans="1:15" ht="16.5">
      <c r="A425" s="10" t="s">
        <v>276</v>
      </c>
      <c r="B425" s="11" t="s">
        <v>183</v>
      </c>
      <c r="C425" s="12" t="s">
        <v>184</v>
      </c>
      <c r="D425" s="12" t="s">
        <v>277</v>
      </c>
      <c r="E425" s="12" t="s">
        <v>51</v>
      </c>
      <c r="F425" s="12"/>
      <c r="G425" s="12">
        <f>+D423-F423</f>
        <v>0</v>
      </c>
      <c r="H425" s="12"/>
      <c r="I425" s="12"/>
    </row>
    <row r="426" spans="1:15" ht="16.5">
      <c r="A426" s="14">
        <f>C423</f>
        <v>17554032</v>
      </c>
      <c r="B426" s="15">
        <f>G423</f>
        <v>0</v>
      </c>
      <c r="C426" s="12">
        <f>E423</f>
        <v>8414912</v>
      </c>
      <c r="D426" s="12">
        <f>A426+B426-C426</f>
        <v>9139120</v>
      </c>
      <c r="E426" s="13">
        <f>I423-D426</f>
        <v>0</v>
      </c>
      <c r="F426" s="12"/>
      <c r="G426" s="12"/>
      <c r="H426" s="12"/>
      <c r="I426" s="12"/>
    </row>
    <row r="427" spans="1:15" ht="16.5">
      <c r="A427" s="14"/>
      <c r="B427" s="15"/>
      <c r="C427" s="12"/>
      <c r="D427" s="12"/>
      <c r="E427" s="13"/>
      <c r="F427" s="12"/>
      <c r="G427" s="12"/>
      <c r="H427" s="12"/>
      <c r="I427" s="12"/>
    </row>
    <row r="428" spans="1:15">
      <c r="A428" s="16" t="s">
        <v>52</v>
      </c>
      <c r="B428" s="16"/>
      <c r="C428" s="16"/>
      <c r="D428" s="17"/>
      <c r="E428" s="17"/>
      <c r="F428" s="17"/>
      <c r="G428" s="17"/>
      <c r="H428" s="17"/>
      <c r="I428" s="17"/>
    </row>
    <row r="429" spans="1:15">
      <c r="A429" s="18" t="s">
        <v>286</v>
      </c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5">
      <c r="A430" s="19"/>
      <c r="B430" s="17"/>
      <c r="C430" s="20"/>
      <c r="D430" s="20"/>
      <c r="E430" s="20"/>
      <c r="F430" s="20"/>
      <c r="G430" s="20"/>
      <c r="H430" s="17"/>
      <c r="I430" s="17"/>
    </row>
    <row r="431" spans="1:15">
      <c r="A431" s="166" t="s">
        <v>53</v>
      </c>
      <c r="B431" s="168" t="s">
        <v>54</v>
      </c>
      <c r="C431" s="170" t="s">
        <v>279</v>
      </c>
      <c r="D431" s="171" t="s">
        <v>55</v>
      </c>
      <c r="E431" s="172"/>
      <c r="F431" s="172"/>
      <c r="G431" s="173"/>
      <c r="H431" s="174" t="s">
        <v>56</v>
      </c>
      <c r="I431" s="162" t="s">
        <v>57</v>
      </c>
      <c r="J431" s="205"/>
    </row>
    <row r="432" spans="1:15" ht="25.5">
      <c r="A432" s="167"/>
      <c r="B432" s="169"/>
      <c r="C432" s="22"/>
      <c r="D432" s="21" t="s">
        <v>24</v>
      </c>
      <c r="E432" s="21" t="s">
        <v>25</v>
      </c>
      <c r="F432" s="22" t="s">
        <v>123</v>
      </c>
      <c r="G432" s="21" t="s">
        <v>58</v>
      </c>
      <c r="H432" s="175"/>
      <c r="I432" s="163"/>
      <c r="J432" s="165" t="s">
        <v>278</v>
      </c>
      <c r="K432" s="142"/>
    </row>
    <row r="433" spans="1:11">
      <c r="A433" s="23"/>
      <c r="B433" s="24" t="s">
        <v>59</v>
      </c>
      <c r="C433" s="25"/>
      <c r="D433" s="25"/>
      <c r="E433" s="25"/>
      <c r="F433" s="25"/>
      <c r="G433" s="25"/>
      <c r="H433" s="25"/>
      <c r="I433" s="26"/>
      <c r="J433" s="165"/>
      <c r="K433" s="142"/>
    </row>
    <row r="434" spans="1:11">
      <c r="A434" s="121" t="s">
        <v>115</v>
      </c>
      <c r="B434" s="126" t="s">
        <v>47</v>
      </c>
      <c r="C434" s="32">
        <f>+C411</f>
        <v>89205</v>
      </c>
      <c r="D434" s="31"/>
      <c r="E434" s="32">
        <f>+D411</f>
        <v>337000</v>
      </c>
      <c r="F434" s="32"/>
      <c r="G434" s="32"/>
      <c r="H434" s="55">
        <f>+F411</f>
        <v>30000</v>
      </c>
      <c r="I434" s="32">
        <f>+E411</f>
        <v>350160</v>
      </c>
      <c r="J434" s="30">
        <f t="shared" ref="J434:J437" si="225">+SUM(C434:G434)-(H434+I434)</f>
        <v>46045</v>
      </c>
      <c r="K434" s="143" t="b">
        <f t="shared" ref="K434:K445" si="226">J434=I411</f>
        <v>1</v>
      </c>
    </row>
    <row r="435" spans="1:11">
      <c r="A435" s="121" t="str">
        <f>+A434</f>
        <v>FEVRIER</v>
      </c>
      <c r="B435" s="126" t="s">
        <v>269</v>
      </c>
      <c r="C435" s="32">
        <f t="shared" ref="C435:C437" si="227">+C412</f>
        <v>18500</v>
      </c>
      <c r="D435" s="31"/>
      <c r="E435" s="32">
        <f t="shared" ref="E435:E437" si="228">+D412</f>
        <v>287000</v>
      </c>
      <c r="F435" s="32"/>
      <c r="G435" s="32"/>
      <c r="H435" s="55">
        <f t="shared" ref="H435:H437" si="229">+F412</f>
        <v>0</v>
      </c>
      <c r="I435" s="32">
        <f t="shared" ref="I435:I437" si="230">+E412</f>
        <v>198000</v>
      </c>
      <c r="J435" s="30">
        <f t="shared" si="225"/>
        <v>107500</v>
      </c>
      <c r="K435" s="143" t="b">
        <f t="shared" si="226"/>
        <v>1</v>
      </c>
    </row>
    <row r="436" spans="1:11">
      <c r="A436" s="121" t="str">
        <f t="shared" ref="A436:A445" si="231">+A435</f>
        <v>FEVRIER</v>
      </c>
      <c r="B436" s="126" t="s">
        <v>255</v>
      </c>
      <c r="C436" s="32">
        <f t="shared" si="227"/>
        <v>10650</v>
      </c>
      <c r="D436" s="31"/>
      <c r="E436" s="32">
        <f t="shared" si="228"/>
        <v>30000</v>
      </c>
      <c r="F436" s="32"/>
      <c r="G436" s="32"/>
      <c r="H436" s="55">
        <f t="shared" si="229"/>
        <v>0</v>
      </c>
      <c r="I436" s="32">
        <f t="shared" si="230"/>
        <v>32000</v>
      </c>
      <c r="J436" s="30">
        <f t="shared" si="225"/>
        <v>8650</v>
      </c>
      <c r="K436" s="143" t="b">
        <f t="shared" si="226"/>
        <v>1</v>
      </c>
    </row>
    <row r="437" spans="1:11">
      <c r="A437" s="121" t="str">
        <f t="shared" si="231"/>
        <v>FEVRIER</v>
      </c>
      <c r="B437" s="126" t="s">
        <v>31</v>
      </c>
      <c r="C437" s="32">
        <f t="shared" si="227"/>
        <v>8325</v>
      </c>
      <c r="D437" s="31"/>
      <c r="E437" s="32">
        <f t="shared" si="228"/>
        <v>295000</v>
      </c>
      <c r="F437" s="32"/>
      <c r="G437" s="32"/>
      <c r="H437" s="55">
        <f t="shared" si="229"/>
        <v>150000</v>
      </c>
      <c r="I437" s="32">
        <f t="shared" si="230"/>
        <v>135000</v>
      </c>
      <c r="J437" s="30">
        <f t="shared" si="225"/>
        <v>18325</v>
      </c>
      <c r="K437" s="143" t="b">
        <f t="shared" si="226"/>
        <v>1</v>
      </c>
    </row>
    <row r="438" spans="1:11">
      <c r="A438" s="121" t="str">
        <f t="shared" si="231"/>
        <v>FEVRIER</v>
      </c>
      <c r="B438" s="128" t="s">
        <v>84</v>
      </c>
      <c r="C438" s="119">
        <f>+C415</f>
        <v>233614</v>
      </c>
      <c r="D438" s="122"/>
      <c r="E438" s="119">
        <f>+D415</f>
        <v>0</v>
      </c>
      <c r="F438" s="136"/>
      <c r="G438" s="136"/>
      <c r="H438" s="154">
        <f>+F415</f>
        <v>0</v>
      </c>
      <c r="I438" s="119">
        <f>+E415</f>
        <v>0</v>
      </c>
      <c r="J438" s="120">
        <f>+SUM(C438:G438)-(H438+I438)</f>
        <v>233614</v>
      </c>
      <c r="K438" s="143" t="b">
        <f t="shared" si="226"/>
        <v>1</v>
      </c>
    </row>
    <row r="439" spans="1:11">
      <c r="A439" s="121" t="str">
        <f t="shared" si="231"/>
        <v>FEVRIER</v>
      </c>
      <c r="B439" s="128" t="s">
        <v>83</v>
      </c>
      <c r="C439" s="119">
        <f>+C416</f>
        <v>249769</v>
      </c>
      <c r="D439" s="122"/>
      <c r="E439" s="119">
        <f>+D416</f>
        <v>0</v>
      </c>
      <c r="F439" s="136"/>
      <c r="G439" s="136"/>
      <c r="H439" s="154">
        <f>+F416</f>
        <v>0</v>
      </c>
      <c r="I439" s="119">
        <f>+E416</f>
        <v>0</v>
      </c>
      <c r="J439" s="120">
        <f t="shared" ref="J439:J445" si="232">+SUM(C439:G439)-(H439+I439)</f>
        <v>249769</v>
      </c>
      <c r="K439" s="143" t="b">
        <f t="shared" si="226"/>
        <v>1</v>
      </c>
    </row>
    <row r="440" spans="1:11">
      <c r="A440" s="121" t="str">
        <f t="shared" si="231"/>
        <v>FEVRIER</v>
      </c>
      <c r="B440" s="126" t="s">
        <v>143</v>
      </c>
      <c r="C440" s="32">
        <f>+C417</f>
        <v>20750</v>
      </c>
      <c r="D440" s="31"/>
      <c r="E440" s="32">
        <f>+D417</f>
        <v>0</v>
      </c>
      <c r="F440" s="32"/>
      <c r="G440" s="103"/>
      <c r="H440" s="55">
        <f>+F417</f>
        <v>0</v>
      </c>
      <c r="I440" s="32">
        <f>+E417</f>
        <v>9500</v>
      </c>
      <c r="J440" s="30">
        <f t="shared" si="232"/>
        <v>11250</v>
      </c>
      <c r="K440" s="143" t="b">
        <f t="shared" si="226"/>
        <v>1</v>
      </c>
    </row>
    <row r="441" spans="1:11">
      <c r="A441" s="121" t="str">
        <f t="shared" si="231"/>
        <v>FEVRIER</v>
      </c>
      <c r="B441" s="126" t="s">
        <v>197</v>
      </c>
      <c r="C441" s="32">
        <f>+C418</f>
        <v>153550</v>
      </c>
      <c r="D441" s="31"/>
      <c r="E441" s="32">
        <f>+D418</f>
        <v>628000</v>
      </c>
      <c r="F441" s="32"/>
      <c r="G441" s="103"/>
      <c r="H441" s="55">
        <f>+F418</f>
        <v>103500</v>
      </c>
      <c r="I441" s="32">
        <f>+E418</f>
        <v>638695</v>
      </c>
      <c r="J441" s="30">
        <f t="shared" si="232"/>
        <v>39355</v>
      </c>
      <c r="K441" s="143" t="b">
        <f t="shared" si="226"/>
        <v>1</v>
      </c>
    </row>
    <row r="442" spans="1:11">
      <c r="A442" s="121" t="str">
        <f>A441</f>
        <v>FEVRIER</v>
      </c>
      <c r="B442" s="126" t="s">
        <v>93</v>
      </c>
      <c r="C442" s="32">
        <f t="shared" ref="C442:C445" si="233">+C419</f>
        <v>70300</v>
      </c>
      <c r="D442" s="31"/>
      <c r="E442" s="32">
        <f t="shared" ref="E442:E445" si="234">+D419</f>
        <v>3000</v>
      </c>
      <c r="F442" s="32"/>
      <c r="G442" s="103"/>
      <c r="H442" s="55">
        <f t="shared" ref="H442:H445" si="235">+F419</f>
        <v>30000</v>
      </c>
      <c r="I442" s="32">
        <f t="shared" ref="I442:I445" si="236">+E419</f>
        <v>29000</v>
      </c>
      <c r="J442" s="30">
        <f t="shared" si="232"/>
        <v>14300</v>
      </c>
      <c r="K442" s="143" t="b">
        <f t="shared" si="226"/>
        <v>1</v>
      </c>
    </row>
    <row r="443" spans="1:11">
      <c r="A443" s="121" t="str">
        <f t="shared" si="231"/>
        <v>FEVRIER</v>
      </c>
      <c r="B443" s="126" t="s">
        <v>29</v>
      </c>
      <c r="C443" s="32">
        <f t="shared" si="233"/>
        <v>99100</v>
      </c>
      <c r="D443" s="31"/>
      <c r="E443" s="32">
        <f t="shared" si="234"/>
        <v>224000</v>
      </c>
      <c r="F443" s="32"/>
      <c r="G443" s="103"/>
      <c r="H443" s="55">
        <f t="shared" si="235"/>
        <v>0</v>
      </c>
      <c r="I443" s="32">
        <f t="shared" si="236"/>
        <v>222500</v>
      </c>
      <c r="J443" s="30">
        <f t="shared" si="232"/>
        <v>100600</v>
      </c>
      <c r="K443" s="143" t="b">
        <f t="shared" si="226"/>
        <v>1</v>
      </c>
    </row>
    <row r="444" spans="1:11">
      <c r="A444" s="121" t="str">
        <f t="shared" si="231"/>
        <v>FEVRIER</v>
      </c>
      <c r="B444" s="127" t="s">
        <v>268</v>
      </c>
      <c r="C444" s="32">
        <f t="shared" si="233"/>
        <v>13900</v>
      </c>
      <c r="D444" s="118"/>
      <c r="E444" s="32">
        <f t="shared" si="234"/>
        <v>672000</v>
      </c>
      <c r="F444" s="51"/>
      <c r="G444" s="137"/>
      <c r="H444" s="55">
        <f t="shared" si="235"/>
        <v>0</v>
      </c>
      <c r="I444" s="32">
        <f t="shared" si="236"/>
        <v>477600</v>
      </c>
      <c r="J444" s="30">
        <f t="shared" si="232"/>
        <v>208300</v>
      </c>
      <c r="K444" s="143" t="b">
        <f t="shared" si="226"/>
        <v>1</v>
      </c>
    </row>
    <row r="445" spans="1:11">
      <c r="A445" s="121" t="str">
        <f t="shared" si="231"/>
        <v>FEVRIER</v>
      </c>
      <c r="B445" s="127" t="s">
        <v>113</v>
      </c>
      <c r="C445" s="32">
        <f t="shared" si="233"/>
        <v>-3324</v>
      </c>
      <c r="D445" s="118"/>
      <c r="E445" s="32">
        <f t="shared" si="234"/>
        <v>40000</v>
      </c>
      <c r="F445" s="51"/>
      <c r="G445" s="137"/>
      <c r="H445" s="55">
        <f t="shared" si="235"/>
        <v>0</v>
      </c>
      <c r="I445" s="32">
        <f t="shared" si="236"/>
        <v>10000</v>
      </c>
      <c r="J445" s="30">
        <f t="shared" si="232"/>
        <v>26676</v>
      </c>
      <c r="K445" s="143" t="b">
        <f t="shared" si="226"/>
        <v>1</v>
      </c>
    </row>
    <row r="446" spans="1:11">
      <c r="A446" s="34" t="s">
        <v>60</v>
      </c>
      <c r="B446" s="35"/>
      <c r="C446" s="35"/>
      <c r="D446" s="35"/>
      <c r="E446" s="35"/>
      <c r="F446" s="35"/>
      <c r="G446" s="35"/>
      <c r="H446" s="35"/>
      <c r="I446" s="35"/>
      <c r="J446" s="36"/>
      <c r="K446" s="142"/>
    </row>
    <row r="447" spans="1:11">
      <c r="A447" s="121" t="str">
        <f>A445</f>
        <v>FEVRIER</v>
      </c>
      <c r="B447" s="37" t="s">
        <v>61</v>
      </c>
      <c r="C447" s="38">
        <f>+C410</f>
        <v>899588</v>
      </c>
      <c r="D447" s="49"/>
      <c r="E447" s="49">
        <f>D410</f>
        <v>4313500</v>
      </c>
      <c r="F447" s="49"/>
      <c r="G447" s="124"/>
      <c r="H447" s="51">
        <f>+F410</f>
        <v>2516000</v>
      </c>
      <c r="I447" s="125">
        <f>+E410</f>
        <v>1771593</v>
      </c>
      <c r="J447" s="30">
        <f>+SUM(C447:G447)-(H447+I447)</f>
        <v>925495</v>
      </c>
      <c r="K447" s="143" t="b">
        <f>J447=I410</f>
        <v>1</v>
      </c>
    </row>
    <row r="448" spans="1:11">
      <c r="A448" s="43" t="s">
        <v>62</v>
      </c>
      <c r="B448" s="24"/>
      <c r="C448" s="35"/>
      <c r="D448" s="24"/>
      <c r="E448" s="24"/>
      <c r="F448" s="24"/>
      <c r="G448" s="24"/>
      <c r="H448" s="24"/>
      <c r="I448" s="24"/>
      <c r="J448" s="36"/>
      <c r="K448" s="142"/>
    </row>
    <row r="449" spans="1:16">
      <c r="A449" s="121" t="str">
        <f>+A447</f>
        <v>FEVRIER</v>
      </c>
      <c r="B449" s="37" t="s">
        <v>24</v>
      </c>
      <c r="C449" s="124">
        <f>+C408</f>
        <v>9351552</v>
      </c>
      <c r="D449" s="131">
        <f>+G408</f>
        <v>0</v>
      </c>
      <c r="E449" s="49"/>
      <c r="F449" s="49"/>
      <c r="G449" s="49"/>
      <c r="H449" s="51">
        <f>+F408</f>
        <v>4000000</v>
      </c>
      <c r="I449" s="53">
        <f>+E408</f>
        <v>433345</v>
      </c>
      <c r="J449" s="30">
        <f>+SUM(C449:G449)-(H449+I449)</f>
        <v>4918207</v>
      </c>
      <c r="K449" s="143" t="b">
        <f>+J449=I408</f>
        <v>1</v>
      </c>
    </row>
    <row r="450" spans="1:16">
      <c r="A450" s="121" t="str">
        <f t="shared" ref="A450" si="237">+A449</f>
        <v>FEVRIER</v>
      </c>
      <c r="B450" s="37" t="s">
        <v>64</v>
      </c>
      <c r="C450" s="124">
        <f>+C409</f>
        <v>6338553</v>
      </c>
      <c r="D450" s="49">
        <f>+G409</f>
        <v>0</v>
      </c>
      <c r="E450" s="48"/>
      <c r="F450" s="48"/>
      <c r="G450" s="48"/>
      <c r="H450" s="32">
        <f>+F409</f>
        <v>0</v>
      </c>
      <c r="I450" s="50">
        <f>+E409</f>
        <v>4107519</v>
      </c>
      <c r="J450" s="30">
        <f>SUM(C450:G450)-(H450+I450)</f>
        <v>2231034</v>
      </c>
      <c r="K450" s="143" t="b">
        <f>+J450=I409</f>
        <v>1</v>
      </c>
    </row>
    <row r="451" spans="1:16" ht="15.75">
      <c r="C451" s="140">
        <f>SUM(C434:C450)</f>
        <v>17554032</v>
      </c>
      <c r="I451" s="139">
        <f>SUM(I434:I450)</f>
        <v>8414912</v>
      </c>
      <c r="J451" s="104">
        <f>+SUM(J434:J450)</f>
        <v>9139120</v>
      </c>
      <c r="K451" s="5" t="b">
        <f>J451=I423</f>
        <v>1</v>
      </c>
    </row>
    <row r="452" spans="1:16" ht="15.75">
      <c r="C452" s="140"/>
      <c r="I452" s="139"/>
      <c r="J452" s="104"/>
    </row>
    <row r="453" spans="1:16" ht="15.75">
      <c r="A453" s="157"/>
      <c r="B453" s="157"/>
      <c r="C453" s="158"/>
      <c r="D453" s="157"/>
      <c r="E453" s="157"/>
      <c r="F453" s="157"/>
      <c r="G453" s="157"/>
      <c r="H453" s="157"/>
      <c r="I453" s="159"/>
      <c r="J453" s="160"/>
      <c r="K453" s="157"/>
      <c r="L453" s="161"/>
      <c r="M453" s="161"/>
      <c r="N453" s="161"/>
      <c r="O453" s="161"/>
      <c r="P453" s="157"/>
    </row>
    <row r="455" spans="1:16" ht="15.75">
      <c r="A455" s="6" t="s">
        <v>36</v>
      </c>
      <c r="B455" s="6" t="s">
        <v>1</v>
      </c>
      <c r="C455" s="6">
        <v>44927</v>
      </c>
      <c r="D455" s="7" t="s">
        <v>37</v>
      </c>
      <c r="E455" s="7" t="s">
        <v>38</v>
      </c>
      <c r="F455" s="7" t="s">
        <v>39</v>
      </c>
      <c r="G455" s="7" t="s">
        <v>40</v>
      </c>
      <c r="H455" s="6">
        <v>44957</v>
      </c>
      <c r="I455" s="7" t="s">
        <v>41</v>
      </c>
      <c r="K455" s="45"/>
      <c r="L455" s="45" t="s">
        <v>42</v>
      </c>
      <c r="M455" s="45" t="s">
        <v>43</v>
      </c>
      <c r="N455" s="45" t="s">
        <v>44</v>
      </c>
      <c r="O455" s="45" t="s">
        <v>45</v>
      </c>
    </row>
    <row r="456" spans="1:16" ht="16.5">
      <c r="A456" s="58" t="str">
        <f>K456</f>
        <v>BCI</v>
      </c>
      <c r="B456" s="59" t="s">
        <v>46</v>
      </c>
      <c r="C456" s="61">
        <v>13524897</v>
      </c>
      <c r="D456" s="61">
        <f>+L456</f>
        <v>0</v>
      </c>
      <c r="E456" s="61">
        <f>+N456</f>
        <v>173345</v>
      </c>
      <c r="F456" s="61">
        <f>+M456</f>
        <v>4000000</v>
      </c>
      <c r="G456" s="61">
        <f t="shared" ref="G456:G471" si="238">+O456</f>
        <v>0</v>
      </c>
      <c r="H456" s="61">
        <v>9351552</v>
      </c>
      <c r="I456" s="61">
        <f>+C456+D456-E456-F456+G456</f>
        <v>9351552</v>
      </c>
      <c r="J456" s="9">
        <f>I456-H456</f>
        <v>0</v>
      </c>
      <c r="K456" s="45" t="s">
        <v>24</v>
      </c>
      <c r="L456" s="47">
        <v>0</v>
      </c>
      <c r="M456" s="47">
        <v>4000000</v>
      </c>
      <c r="N456" s="47">
        <v>173345</v>
      </c>
      <c r="O456" s="47">
        <v>0</v>
      </c>
    </row>
    <row r="457" spans="1:16" ht="16.5">
      <c r="A457" s="58" t="str">
        <f t="shared" ref="A457:A471" si="239">K457</f>
        <v>BCI-Sous Compte</v>
      </c>
      <c r="B457" s="59" t="s">
        <v>46</v>
      </c>
      <c r="C457" s="61">
        <v>2476363</v>
      </c>
      <c r="D457" s="61">
        <f t="shared" ref="D457:D469" si="240">+L457</f>
        <v>0</v>
      </c>
      <c r="E457" s="61">
        <f t="shared" ref="E457:E462" si="241">+N457</f>
        <v>4873189</v>
      </c>
      <c r="F457" s="61">
        <f t="shared" ref="F457:F465" si="242">+M457</f>
        <v>0</v>
      </c>
      <c r="G457" s="61">
        <f t="shared" si="238"/>
        <v>8735379</v>
      </c>
      <c r="H457" s="61">
        <v>6338553</v>
      </c>
      <c r="I457" s="61">
        <f>+C457+D457-E457-F457+G457</f>
        <v>6338553</v>
      </c>
      <c r="J457" s="9">
        <f t="shared" ref="J457:J464" si="243">I457-H457</f>
        <v>0</v>
      </c>
      <c r="K457" s="45" t="s">
        <v>148</v>
      </c>
      <c r="L457" s="46">
        <v>0</v>
      </c>
      <c r="M457" s="47">
        <v>0</v>
      </c>
      <c r="N457" s="47">
        <v>4873189</v>
      </c>
      <c r="O457" s="47">
        <v>8735379</v>
      </c>
    </row>
    <row r="458" spans="1:16" ht="16.5">
      <c r="A458" s="58" t="str">
        <f t="shared" si="239"/>
        <v>Caisse</v>
      </c>
      <c r="B458" s="59" t="s">
        <v>25</v>
      </c>
      <c r="C458" s="61">
        <v>1335599</v>
      </c>
      <c r="D458" s="61">
        <f t="shared" si="240"/>
        <v>4277000</v>
      </c>
      <c r="E458" s="61">
        <f t="shared" si="241"/>
        <v>2382011</v>
      </c>
      <c r="F458" s="61">
        <f t="shared" si="242"/>
        <v>2331000</v>
      </c>
      <c r="G458" s="61">
        <f t="shared" si="238"/>
        <v>0</v>
      </c>
      <c r="H458" s="61">
        <v>899588</v>
      </c>
      <c r="I458" s="61">
        <f>+C458+D458-E458-F458+G458</f>
        <v>899588</v>
      </c>
      <c r="J458" s="101">
        <f t="shared" si="243"/>
        <v>0</v>
      </c>
      <c r="K458" s="45" t="s">
        <v>25</v>
      </c>
      <c r="L458" s="47">
        <v>4277000</v>
      </c>
      <c r="M458" s="47">
        <v>2331000</v>
      </c>
      <c r="N458" s="47">
        <v>2382011</v>
      </c>
      <c r="O458" s="47">
        <v>0</v>
      </c>
    </row>
    <row r="459" spans="1:16" ht="16.5">
      <c r="A459" s="58" t="str">
        <f t="shared" si="239"/>
        <v>Crépin</v>
      </c>
      <c r="B459" s="59" t="s">
        <v>154</v>
      </c>
      <c r="C459" s="61">
        <v>89205</v>
      </c>
      <c r="D459" s="61">
        <f t="shared" si="240"/>
        <v>0</v>
      </c>
      <c r="E459" s="61">
        <f t="shared" si="241"/>
        <v>0</v>
      </c>
      <c r="F459" s="61">
        <f t="shared" si="242"/>
        <v>0</v>
      </c>
      <c r="G459" s="61">
        <f t="shared" si="238"/>
        <v>0</v>
      </c>
      <c r="H459" s="61">
        <v>89205</v>
      </c>
      <c r="I459" s="61">
        <f>+C459+D459-E459-F459+G459</f>
        <v>89205</v>
      </c>
      <c r="J459" s="9">
        <f t="shared" si="243"/>
        <v>0</v>
      </c>
      <c r="K459" s="45" t="s">
        <v>47</v>
      </c>
      <c r="L459" s="47">
        <v>0</v>
      </c>
      <c r="M459" s="47">
        <v>0</v>
      </c>
      <c r="N459" s="47">
        <v>0</v>
      </c>
      <c r="O459" s="47">
        <v>0</v>
      </c>
    </row>
    <row r="460" spans="1:16" ht="16.5">
      <c r="A460" s="58" t="str">
        <f t="shared" si="239"/>
        <v>D58</v>
      </c>
      <c r="B460" s="59" t="s">
        <v>4</v>
      </c>
      <c r="C460" s="61">
        <v>0</v>
      </c>
      <c r="D460" s="61">
        <f t="shared" si="240"/>
        <v>85000</v>
      </c>
      <c r="E460" s="61">
        <f t="shared" si="241"/>
        <v>66500</v>
      </c>
      <c r="F460" s="61">
        <f t="shared" si="242"/>
        <v>0</v>
      </c>
      <c r="G460" s="61">
        <f t="shared" si="238"/>
        <v>0</v>
      </c>
      <c r="H460" s="61">
        <v>18500</v>
      </c>
      <c r="I460" s="61">
        <f>+C460+D460-E460-F460+G460</f>
        <v>18500</v>
      </c>
      <c r="J460" s="9">
        <f t="shared" si="243"/>
        <v>0</v>
      </c>
      <c r="K460" s="45" t="s">
        <v>269</v>
      </c>
      <c r="L460" s="47">
        <v>85000</v>
      </c>
      <c r="M460" s="47">
        <v>0</v>
      </c>
      <c r="N460" s="47">
        <v>66500</v>
      </c>
      <c r="O460" s="47">
        <v>0</v>
      </c>
    </row>
    <row r="461" spans="1:16" ht="16.5">
      <c r="A461" s="58" t="str">
        <f t="shared" si="239"/>
        <v>Donald</v>
      </c>
      <c r="B461" s="59" t="s">
        <v>154</v>
      </c>
      <c r="C461" s="61">
        <v>236200</v>
      </c>
      <c r="D461" s="61">
        <f t="shared" si="240"/>
        <v>264000</v>
      </c>
      <c r="E461" s="61">
        <f t="shared" si="241"/>
        <v>279550</v>
      </c>
      <c r="F461" s="61">
        <f t="shared" si="242"/>
        <v>210000</v>
      </c>
      <c r="G461" s="61">
        <f t="shared" si="238"/>
        <v>0</v>
      </c>
      <c r="H461" s="61">
        <v>10650</v>
      </c>
      <c r="I461" s="61">
        <f t="shared" ref="I461:I462" si="244">+C461+D461-E461-F461+G461</f>
        <v>10650</v>
      </c>
      <c r="J461" s="9">
        <f t="shared" si="243"/>
        <v>0</v>
      </c>
      <c r="K461" s="45" t="s">
        <v>255</v>
      </c>
      <c r="L461" s="47">
        <v>264000</v>
      </c>
      <c r="M461" s="47">
        <v>210000</v>
      </c>
      <c r="N461" s="47">
        <v>279550</v>
      </c>
      <c r="O461" s="47">
        <v>0</v>
      </c>
    </row>
    <row r="462" spans="1:16" ht="16.5">
      <c r="A462" s="58" t="str">
        <f t="shared" si="239"/>
        <v>Evariste</v>
      </c>
      <c r="B462" s="59" t="s">
        <v>155</v>
      </c>
      <c r="C462" s="61">
        <v>11675</v>
      </c>
      <c r="D462" s="61">
        <f t="shared" si="240"/>
        <v>187000</v>
      </c>
      <c r="E462" s="61">
        <f t="shared" si="241"/>
        <v>190350</v>
      </c>
      <c r="F462" s="61">
        <f t="shared" si="242"/>
        <v>0</v>
      </c>
      <c r="G462" s="61">
        <f t="shared" si="238"/>
        <v>0</v>
      </c>
      <c r="H462" s="61">
        <v>8325</v>
      </c>
      <c r="I462" s="61">
        <f t="shared" si="244"/>
        <v>8325</v>
      </c>
      <c r="J462" s="9">
        <f t="shared" si="243"/>
        <v>0</v>
      </c>
      <c r="K462" s="45" t="s">
        <v>31</v>
      </c>
      <c r="L462" s="47">
        <v>187000</v>
      </c>
      <c r="M462" s="47">
        <v>0</v>
      </c>
      <c r="N462" s="47">
        <v>190350</v>
      </c>
      <c r="O462" s="47">
        <v>0</v>
      </c>
    </row>
    <row r="463" spans="1:16" ht="16.5">
      <c r="A463" s="58" t="str">
        <f t="shared" si="239"/>
        <v>I55S</v>
      </c>
      <c r="B463" s="115" t="s">
        <v>4</v>
      </c>
      <c r="C463" s="117">
        <v>233614</v>
      </c>
      <c r="D463" s="117">
        <f t="shared" si="240"/>
        <v>0</v>
      </c>
      <c r="E463" s="117">
        <f>+N463</f>
        <v>0</v>
      </c>
      <c r="F463" s="117">
        <f t="shared" si="242"/>
        <v>0</v>
      </c>
      <c r="G463" s="117">
        <f t="shared" si="238"/>
        <v>0</v>
      </c>
      <c r="H463" s="117">
        <v>233614</v>
      </c>
      <c r="I463" s="117">
        <f>+C463+D463-E463-F463+G463</f>
        <v>233614</v>
      </c>
      <c r="J463" s="9">
        <f t="shared" si="243"/>
        <v>0</v>
      </c>
      <c r="K463" s="45" t="s">
        <v>84</v>
      </c>
      <c r="L463" s="47">
        <v>0</v>
      </c>
      <c r="M463" s="47">
        <v>0</v>
      </c>
      <c r="N463" s="47">
        <v>0</v>
      </c>
      <c r="O463" s="47">
        <v>0</v>
      </c>
    </row>
    <row r="464" spans="1:16" ht="16.5">
      <c r="A464" s="58" t="str">
        <f t="shared" si="239"/>
        <v>I73X</v>
      </c>
      <c r="B464" s="115" t="s">
        <v>4</v>
      </c>
      <c r="C464" s="117">
        <v>249769</v>
      </c>
      <c r="D464" s="117">
        <f t="shared" si="240"/>
        <v>0</v>
      </c>
      <c r="E464" s="117">
        <f>+N464</f>
        <v>0</v>
      </c>
      <c r="F464" s="117">
        <f t="shared" si="242"/>
        <v>0</v>
      </c>
      <c r="G464" s="117">
        <f t="shared" si="238"/>
        <v>0</v>
      </c>
      <c r="H464" s="117">
        <v>249769</v>
      </c>
      <c r="I464" s="117">
        <f t="shared" ref="I464:I469" si="245">+C464+D464-E464-F464+G464</f>
        <v>249769</v>
      </c>
      <c r="J464" s="9">
        <f t="shared" si="243"/>
        <v>0</v>
      </c>
      <c r="K464" s="45" t="s">
        <v>83</v>
      </c>
      <c r="L464" s="47">
        <v>0</v>
      </c>
      <c r="M464" s="47">
        <v>0</v>
      </c>
      <c r="N464" s="47">
        <v>0</v>
      </c>
      <c r="O464" s="47">
        <v>0</v>
      </c>
    </row>
    <row r="465" spans="1:15" ht="16.5">
      <c r="A465" s="58" t="str">
        <f t="shared" si="239"/>
        <v>Grace</v>
      </c>
      <c r="B465" s="59" t="s">
        <v>2</v>
      </c>
      <c r="C465" s="61">
        <v>11800</v>
      </c>
      <c r="D465" s="61">
        <f t="shared" si="240"/>
        <v>639000</v>
      </c>
      <c r="E465" s="61">
        <f t="shared" ref="E465" si="246">+N465</f>
        <v>437050</v>
      </c>
      <c r="F465" s="61">
        <f t="shared" si="242"/>
        <v>193000</v>
      </c>
      <c r="G465" s="61">
        <f t="shared" si="238"/>
        <v>0</v>
      </c>
      <c r="H465" s="181">
        <v>20750</v>
      </c>
      <c r="I465" s="181">
        <f t="shared" si="245"/>
        <v>20750</v>
      </c>
      <c r="J465" s="182">
        <f>I465-H465</f>
        <v>0</v>
      </c>
      <c r="K465" s="183" t="s">
        <v>143</v>
      </c>
      <c r="L465" s="184">
        <v>639000</v>
      </c>
      <c r="M465" s="184">
        <v>193000</v>
      </c>
      <c r="N465" s="47">
        <v>437050</v>
      </c>
      <c r="O465" s="184">
        <v>0</v>
      </c>
    </row>
    <row r="466" spans="1:15" ht="16.5">
      <c r="A466" s="58" t="str">
        <f t="shared" si="239"/>
        <v>Hurielle</v>
      </c>
      <c r="B466" s="97" t="s">
        <v>154</v>
      </c>
      <c r="C466" s="61">
        <v>18750</v>
      </c>
      <c r="D466" s="61">
        <f t="shared" si="240"/>
        <v>517000</v>
      </c>
      <c r="E466" s="61">
        <f>+N466</f>
        <v>335200</v>
      </c>
      <c r="F466" s="61">
        <f>+M466</f>
        <v>47000</v>
      </c>
      <c r="G466" s="61">
        <f t="shared" si="238"/>
        <v>0</v>
      </c>
      <c r="H466" s="61">
        <v>153550</v>
      </c>
      <c r="I466" s="61">
        <f t="shared" si="245"/>
        <v>153550</v>
      </c>
      <c r="J466" s="9">
        <f t="shared" ref="J466" si="247">I466-H466</f>
        <v>0</v>
      </c>
      <c r="K466" s="45" t="s">
        <v>197</v>
      </c>
      <c r="L466" s="47">
        <v>517000</v>
      </c>
      <c r="M466" s="47">
        <v>47000</v>
      </c>
      <c r="N466" s="47">
        <v>335200</v>
      </c>
      <c r="O466" s="47">
        <v>0</v>
      </c>
    </row>
    <row r="467" spans="1:15" ht="16.5">
      <c r="A467" s="58" t="str">
        <f t="shared" si="239"/>
        <v>Man Love</v>
      </c>
      <c r="B467" s="97" t="s">
        <v>154</v>
      </c>
      <c r="C467" s="61">
        <v>0</v>
      </c>
      <c r="D467" s="61">
        <f t="shared" si="240"/>
        <v>6000</v>
      </c>
      <c r="E467" s="61">
        <f>+N467</f>
        <v>6000</v>
      </c>
      <c r="F467" s="61">
        <f>+M467</f>
        <v>0</v>
      </c>
      <c r="G467" s="61"/>
      <c r="H467" s="61">
        <v>0</v>
      </c>
      <c r="I467" s="61">
        <v>0</v>
      </c>
      <c r="J467" s="9"/>
      <c r="K467" s="45" t="s">
        <v>270</v>
      </c>
      <c r="L467" s="47">
        <v>6000</v>
      </c>
      <c r="M467" s="47">
        <v>0</v>
      </c>
      <c r="N467" s="47">
        <v>6000</v>
      </c>
      <c r="O467" s="47"/>
    </row>
    <row r="468" spans="1:15" ht="16.5">
      <c r="A468" s="58" t="str">
        <f t="shared" si="239"/>
        <v>Merveille</v>
      </c>
      <c r="B468" s="59" t="s">
        <v>2</v>
      </c>
      <c r="C468" s="61">
        <v>-2900</v>
      </c>
      <c r="D468" s="61">
        <f t="shared" si="240"/>
        <v>218000</v>
      </c>
      <c r="E468" s="61">
        <f t="shared" ref="E468:E471" si="248">+N468</f>
        <v>124800</v>
      </c>
      <c r="F468" s="61">
        <f t="shared" ref="F468:F471" si="249">+M468</f>
        <v>20000</v>
      </c>
      <c r="G468" s="61">
        <f t="shared" si="238"/>
        <v>0</v>
      </c>
      <c r="H468" s="181">
        <v>70300</v>
      </c>
      <c r="I468" s="181">
        <f t="shared" si="245"/>
        <v>70300</v>
      </c>
      <c r="J468" s="182">
        <f>I468-H468</f>
        <v>0</v>
      </c>
      <c r="K468" s="183" t="s">
        <v>93</v>
      </c>
      <c r="L468" s="184">
        <v>218000</v>
      </c>
      <c r="M468" s="184">
        <v>20000</v>
      </c>
      <c r="N468" s="47">
        <v>124800</v>
      </c>
      <c r="O468" s="184">
        <v>0</v>
      </c>
    </row>
    <row r="469" spans="1:15" ht="16.5">
      <c r="A469" s="58" t="str">
        <f t="shared" si="239"/>
        <v>P29</v>
      </c>
      <c r="B469" s="97" t="s">
        <v>4</v>
      </c>
      <c r="C469" s="61">
        <v>148600</v>
      </c>
      <c r="D469" s="61">
        <f t="shared" si="240"/>
        <v>375000</v>
      </c>
      <c r="E469" s="61">
        <f t="shared" si="248"/>
        <v>424500</v>
      </c>
      <c r="F469" s="61">
        <f t="shared" si="249"/>
        <v>0</v>
      </c>
      <c r="G469" s="61">
        <f t="shared" si="238"/>
        <v>0</v>
      </c>
      <c r="H469" s="61">
        <v>99100</v>
      </c>
      <c r="I469" s="61">
        <f t="shared" si="245"/>
        <v>99100</v>
      </c>
      <c r="J469" s="9">
        <f t="shared" ref="J469:J470" si="250">I469-H469</f>
        <v>0</v>
      </c>
      <c r="K469" s="45" t="s">
        <v>29</v>
      </c>
      <c r="L469" s="47">
        <v>375000</v>
      </c>
      <c r="M469" s="47">
        <v>0</v>
      </c>
      <c r="N469" s="47">
        <v>424500</v>
      </c>
      <c r="O469" s="47">
        <v>0</v>
      </c>
    </row>
    <row r="470" spans="1:15" ht="16.5">
      <c r="A470" s="58" t="str">
        <f t="shared" si="239"/>
        <v>T73</v>
      </c>
      <c r="B470" s="59" t="s">
        <v>4</v>
      </c>
      <c r="C470" s="61">
        <v>0</v>
      </c>
      <c r="D470" s="61">
        <f>+L470</f>
        <v>85000</v>
      </c>
      <c r="E470" s="61">
        <f t="shared" si="248"/>
        <v>71100</v>
      </c>
      <c r="F470" s="61">
        <f t="shared" si="249"/>
        <v>0</v>
      </c>
      <c r="G470" s="61">
        <f t="shared" si="238"/>
        <v>0</v>
      </c>
      <c r="H470" s="61">
        <v>13900</v>
      </c>
      <c r="I470" s="61">
        <f>+C470+D470-E470-F470+G470</f>
        <v>13900</v>
      </c>
      <c r="J470" s="9">
        <f t="shared" si="250"/>
        <v>0</v>
      </c>
      <c r="K470" s="45" t="s">
        <v>268</v>
      </c>
      <c r="L470" s="47">
        <v>85000</v>
      </c>
      <c r="M470" s="47">
        <v>0</v>
      </c>
      <c r="N470" s="184">
        <v>71100</v>
      </c>
      <c r="O470" s="47">
        <v>0</v>
      </c>
    </row>
    <row r="471" spans="1:15" ht="16.5">
      <c r="A471" s="58" t="str">
        <f t="shared" si="239"/>
        <v>Tiffany</v>
      </c>
      <c r="B471" s="59" t="s">
        <v>2</v>
      </c>
      <c r="C471" s="61">
        <v>-10174</v>
      </c>
      <c r="D471" s="61">
        <f t="shared" ref="D471" si="251">+L471</f>
        <v>198000</v>
      </c>
      <c r="E471" s="61">
        <f t="shared" si="248"/>
        <v>141150</v>
      </c>
      <c r="F471" s="61">
        <f t="shared" si="249"/>
        <v>50000</v>
      </c>
      <c r="G471" s="61">
        <f t="shared" si="238"/>
        <v>0</v>
      </c>
      <c r="H471" s="61">
        <v>-3324</v>
      </c>
      <c r="I471" s="61">
        <f>+C471+D471-E471-F471+G471</f>
        <v>-3324</v>
      </c>
      <c r="J471" s="9">
        <f>I471-H471</f>
        <v>0</v>
      </c>
      <c r="K471" s="45" t="s">
        <v>113</v>
      </c>
      <c r="L471" s="47">
        <v>198000</v>
      </c>
      <c r="M471" s="47">
        <v>50000</v>
      </c>
      <c r="N471" s="47">
        <v>141150</v>
      </c>
      <c r="O471" s="47">
        <v>0</v>
      </c>
    </row>
    <row r="472" spans="1:15" ht="16.5">
      <c r="A472" s="10" t="s">
        <v>50</v>
      </c>
      <c r="B472" s="11"/>
      <c r="C472" s="12">
        <f t="shared" ref="C472:I472" si="252">SUM(C456:C471)</f>
        <v>18323398</v>
      </c>
      <c r="D472" s="57">
        <f t="shared" si="252"/>
        <v>6851000</v>
      </c>
      <c r="E472" s="57">
        <f t="shared" si="252"/>
        <v>9504745</v>
      </c>
      <c r="F472" s="57">
        <f t="shared" si="252"/>
        <v>6851000</v>
      </c>
      <c r="G472" s="57">
        <f t="shared" si="252"/>
        <v>8735379</v>
      </c>
      <c r="H472" s="57">
        <f t="shared" si="252"/>
        <v>17554032</v>
      </c>
      <c r="I472" s="57">
        <f t="shared" si="252"/>
        <v>17554032</v>
      </c>
      <c r="J472" s="9">
        <f>I472-H472</f>
        <v>0</v>
      </c>
      <c r="K472" s="3"/>
      <c r="L472" s="47">
        <f>+SUM(L456:L471)</f>
        <v>6851000</v>
      </c>
      <c r="M472" s="47">
        <f>+SUM(M456:M471)</f>
        <v>6851000</v>
      </c>
      <c r="N472" s="47">
        <f>+SUM(N456:N471)</f>
        <v>9504745</v>
      </c>
      <c r="O472" s="47">
        <f>+SUM(O456:O471)</f>
        <v>8735379</v>
      </c>
    </row>
    <row r="473" spans="1:15" ht="16.5">
      <c r="A473" s="10"/>
      <c r="B473" s="11"/>
      <c r="C473" s="12"/>
      <c r="D473" s="13"/>
      <c r="E473" s="12"/>
      <c r="F473" s="13"/>
      <c r="G473" s="12"/>
      <c r="H473" s="12"/>
      <c r="I473" s="133" t="b">
        <f>I472=D475</f>
        <v>1</v>
      </c>
      <c r="J473" s="9">
        <f>H472-I472</f>
        <v>0</v>
      </c>
      <c r="L473" s="5"/>
      <c r="M473" s="5"/>
      <c r="N473" s="5"/>
      <c r="O473" s="5"/>
    </row>
    <row r="474" spans="1:15" ht="16.5">
      <c r="A474" s="10" t="s">
        <v>271</v>
      </c>
      <c r="B474" s="11" t="s">
        <v>177</v>
      </c>
      <c r="C474" s="12" t="s">
        <v>176</v>
      </c>
      <c r="D474" s="12" t="s">
        <v>272</v>
      </c>
      <c r="E474" s="12" t="s">
        <v>51</v>
      </c>
      <c r="F474" s="12"/>
      <c r="G474" s="12">
        <f>+D472-F472</f>
        <v>0</v>
      </c>
      <c r="H474" s="12"/>
      <c r="I474" s="12"/>
    </row>
    <row r="475" spans="1:15" ht="16.5">
      <c r="A475" s="14">
        <f>C472</f>
        <v>18323398</v>
      </c>
      <c r="B475" s="15">
        <f>G472</f>
        <v>8735379</v>
      </c>
      <c r="C475" s="12">
        <f>E472</f>
        <v>9504745</v>
      </c>
      <c r="D475" s="12">
        <f>A475+B475-C475</f>
        <v>17554032</v>
      </c>
      <c r="E475" s="13">
        <f>I472-D475</f>
        <v>0</v>
      </c>
      <c r="F475" s="12"/>
      <c r="G475" s="12"/>
      <c r="H475" s="12"/>
      <c r="I475" s="12"/>
    </row>
    <row r="476" spans="1:15" ht="16.5">
      <c r="A476" s="14"/>
      <c r="B476" s="15"/>
      <c r="C476" s="12"/>
      <c r="D476" s="12"/>
      <c r="E476" s="13"/>
      <c r="F476" s="12"/>
      <c r="G476" s="12"/>
      <c r="H476" s="12"/>
      <c r="I476" s="12"/>
    </row>
    <row r="477" spans="1:15">
      <c r="A477" s="16" t="s">
        <v>52</v>
      </c>
      <c r="B477" s="16"/>
      <c r="C477" s="16"/>
      <c r="D477" s="17"/>
      <c r="E477" s="17"/>
      <c r="F477" s="17"/>
      <c r="G477" s="17"/>
      <c r="H477" s="17"/>
      <c r="I477" s="17"/>
    </row>
    <row r="478" spans="1:15">
      <c r="A478" s="18" t="s">
        <v>273</v>
      </c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5">
      <c r="A479" s="19"/>
      <c r="B479" s="17"/>
      <c r="C479" s="20"/>
      <c r="D479" s="20"/>
      <c r="E479" s="20"/>
      <c r="F479" s="20"/>
      <c r="G479" s="20"/>
      <c r="H479" s="17"/>
      <c r="I479" s="17"/>
    </row>
    <row r="480" spans="1:15">
      <c r="A480" s="166" t="s">
        <v>53</v>
      </c>
      <c r="B480" s="168" t="s">
        <v>54</v>
      </c>
      <c r="C480" s="170" t="s">
        <v>274</v>
      </c>
      <c r="D480" s="171" t="s">
        <v>55</v>
      </c>
      <c r="E480" s="172"/>
      <c r="F480" s="172"/>
      <c r="G480" s="173"/>
      <c r="H480" s="174" t="s">
        <v>56</v>
      </c>
      <c r="I480" s="162" t="s">
        <v>57</v>
      </c>
      <c r="J480" s="205"/>
    </row>
    <row r="481" spans="1:11" ht="25.5">
      <c r="A481" s="167"/>
      <c r="B481" s="169"/>
      <c r="C481" s="22"/>
      <c r="D481" s="21" t="s">
        <v>24</v>
      </c>
      <c r="E481" s="21" t="s">
        <v>25</v>
      </c>
      <c r="F481" s="22" t="s">
        <v>123</v>
      </c>
      <c r="G481" s="21" t="s">
        <v>58</v>
      </c>
      <c r="H481" s="175"/>
      <c r="I481" s="163"/>
      <c r="J481" s="165" t="s">
        <v>275</v>
      </c>
      <c r="K481" s="142"/>
    </row>
    <row r="482" spans="1:11">
      <c r="A482" s="23"/>
      <c r="B482" s="24" t="s">
        <v>59</v>
      </c>
      <c r="C482" s="25"/>
      <c r="D482" s="25"/>
      <c r="E482" s="25"/>
      <c r="F482" s="25"/>
      <c r="G482" s="25"/>
      <c r="H482" s="25"/>
      <c r="I482" s="26"/>
      <c r="J482" s="165"/>
      <c r="K482" s="142"/>
    </row>
    <row r="483" spans="1:11">
      <c r="A483" s="121" t="s">
        <v>108</v>
      </c>
      <c r="B483" s="126" t="s">
        <v>47</v>
      </c>
      <c r="C483" s="32">
        <f>+C459</f>
        <v>89205</v>
      </c>
      <c r="D483" s="31"/>
      <c r="E483" s="32">
        <f>+D459</f>
        <v>0</v>
      </c>
      <c r="F483" s="32"/>
      <c r="G483" s="32"/>
      <c r="H483" s="55">
        <f>+F459</f>
        <v>0</v>
      </c>
      <c r="I483" s="32">
        <f>+E459</f>
        <v>0</v>
      </c>
      <c r="J483" s="30">
        <f t="shared" ref="J483:J486" si="253">+SUM(C483:G483)-(H483+I483)</f>
        <v>89205</v>
      </c>
      <c r="K483" s="143" t="b">
        <f>J483=I459</f>
        <v>1</v>
      </c>
    </row>
    <row r="484" spans="1:11">
      <c r="A484" s="121" t="str">
        <f>+A483</f>
        <v>JANVIER</v>
      </c>
      <c r="B484" s="126" t="s">
        <v>269</v>
      </c>
      <c r="C484" s="32">
        <f t="shared" ref="C484:C486" si="254">+C460</f>
        <v>0</v>
      </c>
      <c r="D484" s="31"/>
      <c r="E484" s="32">
        <f t="shared" ref="E484:E486" si="255">+D460</f>
        <v>85000</v>
      </c>
      <c r="F484" s="32"/>
      <c r="G484" s="32"/>
      <c r="H484" s="55">
        <f t="shared" ref="H484:H486" si="256">+F460</f>
        <v>0</v>
      </c>
      <c r="I484" s="32">
        <f t="shared" ref="I484:I486" si="257">+E460</f>
        <v>66500</v>
      </c>
      <c r="J484" s="30">
        <f t="shared" si="253"/>
        <v>18500</v>
      </c>
      <c r="K484" s="143" t="b">
        <f>J484=I460</f>
        <v>1</v>
      </c>
    </row>
    <row r="485" spans="1:11">
      <c r="A485" s="121" t="str">
        <f t="shared" ref="A485:A495" si="258">+A484</f>
        <v>JANVIER</v>
      </c>
      <c r="B485" s="126" t="s">
        <v>255</v>
      </c>
      <c r="C485" s="32">
        <f t="shared" si="254"/>
        <v>236200</v>
      </c>
      <c r="D485" s="31"/>
      <c r="E485" s="32">
        <f t="shared" si="255"/>
        <v>264000</v>
      </c>
      <c r="F485" s="32"/>
      <c r="G485" s="32"/>
      <c r="H485" s="55">
        <f t="shared" si="256"/>
        <v>210000</v>
      </c>
      <c r="I485" s="32">
        <f t="shared" si="257"/>
        <v>279550</v>
      </c>
      <c r="J485" s="30">
        <f t="shared" si="253"/>
        <v>10650</v>
      </c>
      <c r="K485" s="143" t="b">
        <f t="shared" ref="K485:K495" si="259">J485=I461</f>
        <v>1</v>
      </c>
    </row>
    <row r="486" spans="1:11">
      <c r="A486" s="121" t="str">
        <f t="shared" si="258"/>
        <v>JANVIER</v>
      </c>
      <c r="B486" s="126" t="s">
        <v>31</v>
      </c>
      <c r="C486" s="32">
        <f t="shared" si="254"/>
        <v>11675</v>
      </c>
      <c r="D486" s="31"/>
      <c r="E486" s="32">
        <f t="shared" si="255"/>
        <v>187000</v>
      </c>
      <c r="F486" s="32"/>
      <c r="G486" s="32"/>
      <c r="H486" s="55">
        <f t="shared" si="256"/>
        <v>0</v>
      </c>
      <c r="I486" s="32">
        <f t="shared" si="257"/>
        <v>190350</v>
      </c>
      <c r="J486" s="30">
        <f t="shared" si="253"/>
        <v>8325</v>
      </c>
      <c r="K486" s="143" t="b">
        <f t="shared" si="259"/>
        <v>1</v>
      </c>
    </row>
    <row r="487" spans="1:11">
      <c r="A487" s="121" t="str">
        <f t="shared" si="258"/>
        <v>JANVIER</v>
      </c>
      <c r="B487" s="128" t="s">
        <v>84</v>
      </c>
      <c r="C487" s="119">
        <f>+C463</f>
        <v>233614</v>
      </c>
      <c r="D487" s="122"/>
      <c r="E487" s="119">
        <f>+D463</f>
        <v>0</v>
      </c>
      <c r="F487" s="136"/>
      <c r="G487" s="136"/>
      <c r="H487" s="154">
        <f>+F463</f>
        <v>0</v>
      </c>
      <c r="I487" s="119">
        <f>+E463</f>
        <v>0</v>
      </c>
      <c r="J487" s="120">
        <f>+SUM(C487:G487)-(H487+I487)</f>
        <v>233614</v>
      </c>
      <c r="K487" s="143" t="b">
        <f t="shared" si="259"/>
        <v>1</v>
      </c>
    </row>
    <row r="488" spans="1:11">
      <c r="A488" s="121" t="str">
        <f t="shared" si="258"/>
        <v>JANVIER</v>
      </c>
      <c r="B488" s="128" t="s">
        <v>83</v>
      </c>
      <c r="C488" s="119">
        <f>+C464</f>
        <v>249769</v>
      </c>
      <c r="D488" s="122"/>
      <c r="E488" s="119">
        <f>+D464</f>
        <v>0</v>
      </c>
      <c r="F488" s="136"/>
      <c r="G488" s="136"/>
      <c r="H488" s="154">
        <f>+F464</f>
        <v>0</v>
      </c>
      <c r="I488" s="119">
        <f>+E464</f>
        <v>0</v>
      </c>
      <c r="J488" s="120">
        <f t="shared" ref="J488:J495" si="260">+SUM(C488:G488)-(H488+I488)</f>
        <v>249769</v>
      </c>
      <c r="K488" s="143" t="b">
        <f t="shared" si="259"/>
        <v>1</v>
      </c>
    </row>
    <row r="489" spans="1:11">
      <c r="A489" s="121" t="str">
        <f t="shared" si="258"/>
        <v>JANVIER</v>
      </c>
      <c r="B489" s="126" t="s">
        <v>143</v>
      </c>
      <c r="C489" s="32">
        <f>+C465</f>
        <v>11800</v>
      </c>
      <c r="D489" s="31"/>
      <c r="E489" s="32">
        <f>+D465</f>
        <v>639000</v>
      </c>
      <c r="F489" s="32"/>
      <c r="G489" s="103"/>
      <c r="H489" s="55">
        <f>+F465</f>
        <v>193000</v>
      </c>
      <c r="I489" s="32">
        <f>+E465</f>
        <v>437050</v>
      </c>
      <c r="J489" s="30">
        <f t="shared" si="260"/>
        <v>20750</v>
      </c>
      <c r="K489" s="143" t="b">
        <f t="shared" si="259"/>
        <v>1</v>
      </c>
    </row>
    <row r="490" spans="1:11">
      <c r="A490" s="121" t="str">
        <f t="shared" si="258"/>
        <v>JANVIER</v>
      </c>
      <c r="B490" s="126" t="s">
        <v>197</v>
      </c>
      <c r="C490" s="32">
        <f t="shared" ref="C490:C495" si="261">+C466</f>
        <v>18750</v>
      </c>
      <c r="D490" s="31"/>
      <c r="E490" s="32">
        <f t="shared" ref="E490:E495" si="262">+D466</f>
        <v>517000</v>
      </c>
      <c r="F490" s="32"/>
      <c r="G490" s="103"/>
      <c r="H490" s="55">
        <f t="shared" ref="H490:H495" si="263">+F466</f>
        <v>47000</v>
      </c>
      <c r="I490" s="32">
        <f t="shared" ref="I490:I495" si="264">+E466</f>
        <v>335200</v>
      </c>
      <c r="J490" s="30">
        <f t="shared" si="260"/>
        <v>153550</v>
      </c>
      <c r="K490" s="143" t="b">
        <f t="shared" si="259"/>
        <v>1</v>
      </c>
    </row>
    <row r="491" spans="1:11">
      <c r="A491" s="121" t="str">
        <f t="shared" si="258"/>
        <v>JANVIER</v>
      </c>
      <c r="B491" s="126" t="s">
        <v>270</v>
      </c>
      <c r="C491" s="32">
        <f t="shared" si="261"/>
        <v>0</v>
      </c>
      <c r="D491" s="31"/>
      <c r="E491" s="32">
        <f t="shared" si="262"/>
        <v>6000</v>
      </c>
      <c r="F491" s="32"/>
      <c r="G491" s="103"/>
      <c r="H491" s="55">
        <f t="shared" si="263"/>
        <v>0</v>
      </c>
      <c r="I491" s="32">
        <f t="shared" si="264"/>
        <v>6000</v>
      </c>
      <c r="J491" s="30">
        <f t="shared" si="260"/>
        <v>0</v>
      </c>
      <c r="K491" s="143" t="b">
        <f t="shared" si="259"/>
        <v>1</v>
      </c>
    </row>
    <row r="492" spans="1:11">
      <c r="A492" s="121" t="str">
        <f t="shared" si="258"/>
        <v>JANVIER</v>
      </c>
      <c r="B492" s="126" t="s">
        <v>93</v>
      </c>
      <c r="C492" s="32">
        <f t="shared" si="261"/>
        <v>-2900</v>
      </c>
      <c r="D492" s="31"/>
      <c r="E492" s="32">
        <f t="shared" si="262"/>
        <v>218000</v>
      </c>
      <c r="F492" s="32"/>
      <c r="G492" s="103"/>
      <c r="H492" s="55">
        <f t="shared" si="263"/>
        <v>20000</v>
      </c>
      <c r="I492" s="32">
        <f t="shared" si="264"/>
        <v>124800</v>
      </c>
      <c r="J492" s="30">
        <f t="shared" si="260"/>
        <v>70300</v>
      </c>
      <c r="K492" s="143" t="b">
        <f t="shared" si="259"/>
        <v>1</v>
      </c>
    </row>
    <row r="493" spans="1:11">
      <c r="A493" s="121" t="str">
        <f t="shared" si="258"/>
        <v>JANVIER</v>
      </c>
      <c r="B493" s="126" t="s">
        <v>29</v>
      </c>
      <c r="C493" s="32">
        <f t="shared" si="261"/>
        <v>148600</v>
      </c>
      <c r="D493" s="31"/>
      <c r="E493" s="32">
        <f t="shared" si="262"/>
        <v>375000</v>
      </c>
      <c r="F493" s="32"/>
      <c r="G493" s="103"/>
      <c r="H493" s="55">
        <f t="shared" si="263"/>
        <v>0</v>
      </c>
      <c r="I493" s="32">
        <f t="shared" si="264"/>
        <v>424500</v>
      </c>
      <c r="J493" s="30">
        <f t="shared" si="260"/>
        <v>99100</v>
      </c>
      <c r="K493" s="143" t="b">
        <f t="shared" si="259"/>
        <v>1</v>
      </c>
    </row>
    <row r="494" spans="1:11">
      <c r="A494" s="121" t="str">
        <f t="shared" si="258"/>
        <v>JANVIER</v>
      </c>
      <c r="B494" s="127" t="s">
        <v>268</v>
      </c>
      <c r="C494" s="32">
        <f t="shared" si="261"/>
        <v>0</v>
      </c>
      <c r="D494" s="118"/>
      <c r="E494" s="32">
        <f t="shared" si="262"/>
        <v>85000</v>
      </c>
      <c r="F494" s="51"/>
      <c r="G494" s="137"/>
      <c r="H494" s="55">
        <f t="shared" si="263"/>
        <v>0</v>
      </c>
      <c r="I494" s="32">
        <f t="shared" si="264"/>
        <v>71100</v>
      </c>
      <c r="J494" s="30">
        <f t="shared" ref="J494" si="265">+SUM(C494:G494)-(H494+I494)</f>
        <v>13900</v>
      </c>
      <c r="K494" s="143" t="b">
        <f t="shared" si="259"/>
        <v>1</v>
      </c>
    </row>
    <row r="495" spans="1:11">
      <c r="A495" s="121" t="str">
        <f t="shared" si="258"/>
        <v>JANVIER</v>
      </c>
      <c r="B495" s="127" t="s">
        <v>113</v>
      </c>
      <c r="C495" s="32">
        <f t="shared" si="261"/>
        <v>-10174</v>
      </c>
      <c r="D495" s="118"/>
      <c r="E495" s="32">
        <f t="shared" si="262"/>
        <v>198000</v>
      </c>
      <c r="F495" s="51"/>
      <c r="G495" s="137"/>
      <c r="H495" s="55">
        <f t="shared" si="263"/>
        <v>50000</v>
      </c>
      <c r="I495" s="32">
        <f t="shared" si="264"/>
        <v>141150</v>
      </c>
      <c r="J495" s="30">
        <f t="shared" si="260"/>
        <v>-3324</v>
      </c>
      <c r="K495" s="143" t="b">
        <f t="shared" si="259"/>
        <v>1</v>
      </c>
    </row>
    <row r="496" spans="1:11">
      <c r="A496" s="34" t="s">
        <v>60</v>
      </c>
      <c r="B496" s="35"/>
      <c r="C496" s="35"/>
      <c r="D496" s="35"/>
      <c r="E496" s="35"/>
      <c r="F496" s="35"/>
      <c r="G496" s="35"/>
      <c r="H496" s="35"/>
      <c r="I496" s="35"/>
      <c r="J496" s="36"/>
      <c r="K496" s="142"/>
    </row>
    <row r="497" spans="1:16">
      <c r="A497" s="121" t="str">
        <f>A495</f>
        <v>JANVIER</v>
      </c>
      <c r="B497" s="37" t="s">
        <v>61</v>
      </c>
      <c r="C497" s="38">
        <f>+C458</f>
        <v>1335599</v>
      </c>
      <c r="D497" s="49"/>
      <c r="E497" s="49">
        <f>D458</f>
        <v>4277000</v>
      </c>
      <c r="F497" s="49"/>
      <c r="G497" s="124"/>
      <c r="H497" s="51">
        <f>+F458</f>
        <v>2331000</v>
      </c>
      <c r="I497" s="125">
        <f>+E458</f>
        <v>2382011</v>
      </c>
      <c r="J497" s="30">
        <f>+SUM(C497:G497)-(H497+I497)</f>
        <v>899588</v>
      </c>
      <c r="K497" s="143" t="b">
        <f>J497=I458</f>
        <v>1</v>
      </c>
    </row>
    <row r="498" spans="1:16">
      <c r="A498" s="43" t="s">
        <v>62</v>
      </c>
      <c r="B498" s="24"/>
      <c r="C498" s="35"/>
      <c r="D498" s="24"/>
      <c r="E498" s="24"/>
      <c r="F498" s="24"/>
      <c r="G498" s="24"/>
      <c r="H498" s="24"/>
      <c r="I498" s="24"/>
      <c r="J498" s="36"/>
      <c r="K498" s="142"/>
    </row>
    <row r="499" spans="1:16">
      <c r="A499" s="121" t="str">
        <f>+A497</f>
        <v>JANVIER</v>
      </c>
      <c r="B499" s="37" t="s">
        <v>24</v>
      </c>
      <c r="C499" s="124">
        <f>+C456</f>
        <v>13524897</v>
      </c>
      <c r="D499" s="131">
        <f>+G456</f>
        <v>0</v>
      </c>
      <c r="E499" s="49"/>
      <c r="F499" s="49"/>
      <c r="G499" s="49"/>
      <c r="H499" s="51">
        <f>+F456</f>
        <v>4000000</v>
      </c>
      <c r="I499" s="53">
        <f>+E456</f>
        <v>173345</v>
      </c>
      <c r="J499" s="30">
        <f>+SUM(C499:G499)-(H499+I499)</f>
        <v>9351552</v>
      </c>
      <c r="K499" s="143" t="b">
        <f>+J499=I456</f>
        <v>1</v>
      </c>
    </row>
    <row r="500" spans="1:16">
      <c r="A500" s="121" t="str">
        <f t="shared" ref="A500" si="266">+A499</f>
        <v>JANVIER</v>
      </c>
      <c r="B500" s="37" t="s">
        <v>64</v>
      </c>
      <c r="C500" s="124">
        <f>+C457</f>
        <v>2476363</v>
      </c>
      <c r="D500" s="49">
        <f>+G457</f>
        <v>8735379</v>
      </c>
      <c r="E500" s="48"/>
      <c r="F500" s="48"/>
      <c r="G500" s="48"/>
      <c r="H500" s="32">
        <f>+F457</f>
        <v>0</v>
      </c>
      <c r="I500" s="50">
        <f>+E457</f>
        <v>4873189</v>
      </c>
      <c r="J500" s="30">
        <f>SUM(C500:G500)-(H500+I500)</f>
        <v>6338553</v>
      </c>
      <c r="K500" s="143" t="b">
        <f>+J500=I457</f>
        <v>1</v>
      </c>
    </row>
    <row r="501" spans="1:16" ht="15.75">
      <c r="C501" s="140">
        <f>SUM(C483:C500)</f>
        <v>18323398</v>
      </c>
      <c r="I501" s="139">
        <f>SUM(I483:I500)</f>
        <v>9504745</v>
      </c>
      <c r="J501" s="104">
        <f>+SUM(J483:J500)</f>
        <v>17554032</v>
      </c>
      <c r="K501" s="5" t="b">
        <f>J501=I472</f>
        <v>1</v>
      </c>
    </row>
    <row r="502" spans="1:16" ht="15.75">
      <c r="C502" s="140"/>
      <c r="I502" s="139"/>
      <c r="J502" s="104"/>
    </row>
    <row r="503" spans="1:16" ht="15.75">
      <c r="A503" s="157"/>
      <c r="B503" s="157"/>
      <c r="C503" s="158"/>
      <c r="D503" s="157"/>
      <c r="E503" s="157"/>
      <c r="F503" s="157"/>
      <c r="G503" s="157"/>
      <c r="H503" s="157"/>
      <c r="I503" s="159"/>
      <c r="J503" s="160"/>
      <c r="K503" s="157"/>
      <c r="L503" s="161"/>
      <c r="M503" s="161"/>
      <c r="N503" s="161"/>
      <c r="O503" s="161"/>
      <c r="P503" s="157"/>
    </row>
    <row r="505" spans="1:16" ht="15.75">
      <c r="A505" s="6" t="s">
        <v>36</v>
      </c>
      <c r="B505" s="6" t="s">
        <v>1</v>
      </c>
      <c r="C505" s="6">
        <v>44896</v>
      </c>
      <c r="D505" s="7" t="s">
        <v>37</v>
      </c>
      <c r="E505" s="7" t="s">
        <v>38</v>
      </c>
      <c r="F505" s="7" t="s">
        <v>39</v>
      </c>
      <c r="G505" s="7" t="s">
        <v>40</v>
      </c>
      <c r="H505" s="6">
        <v>44926</v>
      </c>
      <c r="I505" s="7" t="s">
        <v>41</v>
      </c>
      <c r="K505" s="45"/>
      <c r="L505" s="45" t="s">
        <v>42</v>
      </c>
      <c r="M505" s="45" t="s">
        <v>43</v>
      </c>
      <c r="N505" s="45" t="s">
        <v>44</v>
      </c>
      <c r="O505" s="45" t="s">
        <v>45</v>
      </c>
    </row>
    <row r="506" spans="1:16" ht="16.5">
      <c r="A506" s="58" t="str">
        <f>K506</f>
        <v>BCI</v>
      </c>
      <c r="B506" s="59" t="s">
        <v>46</v>
      </c>
      <c r="C506" s="61">
        <v>16218242</v>
      </c>
      <c r="D506" s="61">
        <f>+L506</f>
        <v>0</v>
      </c>
      <c r="E506" s="61">
        <f>+N506</f>
        <v>693345</v>
      </c>
      <c r="F506" s="61">
        <f>+M506</f>
        <v>2000000</v>
      </c>
      <c r="G506" s="61">
        <f t="shared" ref="G506:G519" si="267">+O506</f>
        <v>0</v>
      </c>
      <c r="H506" s="61">
        <v>13524897</v>
      </c>
      <c r="I506" s="61">
        <f>+C506+D506-E506-F506+G506</f>
        <v>13524897</v>
      </c>
      <c r="J506" s="9">
        <f>I506-H506</f>
        <v>0</v>
      </c>
      <c r="K506" s="45" t="s">
        <v>24</v>
      </c>
      <c r="L506" s="47">
        <v>0</v>
      </c>
      <c r="M506" s="47">
        <v>2000000</v>
      </c>
      <c r="N506" s="47">
        <v>693345</v>
      </c>
      <c r="O506" s="47">
        <v>0</v>
      </c>
    </row>
    <row r="507" spans="1:16" ht="16.5">
      <c r="A507" s="58" t="str">
        <f t="shared" ref="A507:A519" si="268">K507</f>
        <v>BCI-Sous Compte</v>
      </c>
      <c r="B507" s="59" t="s">
        <v>46</v>
      </c>
      <c r="C507" s="61">
        <v>5621164</v>
      </c>
      <c r="D507" s="61">
        <f t="shared" ref="D507:D517" si="269">+L507</f>
        <v>0</v>
      </c>
      <c r="E507" s="61">
        <f t="shared" ref="E507:E511" si="270">+N507</f>
        <v>3144801</v>
      </c>
      <c r="F507" s="61">
        <f t="shared" ref="F507:F514" si="271">+M507</f>
        <v>0</v>
      </c>
      <c r="G507" s="61">
        <f t="shared" si="267"/>
        <v>0</v>
      </c>
      <c r="H507" s="61">
        <v>2476363</v>
      </c>
      <c r="I507" s="61">
        <f>+C507+D507-E507-F507+G507</f>
        <v>2476363</v>
      </c>
      <c r="J507" s="9">
        <f t="shared" ref="J507:J513" si="272">I507-H507</f>
        <v>0</v>
      </c>
      <c r="K507" s="45" t="s">
        <v>148</v>
      </c>
      <c r="L507" s="46">
        <v>0</v>
      </c>
      <c r="M507" s="47">
        <v>0</v>
      </c>
      <c r="N507" s="47">
        <v>3144801</v>
      </c>
      <c r="O507" s="47">
        <v>0</v>
      </c>
    </row>
    <row r="508" spans="1:16" ht="16.5">
      <c r="A508" s="58" t="str">
        <f t="shared" si="268"/>
        <v>Caisse</v>
      </c>
      <c r="B508" s="59" t="s">
        <v>25</v>
      </c>
      <c r="C508" s="61">
        <v>2476103</v>
      </c>
      <c r="D508" s="61">
        <f t="shared" si="269"/>
        <v>2461000</v>
      </c>
      <c r="E508" s="61">
        <f t="shared" si="270"/>
        <v>1832504</v>
      </c>
      <c r="F508" s="61">
        <f t="shared" si="271"/>
        <v>1769000</v>
      </c>
      <c r="G508" s="61">
        <f t="shared" si="267"/>
        <v>0</v>
      </c>
      <c r="H508" s="61">
        <v>1335599</v>
      </c>
      <c r="I508" s="61">
        <f>+C508+D508-E508-F508+G508</f>
        <v>1335599</v>
      </c>
      <c r="J508" s="101">
        <f t="shared" si="272"/>
        <v>0</v>
      </c>
      <c r="K508" s="45" t="s">
        <v>25</v>
      </c>
      <c r="L508" s="47">
        <v>2461000</v>
      </c>
      <c r="M508" s="47">
        <v>1769000</v>
      </c>
      <c r="N508" s="47">
        <v>1832504</v>
      </c>
      <c r="O508" s="47">
        <v>0</v>
      </c>
    </row>
    <row r="509" spans="1:16" ht="16.5">
      <c r="A509" s="58" t="str">
        <f t="shared" si="268"/>
        <v>Crépin</v>
      </c>
      <c r="B509" s="59" t="s">
        <v>154</v>
      </c>
      <c r="C509" s="61">
        <v>409530</v>
      </c>
      <c r="D509" s="61">
        <f t="shared" si="269"/>
        <v>435000</v>
      </c>
      <c r="E509" s="61">
        <f t="shared" si="270"/>
        <v>755325</v>
      </c>
      <c r="F509" s="61">
        <f t="shared" si="271"/>
        <v>0</v>
      </c>
      <c r="G509" s="61">
        <f t="shared" si="267"/>
        <v>0</v>
      </c>
      <c r="H509" s="61">
        <v>89205</v>
      </c>
      <c r="I509" s="61">
        <f>+C509+D509-E509-F509+G509</f>
        <v>89205</v>
      </c>
      <c r="J509" s="9">
        <f t="shared" si="272"/>
        <v>0</v>
      </c>
      <c r="K509" s="45" t="s">
        <v>47</v>
      </c>
      <c r="L509" s="47">
        <v>435000</v>
      </c>
      <c r="M509" s="47">
        <v>0</v>
      </c>
      <c r="N509" s="47">
        <v>755325</v>
      </c>
      <c r="O509" s="47">
        <v>0</v>
      </c>
    </row>
    <row r="510" spans="1:16" ht="16.5">
      <c r="A510" s="58" t="str">
        <f t="shared" si="268"/>
        <v>Donald</v>
      </c>
      <c r="B510" s="59" t="s">
        <v>154</v>
      </c>
      <c r="C510" s="61">
        <v>9700</v>
      </c>
      <c r="D510" s="61">
        <f t="shared" si="269"/>
        <v>389000</v>
      </c>
      <c r="E510" s="61">
        <f t="shared" si="270"/>
        <v>162500</v>
      </c>
      <c r="F510" s="61">
        <f t="shared" si="271"/>
        <v>0</v>
      </c>
      <c r="G510" s="61">
        <f t="shared" si="267"/>
        <v>0</v>
      </c>
      <c r="H510" s="61">
        <v>236200</v>
      </c>
      <c r="I510" s="61">
        <f t="shared" ref="I510:I511" si="273">+C510+D510-E510-F510+G510</f>
        <v>236200</v>
      </c>
      <c r="J510" s="9">
        <f t="shared" si="272"/>
        <v>0</v>
      </c>
      <c r="K510" s="45" t="s">
        <v>255</v>
      </c>
      <c r="L510" s="47">
        <v>389000</v>
      </c>
      <c r="M510" s="47">
        <v>0</v>
      </c>
      <c r="N510" s="47">
        <v>162500</v>
      </c>
      <c r="O510" s="47">
        <v>0</v>
      </c>
    </row>
    <row r="511" spans="1:16" ht="16.5">
      <c r="A511" s="58" t="str">
        <f t="shared" si="268"/>
        <v>Evariste</v>
      </c>
      <c r="B511" s="59" t="s">
        <v>155</v>
      </c>
      <c r="C511" s="61">
        <v>265425</v>
      </c>
      <c r="D511" s="61">
        <f t="shared" si="269"/>
        <v>0</v>
      </c>
      <c r="E511" s="61">
        <f t="shared" si="270"/>
        <v>128750</v>
      </c>
      <c r="F511" s="61">
        <f t="shared" si="271"/>
        <v>125000</v>
      </c>
      <c r="G511" s="61">
        <f t="shared" si="267"/>
        <v>0</v>
      </c>
      <c r="H511" s="61">
        <v>11675</v>
      </c>
      <c r="I511" s="61">
        <f t="shared" si="273"/>
        <v>11675</v>
      </c>
      <c r="J511" s="9">
        <f t="shared" si="272"/>
        <v>0</v>
      </c>
      <c r="K511" s="45" t="s">
        <v>31</v>
      </c>
      <c r="L511" s="47">
        <v>0</v>
      </c>
      <c r="M511" s="47">
        <v>125000</v>
      </c>
      <c r="N511" s="47">
        <v>128750</v>
      </c>
      <c r="O511" s="47">
        <v>0</v>
      </c>
    </row>
    <row r="512" spans="1:16" ht="16.5">
      <c r="A512" s="58" t="str">
        <f t="shared" si="268"/>
        <v>I55S</v>
      </c>
      <c r="B512" s="115" t="s">
        <v>4</v>
      </c>
      <c r="C512" s="117">
        <v>233614</v>
      </c>
      <c r="D512" s="117">
        <f t="shared" si="269"/>
        <v>0</v>
      </c>
      <c r="E512" s="117">
        <f>+N512</f>
        <v>0</v>
      </c>
      <c r="F512" s="117">
        <f t="shared" si="271"/>
        <v>0</v>
      </c>
      <c r="G512" s="117">
        <f t="shared" si="267"/>
        <v>0</v>
      </c>
      <c r="H512" s="117">
        <v>233614</v>
      </c>
      <c r="I512" s="117">
        <f>+C512+D512-E512-F512+G512</f>
        <v>233614</v>
      </c>
      <c r="J512" s="9">
        <f t="shared" si="272"/>
        <v>0</v>
      </c>
      <c r="K512" s="45" t="s">
        <v>84</v>
      </c>
      <c r="L512" s="47">
        <v>0</v>
      </c>
      <c r="M512" s="47">
        <v>0</v>
      </c>
      <c r="N512" s="47">
        <v>0</v>
      </c>
      <c r="O512" s="47">
        <v>0</v>
      </c>
    </row>
    <row r="513" spans="1:15" ht="16.5">
      <c r="A513" s="58" t="str">
        <f t="shared" si="268"/>
        <v>I73X</v>
      </c>
      <c r="B513" s="115" t="s">
        <v>4</v>
      </c>
      <c r="C513" s="117">
        <v>249769</v>
      </c>
      <c r="D513" s="117">
        <f t="shared" si="269"/>
        <v>0</v>
      </c>
      <c r="E513" s="117">
        <f>+N513</f>
        <v>0</v>
      </c>
      <c r="F513" s="117">
        <f t="shared" si="271"/>
        <v>0</v>
      </c>
      <c r="G513" s="117">
        <f t="shared" si="267"/>
        <v>0</v>
      </c>
      <c r="H513" s="117">
        <v>249769</v>
      </c>
      <c r="I513" s="117">
        <f t="shared" ref="I513:I517" si="274">+C513+D513-E513-F513+G513</f>
        <v>249769</v>
      </c>
      <c r="J513" s="9">
        <f t="shared" si="272"/>
        <v>0</v>
      </c>
      <c r="K513" s="45" t="s">
        <v>83</v>
      </c>
      <c r="L513" s="47">
        <v>0</v>
      </c>
      <c r="M513" s="47">
        <v>0</v>
      </c>
      <c r="N513" s="47">
        <v>0</v>
      </c>
      <c r="O513" s="47">
        <v>0</v>
      </c>
    </row>
    <row r="514" spans="1:15" ht="16.5">
      <c r="A514" s="58" t="str">
        <f t="shared" si="268"/>
        <v>Grace</v>
      </c>
      <c r="B514" s="59" t="s">
        <v>2</v>
      </c>
      <c r="C514" s="61">
        <v>596200</v>
      </c>
      <c r="D514" s="61">
        <f t="shared" si="269"/>
        <v>0</v>
      </c>
      <c r="E514" s="61">
        <f t="shared" ref="E514" si="275">+N514</f>
        <v>83400</v>
      </c>
      <c r="F514" s="61">
        <f t="shared" si="271"/>
        <v>501000</v>
      </c>
      <c r="G514" s="61">
        <f t="shared" si="267"/>
        <v>0</v>
      </c>
      <c r="H514" s="181">
        <v>11800</v>
      </c>
      <c r="I514" s="181">
        <f t="shared" si="274"/>
        <v>11800</v>
      </c>
      <c r="J514" s="182">
        <f>I514-H514</f>
        <v>0</v>
      </c>
      <c r="K514" s="183" t="s">
        <v>143</v>
      </c>
      <c r="L514" s="184">
        <v>0</v>
      </c>
      <c r="M514" s="184">
        <v>501000</v>
      </c>
      <c r="N514" s="47">
        <v>83400</v>
      </c>
      <c r="O514" s="184">
        <v>0</v>
      </c>
    </row>
    <row r="515" spans="1:15" ht="16.5">
      <c r="A515" s="58" t="str">
        <f t="shared" si="268"/>
        <v>Hurielle</v>
      </c>
      <c r="B515" s="97" t="s">
        <v>154</v>
      </c>
      <c r="C515" s="61">
        <v>144700</v>
      </c>
      <c r="D515" s="61">
        <f t="shared" si="269"/>
        <v>326000</v>
      </c>
      <c r="E515" s="61">
        <f>+N515</f>
        <v>292950</v>
      </c>
      <c r="F515" s="61">
        <f>+M515</f>
        <v>159000</v>
      </c>
      <c r="G515" s="61">
        <f t="shared" si="267"/>
        <v>0</v>
      </c>
      <c r="H515" s="61">
        <v>18750</v>
      </c>
      <c r="I515" s="61">
        <f t="shared" si="274"/>
        <v>18750</v>
      </c>
      <c r="J515" s="9">
        <f t="shared" ref="J515" si="276">I515-H515</f>
        <v>0</v>
      </c>
      <c r="K515" s="45" t="s">
        <v>197</v>
      </c>
      <c r="L515" s="47">
        <v>326000</v>
      </c>
      <c r="M515" s="47">
        <v>159000</v>
      </c>
      <c r="N515" s="47">
        <v>292950</v>
      </c>
      <c r="O515" s="47">
        <v>0</v>
      </c>
    </row>
    <row r="516" spans="1:15" ht="16.5">
      <c r="A516" s="58" t="str">
        <f t="shared" si="268"/>
        <v>Merveille</v>
      </c>
      <c r="B516" s="59" t="s">
        <v>2</v>
      </c>
      <c r="C516" s="61">
        <v>-2900</v>
      </c>
      <c r="D516" s="61">
        <f t="shared" si="269"/>
        <v>0</v>
      </c>
      <c r="E516" s="61">
        <f t="shared" ref="E516:E519" si="277">+N516</f>
        <v>0</v>
      </c>
      <c r="F516" s="61">
        <f t="shared" ref="F516:F519" si="278">+M516</f>
        <v>0</v>
      </c>
      <c r="G516" s="61">
        <f t="shared" si="267"/>
        <v>0</v>
      </c>
      <c r="H516" s="181">
        <v>-2900</v>
      </c>
      <c r="I516" s="181">
        <f t="shared" si="274"/>
        <v>-2900</v>
      </c>
      <c r="J516" s="182">
        <f>I516-H516</f>
        <v>0</v>
      </c>
      <c r="K516" s="183" t="s">
        <v>93</v>
      </c>
      <c r="L516" s="184">
        <v>0</v>
      </c>
      <c r="M516" s="184">
        <v>0</v>
      </c>
      <c r="N516" s="47">
        <v>0</v>
      </c>
      <c r="O516" s="184">
        <v>0</v>
      </c>
    </row>
    <row r="517" spans="1:15" ht="16.5">
      <c r="A517" s="58" t="str">
        <f t="shared" si="268"/>
        <v>P10</v>
      </c>
      <c r="B517" s="97" t="s">
        <v>4</v>
      </c>
      <c r="C517" s="61">
        <v>103900</v>
      </c>
      <c r="D517" s="61">
        <f t="shared" si="269"/>
        <v>205000</v>
      </c>
      <c r="E517" s="61">
        <f t="shared" si="277"/>
        <v>271900</v>
      </c>
      <c r="F517" s="61">
        <f t="shared" si="278"/>
        <v>37000</v>
      </c>
      <c r="G517" s="61">
        <f t="shared" si="267"/>
        <v>0</v>
      </c>
      <c r="H517" s="61">
        <v>0</v>
      </c>
      <c r="I517" s="61">
        <f t="shared" si="274"/>
        <v>0</v>
      </c>
      <c r="J517" s="9">
        <f t="shared" ref="J517:J518" si="279">I517-H517</f>
        <v>0</v>
      </c>
      <c r="K517" s="45" t="s">
        <v>254</v>
      </c>
      <c r="L517" s="47">
        <v>205000</v>
      </c>
      <c r="M517" s="47">
        <v>37000</v>
      </c>
      <c r="N517" s="47">
        <v>271900</v>
      </c>
      <c r="O517" s="47">
        <v>0</v>
      </c>
    </row>
    <row r="518" spans="1:15" ht="16.5">
      <c r="A518" s="58" t="str">
        <f t="shared" si="268"/>
        <v>P29</v>
      </c>
      <c r="B518" s="59" t="s">
        <v>4</v>
      </c>
      <c r="C518" s="61">
        <v>175900</v>
      </c>
      <c r="D518" s="61">
        <f>+L518</f>
        <v>646000</v>
      </c>
      <c r="E518" s="61">
        <f t="shared" si="277"/>
        <v>623300</v>
      </c>
      <c r="F518" s="61">
        <f t="shared" si="278"/>
        <v>50000</v>
      </c>
      <c r="G518" s="61">
        <f t="shared" si="267"/>
        <v>0</v>
      </c>
      <c r="H518" s="61">
        <v>148600</v>
      </c>
      <c r="I518" s="61">
        <f>+C518+D518-E518-F518+G518</f>
        <v>148600</v>
      </c>
      <c r="J518" s="9">
        <f t="shared" si="279"/>
        <v>0</v>
      </c>
      <c r="K518" s="45" t="s">
        <v>29</v>
      </c>
      <c r="L518" s="47">
        <v>646000</v>
      </c>
      <c r="M518" s="47">
        <v>50000</v>
      </c>
      <c r="N518" s="184">
        <v>623300</v>
      </c>
      <c r="O518" s="47">
        <v>0</v>
      </c>
    </row>
    <row r="519" spans="1:15" ht="16.5">
      <c r="A519" s="58" t="str">
        <f t="shared" si="268"/>
        <v>Tiffany</v>
      </c>
      <c r="B519" s="59" t="s">
        <v>2</v>
      </c>
      <c r="C519" s="61">
        <v>-20702</v>
      </c>
      <c r="D519" s="61">
        <f t="shared" ref="D519" si="280">+L519</f>
        <v>179000</v>
      </c>
      <c r="E519" s="61">
        <f t="shared" si="277"/>
        <v>168472</v>
      </c>
      <c r="F519" s="61">
        <f t="shared" si="278"/>
        <v>0</v>
      </c>
      <c r="G519" s="61">
        <f t="shared" si="267"/>
        <v>0</v>
      </c>
      <c r="H519" s="61">
        <v>-10174</v>
      </c>
      <c r="I519" s="61">
        <f>+C519+D519-E519-F519+G519</f>
        <v>-10174</v>
      </c>
      <c r="J519" s="9">
        <f>I519-H519</f>
        <v>0</v>
      </c>
      <c r="K519" s="45" t="s">
        <v>113</v>
      </c>
      <c r="L519" s="47">
        <v>179000</v>
      </c>
      <c r="M519" s="47">
        <v>0</v>
      </c>
      <c r="N519" s="47">
        <v>168472</v>
      </c>
      <c r="O519" s="47">
        <v>0</v>
      </c>
    </row>
    <row r="520" spans="1:15" ht="16.5">
      <c r="A520" s="10" t="s">
        <v>50</v>
      </c>
      <c r="B520" s="11"/>
      <c r="C520" s="12">
        <f t="shared" ref="C520:I520" si="281">SUM(C506:C519)</f>
        <v>26480645</v>
      </c>
      <c r="D520" s="57">
        <f t="shared" si="281"/>
        <v>4641000</v>
      </c>
      <c r="E520" s="57">
        <f t="shared" si="281"/>
        <v>8157247</v>
      </c>
      <c r="F520" s="57">
        <f t="shared" si="281"/>
        <v>4641000</v>
      </c>
      <c r="G520" s="57">
        <f t="shared" si="281"/>
        <v>0</v>
      </c>
      <c r="H520" s="57">
        <f t="shared" si="281"/>
        <v>18323398</v>
      </c>
      <c r="I520" s="57">
        <f t="shared" si="281"/>
        <v>18323398</v>
      </c>
      <c r="J520" s="9">
        <f>I520-H520</f>
        <v>0</v>
      </c>
      <c r="K520" s="3"/>
      <c r="L520" s="47">
        <f>+SUM(L506:L519)</f>
        <v>4641000</v>
      </c>
      <c r="M520" s="47">
        <f>+SUM(M506:M519)</f>
        <v>4641000</v>
      </c>
      <c r="N520" s="47">
        <f>+SUM(N506:N519)</f>
        <v>8157247</v>
      </c>
      <c r="O520" s="47">
        <f>+SUM(O506:O519)</f>
        <v>0</v>
      </c>
    </row>
    <row r="521" spans="1:15" ht="16.5">
      <c r="A521" s="10"/>
      <c r="B521" s="11"/>
      <c r="C521" s="12"/>
      <c r="D521" s="13"/>
      <c r="E521" s="12"/>
      <c r="F521" s="13"/>
      <c r="G521" s="12"/>
      <c r="H521" s="12"/>
      <c r="I521" s="133" t="b">
        <f>I520=D523</f>
        <v>1</v>
      </c>
      <c r="J521" s="9">
        <f>H520-I520</f>
        <v>0</v>
      </c>
      <c r="L521" s="5"/>
      <c r="M521" s="5"/>
      <c r="N521" s="5"/>
      <c r="O521" s="5"/>
    </row>
    <row r="522" spans="1:15" ht="16.5">
      <c r="A522" s="10" t="s">
        <v>262</v>
      </c>
      <c r="B522" s="11" t="s">
        <v>165</v>
      </c>
      <c r="C522" s="12" t="s">
        <v>166</v>
      </c>
      <c r="D522" s="12" t="s">
        <v>263</v>
      </c>
      <c r="E522" s="12" t="s">
        <v>51</v>
      </c>
      <c r="F522" s="12"/>
      <c r="G522" s="12">
        <f>+D520-F520</f>
        <v>0</v>
      </c>
      <c r="H522" s="12"/>
      <c r="I522" s="12"/>
    </row>
    <row r="523" spans="1:15" ht="16.5">
      <c r="A523" s="14">
        <f>C520</f>
        <v>26480645</v>
      </c>
      <c r="B523" s="15">
        <f>G520</f>
        <v>0</v>
      </c>
      <c r="C523" s="12">
        <f>E520</f>
        <v>8157247</v>
      </c>
      <c r="D523" s="12">
        <f>A523+B523-C523</f>
        <v>18323398</v>
      </c>
      <c r="E523" s="13">
        <f>I520-D523</f>
        <v>0</v>
      </c>
      <c r="F523" s="12"/>
      <c r="G523" s="12"/>
      <c r="H523" s="12"/>
      <c r="I523" s="12"/>
    </row>
    <row r="524" spans="1:15" ht="16.5">
      <c r="A524" s="14"/>
      <c r="B524" s="15"/>
      <c r="C524" s="12"/>
      <c r="D524" s="12"/>
      <c r="E524" s="13"/>
      <c r="F524" s="12"/>
      <c r="G524" s="12"/>
      <c r="H524" s="12"/>
      <c r="I524" s="12"/>
    </row>
    <row r="525" spans="1:15">
      <c r="A525" s="16" t="s">
        <v>52</v>
      </c>
      <c r="B525" s="16"/>
      <c r="C525" s="16"/>
      <c r="D525" s="17"/>
      <c r="E525" s="17"/>
      <c r="F525" s="17"/>
      <c r="G525" s="17"/>
      <c r="H525" s="17"/>
      <c r="I525" s="17"/>
    </row>
    <row r="526" spans="1:15">
      <c r="A526" s="18" t="s">
        <v>264</v>
      </c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5">
      <c r="A527" s="19"/>
      <c r="B527" s="17"/>
      <c r="C527" s="20"/>
      <c r="D527" s="20"/>
      <c r="E527" s="20"/>
      <c r="F527" s="20"/>
      <c r="G527" s="20"/>
      <c r="H527" s="17"/>
      <c r="I527" s="17"/>
    </row>
    <row r="528" spans="1:15" ht="25.5">
      <c r="A528" s="166" t="s">
        <v>53</v>
      </c>
      <c r="B528" s="168" t="s">
        <v>54</v>
      </c>
      <c r="C528" s="170" t="s">
        <v>265</v>
      </c>
      <c r="D528" s="171" t="s">
        <v>55</v>
      </c>
      <c r="E528" s="172"/>
      <c r="F528" s="172"/>
      <c r="G528" s="173"/>
      <c r="H528" s="174" t="s">
        <v>56</v>
      </c>
      <c r="I528" s="162" t="s">
        <v>57</v>
      </c>
      <c r="J528" s="205"/>
    </row>
    <row r="529" spans="1:11" ht="25.5">
      <c r="A529" s="167"/>
      <c r="B529" s="169"/>
      <c r="C529" s="22"/>
      <c r="D529" s="21" t="s">
        <v>24</v>
      </c>
      <c r="E529" s="21" t="s">
        <v>25</v>
      </c>
      <c r="F529" s="22" t="s">
        <v>123</v>
      </c>
      <c r="G529" s="21" t="s">
        <v>58</v>
      </c>
      <c r="H529" s="175"/>
      <c r="I529" s="163"/>
      <c r="J529" s="165" t="s">
        <v>266</v>
      </c>
      <c r="K529" s="142"/>
    </row>
    <row r="530" spans="1:11">
      <c r="A530" s="23"/>
      <c r="B530" s="24" t="s">
        <v>59</v>
      </c>
      <c r="C530" s="25"/>
      <c r="D530" s="25"/>
      <c r="E530" s="25"/>
      <c r="F530" s="25"/>
      <c r="G530" s="25"/>
      <c r="H530" s="25"/>
      <c r="I530" s="26"/>
      <c r="J530" s="165"/>
      <c r="K530" s="142"/>
    </row>
    <row r="531" spans="1:11">
      <c r="A531" s="121" t="s">
        <v>103</v>
      </c>
      <c r="B531" s="126" t="s">
        <v>47</v>
      </c>
      <c r="C531" s="32">
        <f>+C509</f>
        <v>409530</v>
      </c>
      <c r="D531" s="31"/>
      <c r="E531" s="32">
        <f t="shared" ref="E531:E541" si="282">+D509</f>
        <v>435000</v>
      </c>
      <c r="F531" s="32"/>
      <c r="G531" s="32"/>
      <c r="H531" s="55">
        <f t="shared" ref="H531:H541" si="283">+F509</f>
        <v>0</v>
      </c>
      <c r="I531" s="32">
        <f t="shared" ref="I531:I541" si="284">+E509</f>
        <v>755325</v>
      </c>
      <c r="J531" s="30">
        <f t="shared" ref="J531" si="285">+SUM(C531:G531)-(H531+I531)</f>
        <v>89205</v>
      </c>
      <c r="K531" s="143" t="b">
        <f>J531=I509</f>
        <v>1</v>
      </c>
    </row>
    <row r="532" spans="1:11">
      <c r="A532" s="121" t="str">
        <f>+A531</f>
        <v>DECEMBRE</v>
      </c>
      <c r="B532" s="126" t="s">
        <v>255</v>
      </c>
      <c r="C532" s="32">
        <f t="shared" ref="C532:C533" si="286">+C510</f>
        <v>9700</v>
      </c>
      <c r="D532" s="31"/>
      <c r="E532" s="32">
        <f t="shared" si="282"/>
        <v>389000</v>
      </c>
      <c r="F532" s="32"/>
      <c r="G532" s="32"/>
      <c r="H532" s="55">
        <f t="shared" si="283"/>
        <v>0</v>
      </c>
      <c r="I532" s="32">
        <f t="shared" si="284"/>
        <v>162500</v>
      </c>
      <c r="J532" s="100">
        <f t="shared" ref="J532" si="287">+SUM(C532:G532)-(H532+I532)</f>
        <v>236200</v>
      </c>
      <c r="K532" s="143" t="b">
        <f>J532=I510</f>
        <v>1</v>
      </c>
    </row>
    <row r="533" spans="1:11">
      <c r="A533" s="121" t="str">
        <f t="shared" ref="A533:A541" si="288">+A532</f>
        <v>DECEMBRE</v>
      </c>
      <c r="B533" s="126" t="s">
        <v>31</v>
      </c>
      <c r="C533" s="32">
        <f t="shared" si="286"/>
        <v>265425</v>
      </c>
      <c r="D533" s="31"/>
      <c r="E533" s="32">
        <f t="shared" si="282"/>
        <v>0</v>
      </c>
      <c r="F533" s="32"/>
      <c r="G533" s="32"/>
      <c r="H533" s="55">
        <f t="shared" si="283"/>
        <v>125000</v>
      </c>
      <c r="I533" s="32">
        <f t="shared" si="284"/>
        <v>128750</v>
      </c>
      <c r="J533" s="100">
        <f t="shared" ref="J533" si="289">+SUM(C533:G533)-(H533+I533)</f>
        <v>11675</v>
      </c>
      <c r="K533" s="143" t="b">
        <f t="shared" ref="K533:K541" si="290">J533=I511</f>
        <v>1</v>
      </c>
    </row>
    <row r="534" spans="1:11">
      <c r="A534" s="121" t="str">
        <f t="shared" si="288"/>
        <v>DECEMBRE</v>
      </c>
      <c r="B534" s="128" t="s">
        <v>84</v>
      </c>
      <c r="C534" s="119">
        <f>+C512</f>
        <v>233614</v>
      </c>
      <c r="D534" s="122"/>
      <c r="E534" s="119">
        <f t="shared" si="282"/>
        <v>0</v>
      </c>
      <c r="F534" s="136"/>
      <c r="G534" s="136"/>
      <c r="H534" s="154">
        <f t="shared" si="283"/>
        <v>0</v>
      </c>
      <c r="I534" s="119">
        <f t="shared" si="284"/>
        <v>0</v>
      </c>
      <c r="J534" s="120">
        <f>+SUM(C534:G534)-(H534+I534)</f>
        <v>233614</v>
      </c>
      <c r="K534" s="143" t="b">
        <f t="shared" si="290"/>
        <v>1</v>
      </c>
    </row>
    <row r="535" spans="1:11">
      <c r="A535" s="121" t="str">
        <f t="shared" si="288"/>
        <v>DECEMBRE</v>
      </c>
      <c r="B535" s="128" t="s">
        <v>83</v>
      </c>
      <c r="C535" s="119">
        <f>+C513</f>
        <v>249769</v>
      </c>
      <c r="D535" s="122"/>
      <c r="E535" s="119">
        <f t="shared" si="282"/>
        <v>0</v>
      </c>
      <c r="F535" s="136"/>
      <c r="G535" s="136"/>
      <c r="H535" s="154">
        <f t="shared" si="283"/>
        <v>0</v>
      </c>
      <c r="I535" s="119">
        <f t="shared" si="284"/>
        <v>0</v>
      </c>
      <c r="J535" s="120">
        <f t="shared" ref="J535:J541" si="291">+SUM(C535:G535)-(H535+I535)</f>
        <v>249769</v>
      </c>
      <c r="K535" s="143" t="b">
        <f t="shared" si="290"/>
        <v>1</v>
      </c>
    </row>
    <row r="536" spans="1:11">
      <c r="A536" s="121" t="str">
        <f t="shared" si="288"/>
        <v>DECEMBRE</v>
      </c>
      <c r="B536" s="126" t="s">
        <v>143</v>
      </c>
      <c r="C536" s="32">
        <f>+C514</f>
        <v>596200</v>
      </c>
      <c r="D536" s="31"/>
      <c r="E536" s="32">
        <f t="shared" si="282"/>
        <v>0</v>
      </c>
      <c r="F536" s="32"/>
      <c r="G536" s="103"/>
      <c r="H536" s="55">
        <f t="shared" si="283"/>
        <v>501000</v>
      </c>
      <c r="I536" s="32">
        <f t="shared" si="284"/>
        <v>83400</v>
      </c>
      <c r="J536" s="30">
        <f t="shared" si="291"/>
        <v>11800</v>
      </c>
      <c r="K536" s="143" t="b">
        <f t="shared" si="290"/>
        <v>1</v>
      </c>
    </row>
    <row r="537" spans="1:11">
      <c r="A537" s="121" t="str">
        <f t="shared" si="288"/>
        <v>DECEMBRE</v>
      </c>
      <c r="B537" s="126" t="s">
        <v>197</v>
      </c>
      <c r="C537" s="32">
        <f t="shared" ref="C537:C541" si="292">+C515</f>
        <v>144700</v>
      </c>
      <c r="D537" s="31"/>
      <c r="E537" s="32">
        <f t="shared" si="282"/>
        <v>326000</v>
      </c>
      <c r="F537" s="32"/>
      <c r="G537" s="103"/>
      <c r="H537" s="55">
        <f t="shared" si="283"/>
        <v>159000</v>
      </c>
      <c r="I537" s="32">
        <f t="shared" si="284"/>
        <v>292950</v>
      </c>
      <c r="J537" s="30">
        <f t="shared" si="291"/>
        <v>18750</v>
      </c>
      <c r="K537" s="143" t="b">
        <f t="shared" si="290"/>
        <v>1</v>
      </c>
    </row>
    <row r="538" spans="1:11">
      <c r="A538" s="121" t="str">
        <f t="shared" si="288"/>
        <v>DECEMBRE</v>
      </c>
      <c r="B538" s="126" t="s">
        <v>93</v>
      </c>
      <c r="C538" s="32">
        <f t="shared" si="292"/>
        <v>-2900</v>
      </c>
      <c r="D538" s="31"/>
      <c r="E538" s="32">
        <f t="shared" si="282"/>
        <v>0</v>
      </c>
      <c r="F538" s="32"/>
      <c r="G538" s="103"/>
      <c r="H538" s="55">
        <f t="shared" si="283"/>
        <v>0</v>
      </c>
      <c r="I538" s="32">
        <f t="shared" si="284"/>
        <v>0</v>
      </c>
      <c r="J538" s="30">
        <f t="shared" si="291"/>
        <v>-2900</v>
      </c>
      <c r="K538" s="143" t="b">
        <f t="shared" si="290"/>
        <v>1</v>
      </c>
    </row>
    <row r="539" spans="1:11">
      <c r="A539" s="121" t="str">
        <f t="shared" si="288"/>
        <v>DECEMBRE</v>
      </c>
      <c r="B539" s="126" t="s">
        <v>254</v>
      </c>
      <c r="C539" s="32">
        <f t="shared" si="292"/>
        <v>103900</v>
      </c>
      <c r="D539" s="31"/>
      <c r="E539" s="32">
        <f t="shared" si="282"/>
        <v>205000</v>
      </c>
      <c r="F539" s="32"/>
      <c r="G539" s="103"/>
      <c r="H539" s="55">
        <f t="shared" si="283"/>
        <v>37000</v>
      </c>
      <c r="I539" s="32">
        <f t="shared" si="284"/>
        <v>271900</v>
      </c>
      <c r="J539" s="30">
        <f t="shared" si="291"/>
        <v>0</v>
      </c>
      <c r="K539" s="143" t="b">
        <f t="shared" si="290"/>
        <v>1</v>
      </c>
    </row>
    <row r="540" spans="1:11">
      <c r="A540" s="121" t="str">
        <f t="shared" si="288"/>
        <v>DECEMBRE</v>
      </c>
      <c r="B540" s="126" t="s">
        <v>29</v>
      </c>
      <c r="C540" s="32">
        <f t="shared" si="292"/>
        <v>175900</v>
      </c>
      <c r="D540" s="31"/>
      <c r="E540" s="32">
        <f t="shared" si="282"/>
        <v>646000</v>
      </c>
      <c r="F540" s="32"/>
      <c r="G540" s="103"/>
      <c r="H540" s="55">
        <f t="shared" si="283"/>
        <v>50000</v>
      </c>
      <c r="I540" s="32">
        <f t="shared" si="284"/>
        <v>623300</v>
      </c>
      <c r="J540" s="30">
        <f t="shared" si="291"/>
        <v>148600</v>
      </c>
      <c r="K540" s="143" t="b">
        <f t="shared" si="290"/>
        <v>1</v>
      </c>
    </row>
    <row r="541" spans="1:11">
      <c r="A541" s="121" t="str">
        <f t="shared" si="288"/>
        <v>DECEMBRE</v>
      </c>
      <c r="B541" s="127" t="s">
        <v>113</v>
      </c>
      <c r="C541" s="32">
        <f t="shared" si="292"/>
        <v>-20702</v>
      </c>
      <c r="D541" s="118"/>
      <c r="E541" s="32">
        <f t="shared" si="282"/>
        <v>179000</v>
      </c>
      <c r="F541" s="51"/>
      <c r="G541" s="137"/>
      <c r="H541" s="55">
        <f t="shared" si="283"/>
        <v>0</v>
      </c>
      <c r="I541" s="32">
        <f t="shared" si="284"/>
        <v>168472</v>
      </c>
      <c r="J541" s="30">
        <f t="shared" si="291"/>
        <v>-10174</v>
      </c>
      <c r="K541" s="143" t="b">
        <f t="shared" si="290"/>
        <v>1</v>
      </c>
    </row>
    <row r="542" spans="1:11">
      <c r="A542" s="34" t="s">
        <v>60</v>
      </c>
      <c r="B542" s="35"/>
      <c r="C542" s="35"/>
      <c r="D542" s="35"/>
      <c r="E542" s="35"/>
      <c r="F542" s="35"/>
      <c r="G542" s="35"/>
      <c r="H542" s="35"/>
      <c r="I542" s="35"/>
      <c r="J542" s="36"/>
      <c r="K542" s="142"/>
    </row>
    <row r="543" spans="1:11">
      <c r="A543" s="121" t="str">
        <f>A541</f>
        <v>DECEMBRE</v>
      </c>
      <c r="B543" s="37" t="s">
        <v>61</v>
      </c>
      <c r="C543" s="38">
        <f>+C508</f>
        <v>2476103</v>
      </c>
      <c r="D543" s="49"/>
      <c r="E543" s="49">
        <f>D508</f>
        <v>2461000</v>
      </c>
      <c r="F543" s="49"/>
      <c r="G543" s="124"/>
      <c r="H543" s="51">
        <f>+F508</f>
        <v>1769000</v>
      </c>
      <c r="I543" s="125">
        <f>+E508</f>
        <v>1832504</v>
      </c>
      <c r="J543" s="30">
        <f>+SUM(C543:G543)-(H543+I543)</f>
        <v>1335599</v>
      </c>
      <c r="K543" s="143" t="b">
        <f>J543=I508</f>
        <v>1</v>
      </c>
    </row>
    <row r="544" spans="1:11">
      <c r="A544" s="43" t="s">
        <v>62</v>
      </c>
      <c r="B544" s="24"/>
      <c r="C544" s="35"/>
      <c r="D544" s="24"/>
      <c r="E544" s="24"/>
      <c r="F544" s="24"/>
      <c r="G544" s="24"/>
      <c r="H544" s="24"/>
      <c r="I544" s="24"/>
      <c r="J544" s="36"/>
      <c r="K544" s="142"/>
    </row>
    <row r="545" spans="1:16">
      <c r="A545" s="121" t="str">
        <f>+A543</f>
        <v>DECEMBRE</v>
      </c>
      <c r="B545" s="37" t="s">
        <v>156</v>
      </c>
      <c r="C545" s="124">
        <f>+C506</f>
        <v>16218242</v>
      </c>
      <c r="D545" s="131">
        <f>+G506</f>
        <v>0</v>
      </c>
      <c r="E545" s="49"/>
      <c r="F545" s="49"/>
      <c r="G545" s="49"/>
      <c r="H545" s="51">
        <f>+F506</f>
        <v>2000000</v>
      </c>
      <c r="I545" s="53">
        <f>+E506</f>
        <v>693345</v>
      </c>
      <c r="J545" s="30">
        <f>+SUM(C545:G545)-(H545+I545)</f>
        <v>13524897</v>
      </c>
      <c r="K545" s="143" t="b">
        <f>+J545=I506</f>
        <v>1</v>
      </c>
    </row>
    <row r="546" spans="1:16">
      <c r="A546" s="121" t="str">
        <f t="shared" ref="A546" si="293">+A545</f>
        <v>DECEMBRE</v>
      </c>
      <c r="B546" s="37" t="s">
        <v>64</v>
      </c>
      <c r="C546" s="124">
        <f>+C507</f>
        <v>5621164</v>
      </c>
      <c r="D546" s="49">
        <f>+G507</f>
        <v>0</v>
      </c>
      <c r="E546" s="48"/>
      <c r="F546" s="48"/>
      <c r="G546" s="48"/>
      <c r="H546" s="32">
        <f>+F507</f>
        <v>0</v>
      </c>
      <c r="I546" s="50">
        <f>+E507</f>
        <v>3144801</v>
      </c>
      <c r="J546" s="30">
        <f>SUM(C546:G546)-(H546+I546)</f>
        <v>2476363</v>
      </c>
      <c r="K546" s="143" t="b">
        <f>+J546=I507</f>
        <v>1</v>
      </c>
    </row>
    <row r="547" spans="1:16" ht="15.75">
      <c r="C547" s="140">
        <f>SUM(C531:C546)</f>
        <v>26480645</v>
      </c>
      <c r="I547" s="139">
        <f>SUM(I531:I546)</f>
        <v>8157247</v>
      </c>
      <c r="J547" s="104">
        <f>+SUM(J531:J546)</f>
        <v>18323398</v>
      </c>
      <c r="K547" s="5" t="b">
        <f>J547=I520</f>
        <v>1</v>
      </c>
    </row>
    <row r="548" spans="1:16" ht="15.75">
      <c r="C548" s="140"/>
      <c r="I548" s="139"/>
      <c r="J548" s="104"/>
    </row>
    <row r="549" spans="1:16" ht="15.75">
      <c r="A549" s="157"/>
      <c r="B549" s="157"/>
      <c r="C549" s="158"/>
      <c r="D549" s="157"/>
      <c r="E549" s="157"/>
      <c r="F549" s="157"/>
      <c r="G549" s="157"/>
      <c r="H549" s="157"/>
      <c r="I549" s="159"/>
      <c r="J549" s="160"/>
      <c r="K549" s="157"/>
      <c r="L549" s="161"/>
      <c r="M549" s="161"/>
      <c r="N549" s="161"/>
      <c r="O549" s="161"/>
      <c r="P549" s="157"/>
    </row>
    <row r="551" spans="1:16" ht="15.75">
      <c r="A551" s="6" t="s">
        <v>36</v>
      </c>
      <c r="B551" s="6" t="s">
        <v>1</v>
      </c>
      <c r="C551" s="6">
        <v>44866</v>
      </c>
      <c r="D551" s="7" t="s">
        <v>37</v>
      </c>
      <c r="E551" s="7" t="s">
        <v>38</v>
      </c>
      <c r="F551" s="7" t="s">
        <v>39</v>
      </c>
      <c r="G551" s="7" t="s">
        <v>40</v>
      </c>
      <c r="H551" s="6">
        <v>44895</v>
      </c>
      <c r="I551" s="7" t="s">
        <v>41</v>
      </c>
      <c r="K551" s="45"/>
      <c r="L551" s="45" t="s">
        <v>42</v>
      </c>
      <c r="M551" s="45" t="s">
        <v>43</v>
      </c>
      <c r="N551" s="45" t="s">
        <v>44</v>
      </c>
      <c r="O551" s="45" t="s">
        <v>45</v>
      </c>
    </row>
    <row r="552" spans="1:16" ht="16.5">
      <c r="A552" s="58" t="str">
        <f>K552</f>
        <v>BCI</v>
      </c>
      <c r="B552" s="59" t="s">
        <v>46</v>
      </c>
      <c r="C552" s="61">
        <v>9603727</v>
      </c>
      <c r="D552" s="61">
        <f>+L552</f>
        <v>0</v>
      </c>
      <c r="E552" s="61">
        <f>+N552</f>
        <v>173438</v>
      </c>
      <c r="F552" s="61">
        <f>+M552</f>
        <v>6000000</v>
      </c>
      <c r="G552" s="61">
        <f t="shared" ref="G552:G565" si="294">+O552</f>
        <v>12787953</v>
      </c>
      <c r="H552" s="61">
        <v>16218242</v>
      </c>
      <c r="I552" s="61">
        <f>+C552+D552-E552-F552+G552</f>
        <v>16218242</v>
      </c>
      <c r="J552" s="9">
        <f>I552-H552</f>
        <v>0</v>
      </c>
      <c r="K552" s="45" t="s">
        <v>24</v>
      </c>
      <c r="L552" s="47">
        <v>0</v>
      </c>
      <c r="M552" s="47">
        <v>6000000</v>
      </c>
      <c r="N552" s="47">
        <v>173438</v>
      </c>
      <c r="O552" s="47">
        <v>12787953</v>
      </c>
    </row>
    <row r="553" spans="1:16" ht="16.5">
      <c r="A553" s="58" t="str">
        <f t="shared" ref="A553:A565" si="295">K553</f>
        <v>BCI-Sous Compte</v>
      </c>
      <c r="B553" s="59" t="s">
        <v>46</v>
      </c>
      <c r="C553" s="61">
        <v>9538949</v>
      </c>
      <c r="D553" s="61">
        <f t="shared" ref="D553:D563" si="296">+L553</f>
        <v>0</v>
      </c>
      <c r="E553" s="61">
        <f t="shared" ref="E553:E557" si="297">+N553</f>
        <v>3917785</v>
      </c>
      <c r="F553" s="61">
        <f t="shared" ref="F553:F560" si="298">+M553</f>
        <v>0</v>
      </c>
      <c r="G553" s="61">
        <f t="shared" si="294"/>
        <v>0</v>
      </c>
      <c r="H553" s="61">
        <v>5621164</v>
      </c>
      <c r="I553" s="61">
        <f>+C553+D553-E553-F553+G553</f>
        <v>5621164</v>
      </c>
      <c r="J553" s="9">
        <f t="shared" ref="J553:J561" si="299">I553-H553</f>
        <v>0</v>
      </c>
      <c r="K553" s="45" t="s">
        <v>148</v>
      </c>
      <c r="L553" s="46">
        <v>0</v>
      </c>
      <c r="M553" s="47">
        <v>0</v>
      </c>
      <c r="N553" s="47">
        <v>3917785</v>
      </c>
      <c r="O553" s="47">
        <v>0</v>
      </c>
    </row>
    <row r="554" spans="1:16" ht="16.5">
      <c r="A554" s="58" t="str">
        <f t="shared" si="295"/>
        <v>Caisse</v>
      </c>
      <c r="B554" s="59" t="s">
        <v>25</v>
      </c>
      <c r="C554" s="61">
        <v>2105331</v>
      </c>
      <c r="D554" s="61">
        <f t="shared" si="296"/>
        <v>6149000</v>
      </c>
      <c r="E554" s="61">
        <f t="shared" si="297"/>
        <v>1843228</v>
      </c>
      <c r="F554" s="61">
        <f t="shared" si="298"/>
        <v>3935000</v>
      </c>
      <c r="G554" s="61">
        <f t="shared" si="294"/>
        <v>0</v>
      </c>
      <c r="H554" s="61">
        <v>2476103</v>
      </c>
      <c r="I554" s="61">
        <f>+C554+D554-E554-F554+G554</f>
        <v>2476103</v>
      </c>
      <c r="J554" s="101">
        <f t="shared" si="299"/>
        <v>0</v>
      </c>
      <c r="K554" s="45" t="s">
        <v>25</v>
      </c>
      <c r="L554" s="47">
        <v>6149000</v>
      </c>
      <c r="M554" s="47">
        <v>3935000</v>
      </c>
      <c r="N554" s="47">
        <v>1843228</v>
      </c>
      <c r="O554" s="47">
        <v>0</v>
      </c>
    </row>
    <row r="555" spans="1:16" ht="16.5">
      <c r="A555" s="58" t="str">
        <f t="shared" si="295"/>
        <v>Crépin</v>
      </c>
      <c r="B555" s="59" t="s">
        <v>154</v>
      </c>
      <c r="C555" s="61">
        <v>113930</v>
      </c>
      <c r="D555" s="61">
        <f t="shared" si="296"/>
        <v>614000</v>
      </c>
      <c r="E555" s="61">
        <f t="shared" si="297"/>
        <v>238400</v>
      </c>
      <c r="F555" s="61">
        <f t="shared" si="298"/>
        <v>80000</v>
      </c>
      <c r="G555" s="61">
        <f t="shared" si="294"/>
        <v>0</v>
      </c>
      <c r="H555" s="61">
        <v>409530</v>
      </c>
      <c r="I555" s="61">
        <f>+C555+D555-E555-F555+G555</f>
        <v>409530</v>
      </c>
      <c r="J555" s="9">
        <f t="shared" si="299"/>
        <v>0</v>
      </c>
      <c r="K555" s="45" t="s">
        <v>47</v>
      </c>
      <c r="L555" s="47">
        <v>614000</v>
      </c>
      <c r="M555" s="47">
        <v>80000</v>
      </c>
      <c r="N555" s="47">
        <v>238400</v>
      </c>
      <c r="O555" s="47">
        <v>0</v>
      </c>
    </row>
    <row r="556" spans="1:16" ht="16.5">
      <c r="A556" s="58" t="str">
        <f t="shared" si="295"/>
        <v>Donald</v>
      </c>
      <c r="B556" s="59" t="s">
        <v>154</v>
      </c>
      <c r="C556" s="61">
        <v>13000</v>
      </c>
      <c r="D556" s="61">
        <f t="shared" si="296"/>
        <v>521000</v>
      </c>
      <c r="E556" s="61">
        <f t="shared" si="297"/>
        <v>504300</v>
      </c>
      <c r="F556" s="61">
        <f t="shared" si="298"/>
        <v>20000</v>
      </c>
      <c r="G556" s="61">
        <f t="shared" si="294"/>
        <v>0</v>
      </c>
      <c r="H556" s="61">
        <v>9700</v>
      </c>
      <c r="I556" s="61">
        <f t="shared" ref="I556:I557" si="300">+C556+D556-E556-F556+G556</f>
        <v>9700</v>
      </c>
      <c r="J556" s="9">
        <f t="shared" si="299"/>
        <v>0</v>
      </c>
      <c r="K556" s="45" t="s">
        <v>255</v>
      </c>
      <c r="L556" s="47">
        <v>521000</v>
      </c>
      <c r="M556" s="47">
        <v>20000</v>
      </c>
      <c r="N556" s="47">
        <v>504300</v>
      </c>
      <c r="O556" s="47">
        <v>0</v>
      </c>
    </row>
    <row r="557" spans="1:16" ht="16.5">
      <c r="A557" s="58" t="str">
        <f t="shared" si="295"/>
        <v>Evariste</v>
      </c>
      <c r="B557" s="59" t="s">
        <v>155</v>
      </c>
      <c r="C557" s="61">
        <v>11575</v>
      </c>
      <c r="D557" s="61">
        <f t="shared" si="296"/>
        <v>324000</v>
      </c>
      <c r="E557" s="61">
        <f t="shared" si="297"/>
        <v>70150</v>
      </c>
      <c r="F557" s="61">
        <f t="shared" si="298"/>
        <v>0</v>
      </c>
      <c r="G557" s="61">
        <f t="shared" si="294"/>
        <v>0</v>
      </c>
      <c r="H557" s="61">
        <v>265425</v>
      </c>
      <c r="I557" s="61">
        <f t="shared" si="300"/>
        <v>265425</v>
      </c>
      <c r="J557" s="9">
        <f t="shared" si="299"/>
        <v>0</v>
      </c>
      <c r="K557" s="45" t="s">
        <v>31</v>
      </c>
      <c r="L557" s="47">
        <v>324000</v>
      </c>
      <c r="M557" s="47">
        <v>0</v>
      </c>
      <c r="N557" s="47">
        <v>70150</v>
      </c>
      <c r="O557" s="47">
        <v>0</v>
      </c>
    </row>
    <row r="558" spans="1:16" ht="16.5">
      <c r="A558" s="58" t="str">
        <f t="shared" si="295"/>
        <v>I55S</v>
      </c>
      <c r="B558" s="115" t="s">
        <v>4</v>
      </c>
      <c r="C558" s="117">
        <v>233614</v>
      </c>
      <c r="D558" s="117">
        <f t="shared" si="296"/>
        <v>0</v>
      </c>
      <c r="E558" s="117">
        <f>+N558</f>
        <v>0</v>
      </c>
      <c r="F558" s="117">
        <f t="shared" si="298"/>
        <v>0</v>
      </c>
      <c r="G558" s="117">
        <f t="shared" si="294"/>
        <v>0</v>
      </c>
      <c r="H558" s="117">
        <v>233614</v>
      </c>
      <c r="I558" s="117">
        <f>+C558+D558-E558-F558+G558</f>
        <v>233614</v>
      </c>
      <c r="J558" s="9">
        <f t="shared" si="299"/>
        <v>0</v>
      </c>
      <c r="K558" s="45" t="s">
        <v>84</v>
      </c>
      <c r="L558" s="47">
        <v>0</v>
      </c>
      <c r="M558" s="47">
        <v>0</v>
      </c>
      <c r="N558" s="47">
        <v>0</v>
      </c>
      <c r="O558" s="47">
        <v>0</v>
      </c>
    </row>
    <row r="559" spans="1:16" ht="16.5">
      <c r="A559" s="58" t="str">
        <f t="shared" si="295"/>
        <v>I73X</v>
      </c>
      <c r="B559" s="115" t="s">
        <v>4</v>
      </c>
      <c r="C559" s="117">
        <v>249769</v>
      </c>
      <c r="D559" s="117">
        <f t="shared" si="296"/>
        <v>0</v>
      </c>
      <c r="E559" s="117">
        <f>+N559</f>
        <v>0</v>
      </c>
      <c r="F559" s="117">
        <f t="shared" si="298"/>
        <v>0</v>
      </c>
      <c r="G559" s="117">
        <f t="shared" si="294"/>
        <v>0</v>
      </c>
      <c r="H559" s="117">
        <v>249769</v>
      </c>
      <c r="I559" s="117">
        <f t="shared" ref="I559:I563" si="301">+C559+D559-E559-F559+G559</f>
        <v>249769</v>
      </c>
      <c r="J559" s="9">
        <f t="shared" si="299"/>
        <v>0</v>
      </c>
      <c r="K559" s="45" t="s">
        <v>83</v>
      </c>
      <c r="L559" s="47">
        <v>0</v>
      </c>
      <c r="M559" s="47">
        <v>0</v>
      </c>
      <c r="N559" s="47">
        <v>0</v>
      </c>
      <c r="O559" s="47">
        <v>0</v>
      </c>
    </row>
    <row r="560" spans="1:16" ht="16.5">
      <c r="A560" s="58" t="str">
        <f t="shared" ref="A560" si="302">K560</f>
        <v>Grace</v>
      </c>
      <c r="B560" s="180" t="s">
        <v>2</v>
      </c>
      <c r="C560" s="181">
        <v>0</v>
      </c>
      <c r="D560" s="61">
        <f t="shared" ref="D560" si="303">+L560</f>
        <v>950000</v>
      </c>
      <c r="E560" s="61">
        <f t="shared" ref="E560" si="304">+N560</f>
        <v>33800</v>
      </c>
      <c r="F560" s="61">
        <f t="shared" si="298"/>
        <v>320000</v>
      </c>
      <c r="G560" s="61">
        <f t="shared" ref="G560" si="305">+O560</f>
        <v>0</v>
      </c>
      <c r="H560" s="181">
        <v>596200</v>
      </c>
      <c r="I560" s="181">
        <f t="shared" ref="I560" si="306">+C560+D560-E560-F560+G560</f>
        <v>596200</v>
      </c>
      <c r="J560" s="182">
        <f>I560-H560</f>
        <v>0</v>
      </c>
      <c r="K560" s="183" t="s">
        <v>143</v>
      </c>
      <c r="L560" s="184">
        <v>950000</v>
      </c>
      <c r="M560" s="184">
        <v>320000</v>
      </c>
      <c r="N560" s="47">
        <v>33800</v>
      </c>
      <c r="O560" s="184">
        <v>0</v>
      </c>
    </row>
    <row r="561" spans="1:15" ht="16.5">
      <c r="A561" s="58" t="str">
        <f t="shared" si="295"/>
        <v>Hurielle</v>
      </c>
      <c r="B561" s="97" t="s">
        <v>154</v>
      </c>
      <c r="C561" s="61">
        <v>46900</v>
      </c>
      <c r="D561" s="61">
        <f t="shared" si="296"/>
        <v>603000</v>
      </c>
      <c r="E561" s="61">
        <f>+N561</f>
        <v>456200</v>
      </c>
      <c r="F561" s="61">
        <f>+M561</f>
        <v>49000</v>
      </c>
      <c r="G561" s="61">
        <f t="shared" si="294"/>
        <v>0</v>
      </c>
      <c r="H561" s="61">
        <v>144700</v>
      </c>
      <c r="I561" s="61">
        <f t="shared" si="301"/>
        <v>144700</v>
      </c>
      <c r="J561" s="9">
        <f t="shared" si="299"/>
        <v>0</v>
      </c>
      <c r="K561" s="45" t="s">
        <v>197</v>
      </c>
      <c r="L561" s="47">
        <v>603000</v>
      </c>
      <c r="M561" s="47">
        <v>49000</v>
      </c>
      <c r="N561" s="47">
        <v>456200</v>
      </c>
      <c r="O561" s="47">
        <v>0</v>
      </c>
    </row>
    <row r="562" spans="1:15" ht="16.5">
      <c r="A562" s="58" t="str">
        <f t="shared" si="295"/>
        <v>Merveille</v>
      </c>
      <c r="B562" s="180" t="s">
        <v>2</v>
      </c>
      <c r="C562" s="181">
        <v>14100</v>
      </c>
      <c r="D562" s="61">
        <f t="shared" si="296"/>
        <v>0</v>
      </c>
      <c r="E562" s="61">
        <f t="shared" ref="E562:E565" si="307">+N562</f>
        <v>17000</v>
      </c>
      <c r="F562" s="61">
        <f t="shared" ref="F562:F565" si="308">+M562</f>
        <v>0</v>
      </c>
      <c r="G562" s="61">
        <f t="shared" si="294"/>
        <v>0</v>
      </c>
      <c r="H562" s="181">
        <v>-2900</v>
      </c>
      <c r="I562" s="181">
        <f t="shared" si="301"/>
        <v>-2900</v>
      </c>
      <c r="J562" s="182">
        <f>I562-H562</f>
        <v>0</v>
      </c>
      <c r="K562" s="183" t="s">
        <v>93</v>
      </c>
      <c r="L562" s="184">
        <v>0</v>
      </c>
      <c r="M562" s="184">
        <v>0</v>
      </c>
      <c r="N562" s="47">
        <v>17000</v>
      </c>
      <c r="O562" s="184">
        <v>0</v>
      </c>
    </row>
    <row r="563" spans="1:15" ht="16.5">
      <c r="A563" s="58" t="str">
        <f t="shared" si="295"/>
        <v>P10</v>
      </c>
      <c r="B563" s="97" t="s">
        <v>4</v>
      </c>
      <c r="C563" s="61">
        <v>-3000</v>
      </c>
      <c r="D563" s="61">
        <f t="shared" si="296"/>
        <v>685000</v>
      </c>
      <c r="E563" s="61">
        <f t="shared" si="307"/>
        <v>578100</v>
      </c>
      <c r="F563" s="61">
        <f t="shared" si="308"/>
        <v>0</v>
      </c>
      <c r="G563" s="61">
        <f t="shared" si="294"/>
        <v>0</v>
      </c>
      <c r="H563" s="61">
        <v>103900</v>
      </c>
      <c r="I563" s="61">
        <f t="shared" si="301"/>
        <v>103900</v>
      </c>
      <c r="J563" s="9">
        <f t="shared" ref="J563:J564" si="309">I563-H563</f>
        <v>0</v>
      </c>
      <c r="K563" s="45" t="s">
        <v>254</v>
      </c>
      <c r="L563" s="47">
        <v>685000</v>
      </c>
      <c r="M563" s="47">
        <v>0</v>
      </c>
      <c r="N563" s="47">
        <v>578100</v>
      </c>
      <c r="O563" s="47">
        <v>0</v>
      </c>
    </row>
    <row r="564" spans="1:15" ht="16.5">
      <c r="A564" s="58" t="str">
        <f t="shared" si="295"/>
        <v>P29</v>
      </c>
      <c r="B564" s="59" t="s">
        <v>4</v>
      </c>
      <c r="C564" s="61">
        <v>56000</v>
      </c>
      <c r="D564" s="61">
        <f>+L564</f>
        <v>538000</v>
      </c>
      <c r="E564" s="61">
        <f t="shared" si="307"/>
        <v>418100</v>
      </c>
      <c r="F564" s="61">
        <f t="shared" si="308"/>
        <v>0</v>
      </c>
      <c r="G564" s="61">
        <f t="shared" si="294"/>
        <v>0</v>
      </c>
      <c r="H564" s="61">
        <v>175900</v>
      </c>
      <c r="I564" s="61">
        <f>+C564+D564-E564-F564+G564</f>
        <v>175900</v>
      </c>
      <c r="J564" s="9">
        <f t="shared" si="309"/>
        <v>0</v>
      </c>
      <c r="K564" s="45" t="s">
        <v>29</v>
      </c>
      <c r="L564" s="47">
        <v>538000</v>
      </c>
      <c r="M564" s="47">
        <v>0</v>
      </c>
      <c r="N564" s="184">
        <v>418100</v>
      </c>
      <c r="O564" s="47">
        <v>0</v>
      </c>
    </row>
    <row r="565" spans="1:15" ht="16.5">
      <c r="A565" s="58" t="str">
        <f t="shared" si="295"/>
        <v>Tiffany</v>
      </c>
      <c r="B565" s="59" t="s">
        <v>2</v>
      </c>
      <c r="C565" s="61">
        <v>18298</v>
      </c>
      <c r="D565" s="61">
        <f t="shared" ref="D565" si="310">+L565</f>
        <v>20000</v>
      </c>
      <c r="E565" s="61">
        <f t="shared" si="307"/>
        <v>59000</v>
      </c>
      <c r="F565" s="61">
        <f t="shared" si="308"/>
        <v>0</v>
      </c>
      <c r="G565" s="61">
        <f t="shared" si="294"/>
        <v>0</v>
      </c>
      <c r="H565" s="61">
        <v>-20702</v>
      </c>
      <c r="I565" s="61">
        <f>+C565+D565-E565-F565+G565</f>
        <v>-20702</v>
      </c>
      <c r="J565" s="9">
        <f>I565-H565</f>
        <v>0</v>
      </c>
      <c r="K565" s="45" t="s">
        <v>113</v>
      </c>
      <c r="L565" s="47">
        <v>20000</v>
      </c>
      <c r="M565" s="47">
        <v>0</v>
      </c>
      <c r="N565" s="47">
        <v>59000</v>
      </c>
      <c r="O565" s="47">
        <v>0</v>
      </c>
    </row>
    <row r="566" spans="1:15" ht="16.5">
      <c r="A566" s="10" t="s">
        <v>50</v>
      </c>
      <c r="B566" s="11"/>
      <c r="C566" s="12">
        <f t="shared" ref="C566:I566" si="311">SUM(C552:C565)</f>
        <v>22002193</v>
      </c>
      <c r="D566" s="57">
        <f t="shared" si="311"/>
        <v>10404000</v>
      </c>
      <c r="E566" s="57">
        <f t="shared" si="311"/>
        <v>8309501</v>
      </c>
      <c r="F566" s="57">
        <f t="shared" si="311"/>
        <v>10404000</v>
      </c>
      <c r="G566" s="57">
        <f t="shared" si="311"/>
        <v>12787953</v>
      </c>
      <c r="H566" s="57">
        <f t="shared" si="311"/>
        <v>26480645</v>
      </c>
      <c r="I566" s="57">
        <f t="shared" si="311"/>
        <v>26480645</v>
      </c>
      <c r="J566" s="9">
        <f>I566-H566</f>
        <v>0</v>
      </c>
      <c r="K566" s="3"/>
      <c r="L566" s="47">
        <f>+SUM(L552:L565)</f>
        <v>10404000</v>
      </c>
      <c r="M566" s="47">
        <f>+SUM(M552:M565)</f>
        <v>10404000</v>
      </c>
      <c r="N566" s="47">
        <f>+SUM(N552:N565)</f>
        <v>8309501</v>
      </c>
      <c r="O566" s="47">
        <f>+SUM(O552:O565)</f>
        <v>12787953</v>
      </c>
    </row>
    <row r="567" spans="1:15" ht="16.5">
      <c r="A567" s="10"/>
      <c r="B567" s="11"/>
      <c r="C567" s="12"/>
      <c r="D567" s="13"/>
      <c r="E567" s="12"/>
      <c r="F567" s="13"/>
      <c r="G567" s="12"/>
      <c r="H567" s="12"/>
      <c r="I567" s="133" t="b">
        <f>I566=D569</f>
        <v>1</v>
      </c>
      <c r="J567" s="9">
        <f>H566-I566</f>
        <v>0</v>
      </c>
      <c r="L567" s="5"/>
      <c r="M567" s="5"/>
      <c r="N567" s="5"/>
      <c r="O567" s="5"/>
    </row>
    <row r="568" spans="1:15" ht="16.5">
      <c r="A568" s="10" t="s">
        <v>256</v>
      </c>
      <c r="B568" s="11" t="s">
        <v>257</v>
      </c>
      <c r="C568" s="12" t="s">
        <v>163</v>
      </c>
      <c r="D568" s="12" t="s">
        <v>258</v>
      </c>
      <c r="E568" s="12" t="s">
        <v>51</v>
      </c>
      <c r="F568" s="12"/>
      <c r="G568" s="12">
        <f>+D566-F566</f>
        <v>0</v>
      </c>
      <c r="H568" s="12"/>
      <c r="I568" s="12"/>
    </row>
    <row r="569" spans="1:15" ht="16.5">
      <c r="A569" s="14">
        <f>C566</f>
        <v>22002193</v>
      </c>
      <c r="B569" s="15">
        <f>G566</f>
        <v>12787953</v>
      </c>
      <c r="C569" s="12">
        <f>E566</f>
        <v>8309501</v>
      </c>
      <c r="D569" s="12">
        <f>A569+B569-C569</f>
        <v>26480645</v>
      </c>
      <c r="E569" s="13">
        <f>I566-D569</f>
        <v>0</v>
      </c>
      <c r="F569" s="12"/>
      <c r="G569" s="12"/>
      <c r="H569" s="12"/>
      <c r="I569" s="12"/>
    </row>
    <row r="570" spans="1:15" ht="16.5">
      <c r="A570" s="14"/>
      <c r="B570" s="15"/>
      <c r="C570" s="12"/>
      <c r="D570" s="12"/>
      <c r="E570" s="13"/>
      <c r="F570" s="12"/>
      <c r="G570" s="12"/>
      <c r="H570" s="12"/>
      <c r="I570" s="12"/>
    </row>
    <row r="571" spans="1:15">
      <c r="A571" s="16" t="s">
        <v>52</v>
      </c>
      <c r="B571" s="16"/>
      <c r="C571" s="16"/>
      <c r="D571" s="17"/>
      <c r="E571" s="17"/>
      <c r="F571" s="17"/>
      <c r="G571" s="17"/>
      <c r="H571" s="17"/>
      <c r="I571" s="17"/>
    </row>
    <row r="572" spans="1:15">
      <c r="A572" s="18" t="s">
        <v>261</v>
      </c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5">
      <c r="A573" s="19"/>
      <c r="B573" s="17"/>
      <c r="C573" s="20"/>
      <c r="D573" s="20"/>
      <c r="E573" s="20"/>
      <c r="F573" s="20"/>
      <c r="G573" s="20"/>
      <c r="H573" s="17"/>
      <c r="I573" s="17"/>
    </row>
    <row r="574" spans="1:15" ht="25.5">
      <c r="A574" s="166" t="s">
        <v>53</v>
      </c>
      <c r="B574" s="168" t="s">
        <v>54</v>
      </c>
      <c r="C574" s="170" t="s">
        <v>260</v>
      </c>
      <c r="D574" s="171" t="s">
        <v>55</v>
      </c>
      <c r="E574" s="172"/>
      <c r="F574" s="172"/>
      <c r="G574" s="173"/>
      <c r="H574" s="174" t="s">
        <v>56</v>
      </c>
      <c r="I574" s="162" t="s">
        <v>57</v>
      </c>
      <c r="J574" s="17"/>
    </row>
    <row r="575" spans="1:15" ht="25.5">
      <c r="A575" s="167"/>
      <c r="B575" s="169"/>
      <c r="C575" s="22"/>
      <c r="D575" s="21" t="s">
        <v>24</v>
      </c>
      <c r="E575" s="21" t="s">
        <v>25</v>
      </c>
      <c r="F575" s="22" t="s">
        <v>123</v>
      </c>
      <c r="G575" s="21" t="s">
        <v>58</v>
      </c>
      <c r="H575" s="175"/>
      <c r="I575" s="163"/>
      <c r="J575" s="164" t="s">
        <v>259</v>
      </c>
      <c r="K575" s="142"/>
    </row>
    <row r="576" spans="1:15">
      <c r="A576" s="23"/>
      <c r="B576" s="24" t="s">
        <v>59</v>
      </c>
      <c r="C576" s="25"/>
      <c r="D576" s="25"/>
      <c r="E576" s="25"/>
      <c r="F576" s="25"/>
      <c r="G576" s="25"/>
      <c r="H576" s="25"/>
      <c r="I576" s="26"/>
      <c r="J576" s="165"/>
      <c r="K576" s="142"/>
    </row>
    <row r="577" spans="1:11">
      <c r="A577" s="121" t="s">
        <v>98</v>
      </c>
      <c r="B577" s="126" t="s">
        <v>47</v>
      </c>
      <c r="C577" s="32">
        <f>+C555</f>
        <v>113930</v>
      </c>
      <c r="D577" s="31"/>
      <c r="E577" s="32">
        <f t="shared" ref="E577:E582" si="312">+D555</f>
        <v>614000</v>
      </c>
      <c r="F577" s="32"/>
      <c r="G577" s="32"/>
      <c r="H577" s="55">
        <f t="shared" ref="H577:H582" si="313">+F555</f>
        <v>80000</v>
      </c>
      <c r="I577" s="32">
        <f t="shared" ref="I577:I582" si="314">+E555</f>
        <v>238400</v>
      </c>
      <c r="J577" s="30">
        <f t="shared" ref="J577:J579" si="315">+SUM(C577:G577)-(H577+I577)</f>
        <v>409530</v>
      </c>
      <c r="K577" s="143" t="b">
        <f>J577=I555</f>
        <v>1</v>
      </c>
    </row>
    <row r="578" spans="1:11">
      <c r="A578" s="121" t="str">
        <f>+A577</f>
        <v>NOVEMBRE</v>
      </c>
      <c r="B578" s="126" t="s">
        <v>255</v>
      </c>
      <c r="C578" s="32">
        <f t="shared" ref="C578:C579" si="316">+C556</f>
        <v>13000</v>
      </c>
      <c r="D578" s="31"/>
      <c r="E578" s="32">
        <f t="shared" si="312"/>
        <v>521000</v>
      </c>
      <c r="F578" s="32"/>
      <c r="G578" s="32"/>
      <c r="H578" s="55">
        <f t="shared" si="313"/>
        <v>20000</v>
      </c>
      <c r="I578" s="32">
        <f t="shared" si="314"/>
        <v>504300</v>
      </c>
      <c r="J578" s="100">
        <f t="shared" ref="J578" si="317">+SUM(C578:G578)-(H578+I578)</f>
        <v>9700</v>
      </c>
      <c r="K578" s="143" t="b">
        <f>J578=I556</f>
        <v>1</v>
      </c>
    </row>
    <row r="579" spans="1:11">
      <c r="A579" s="121" t="str">
        <f t="shared" ref="A579:A587" si="318">+A578</f>
        <v>NOVEMBRE</v>
      </c>
      <c r="B579" s="126" t="s">
        <v>31</v>
      </c>
      <c r="C579" s="32">
        <f t="shared" si="316"/>
        <v>11575</v>
      </c>
      <c r="D579" s="31"/>
      <c r="E579" s="32">
        <f t="shared" si="312"/>
        <v>324000</v>
      </c>
      <c r="F579" s="32"/>
      <c r="G579" s="32"/>
      <c r="H579" s="55">
        <f t="shared" si="313"/>
        <v>0</v>
      </c>
      <c r="I579" s="32">
        <f t="shared" si="314"/>
        <v>70150</v>
      </c>
      <c r="J579" s="100">
        <f t="shared" si="315"/>
        <v>265425</v>
      </c>
      <c r="K579" s="143" t="b">
        <f t="shared" ref="K579:K587" si="319">J579=I557</f>
        <v>1</v>
      </c>
    </row>
    <row r="580" spans="1:11">
      <c r="A580" s="121" t="str">
        <f t="shared" si="318"/>
        <v>NOVEMBRE</v>
      </c>
      <c r="B580" s="128" t="s">
        <v>84</v>
      </c>
      <c r="C580" s="119">
        <f>+C558</f>
        <v>233614</v>
      </c>
      <c r="D580" s="122"/>
      <c r="E580" s="119">
        <f t="shared" si="312"/>
        <v>0</v>
      </c>
      <c r="F580" s="136"/>
      <c r="G580" s="136"/>
      <c r="H580" s="154">
        <f t="shared" si="313"/>
        <v>0</v>
      </c>
      <c r="I580" s="119">
        <f t="shared" si="314"/>
        <v>0</v>
      </c>
      <c r="J580" s="120">
        <f>+SUM(C580:G580)-(H580+I580)</f>
        <v>233614</v>
      </c>
      <c r="K580" s="143" t="b">
        <f t="shared" si="319"/>
        <v>1</v>
      </c>
    </row>
    <row r="581" spans="1:11">
      <c r="A581" s="121" t="str">
        <f t="shared" si="318"/>
        <v>NOVEMBRE</v>
      </c>
      <c r="B581" s="128" t="s">
        <v>83</v>
      </c>
      <c r="C581" s="119">
        <f>+C559</f>
        <v>249769</v>
      </c>
      <c r="D581" s="122"/>
      <c r="E581" s="119">
        <f t="shared" si="312"/>
        <v>0</v>
      </c>
      <c r="F581" s="136"/>
      <c r="G581" s="136"/>
      <c r="H581" s="154">
        <f t="shared" si="313"/>
        <v>0</v>
      </c>
      <c r="I581" s="119">
        <f t="shared" si="314"/>
        <v>0</v>
      </c>
      <c r="J581" s="120">
        <f t="shared" ref="J581:J587" si="320">+SUM(C581:G581)-(H581+I581)</f>
        <v>249769</v>
      </c>
      <c r="K581" s="143" t="b">
        <f t="shared" si="319"/>
        <v>1</v>
      </c>
    </row>
    <row r="582" spans="1:11">
      <c r="A582" s="121" t="str">
        <f t="shared" si="318"/>
        <v>NOVEMBRE</v>
      </c>
      <c r="B582" s="126" t="s">
        <v>143</v>
      </c>
      <c r="C582" s="32">
        <f>+C560</f>
        <v>0</v>
      </c>
      <c r="D582" s="31"/>
      <c r="E582" s="32">
        <f t="shared" si="312"/>
        <v>950000</v>
      </c>
      <c r="F582" s="32"/>
      <c r="G582" s="103"/>
      <c r="H582" s="55">
        <f t="shared" si="313"/>
        <v>320000</v>
      </c>
      <c r="I582" s="32">
        <f t="shared" si="314"/>
        <v>33800</v>
      </c>
      <c r="J582" s="30">
        <f t="shared" si="320"/>
        <v>596200</v>
      </c>
      <c r="K582" s="143" t="b">
        <f t="shared" si="319"/>
        <v>1</v>
      </c>
    </row>
    <row r="583" spans="1:11">
      <c r="A583" s="121" t="str">
        <f t="shared" si="318"/>
        <v>NOVEMBRE</v>
      </c>
      <c r="B583" s="126" t="s">
        <v>197</v>
      </c>
      <c r="C583" s="32">
        <f t="shared" ref="C583:C587" si="321">+C561</f>
        <v>46900</v>
      </c>
      <c r="D583" s="31"/>
      <c r="E583" s="32">
        <f t="shared" ref="E583:E587" si="322">+D561</f>
        <v>603000</v>
      </c>
      <c r="F583" s="32"/>
      <c r="G583" s="103"/>
      <c r="H583" s="55">
        <f t="shared" ref="H583:H587" si="323">+F561</f>
        <v>49000</v>
      </c>
      <c r="I583" s="32">
        <f t="shared" ref="I583:I587" si="324">+E561</f>
        <v>456200</v>
      </c>
      <c r="J583" s="30">
        <f t="shared" si="320"/>
        <v>144700</v>
      </c>
      <c r="K583" s="143" t="b">
        <f t="shared" si="319"/>
        <v>1</v>
      </c>
    </row>
    <row r="584" spans="1:11">
      <c r="A584" s="121" t="str">
        <f t="shared" si="318"/>
        <v>NOVEMBRE</v>
      </c>
      <c r="B584" s="126" t="s">
        <v>93</v>
      </c>
      <c r="C584" s="32">
        <f t="shared" si="321"/>
        <v>14100</v>
      </c>
      <c r="D584" s="31"/>
      <c r="E584" s="32">
        <f t="shared" si="322"/>
        <v>0</v>
      </c>
      <c r="F584" s="32"/>
      <c r="G584" s="103"/>
      <c r="H584" s="55">
        <f t="shared" si="323"/>
        <v>0</v>
      </c>
      <c r="I584" s="32">
        <f t="shared" si="324"/>
        <v>17000</v>
      </c>
      <c r="J584" s="30">
        <f t="shared" si="320"/>
        <v>-2900</v>
      </c>
      <c r="K584" s="143" t="b">
        <f t="shared" si="319"/>
        <v>1</v>
      </c>
    </row>
    <row r="585" spans="1:11">
      <c r="A585" s="121" t="str">
        <f t="shared" si="318"/>
        <v>NOVEMBRE</v>
      </c>
      <c r="B585" s="126" t="s">
        <v>254</v>
      </c>
      <c r="C585" s="32">
        <f t="shared" si="321"/>
        <v>-3000</v>
      </c>
      <c r="D585" s="31"/>
      <c r="E585" s="32">
        <f t="shared" si="322"/>
        <v>685000</v>
      </c>
      <c r="F585" s="32"/>
      <c r="G585" s="103"/>
      <c r="H585" s="55">
        <f t="shared" si="323"/>
        <v>0</v>
      </c>
      <c r="I585" s="32">
        <f t="shared" si="324"/>
        <v>578100</v>
      </c>
      <c r="J585" s="30">
        <f t="shared" si="320"/>
        <v>103900</v>
      </c>
      <c r="K585" s="143" t="b">
        <f t="shared" si="319"/>
        <v>1</v>
      </c>
    </row>
    <row r="586" spans="1:11">
      <c r="A586" s="121" t="str">
        <f t="shared" si="318"/>
        <v>NOVEMBRE</v>
      </c>
      <c r="B586" s="126" t="s">
        <v>29</v>
      </c>
      <c r="C586" s="32">
        <f t="shared" si="321"/>
        <v>56000</v>
      </c>
      <c r="D586" s="31"/>
      <c r="E586" s="32">
        <f t="shared" si="322"/>
        <v>538000</v>
      </c>
      <c r="F586" s="32"/>
      <c r="G586" s="103"/>
      <c r="H586" s="55">
        <f t="shared" si="323"/>
        <v>0</v>
      </c>
      <c r="I586" s="32">
        <f t="shared" si="324"/>
        <v>418100</v>
      </c>
      <c r="J586" s="30">
        <f t="shared" si="320"/>
        <v>175900</v>
      </c>
      <c r="K586" s="143" t="b">
        <f t="shared" si="319"/>
        <v>1</v>
      </c>
    </row>
    <row r="587" spans="1:11">
      <c r="A587" s="121" t="str">
        <f t="shared" si="318"/>
        <v>NOVEMBRE</v>
      </c>
      <c r="B587" s="127" t="s">
        <v>113</v>
      </c>
      <c r="C587" s="32">
        <f t="shared" si="321"/>
        <v>18298</v>
      </c>
      <c r="D587" s="118"/>
      <c r="E587" s="32">
        <f t="shared" si="322"/>
        <v>20000</v>
      </c>
      <c r="F587" s="51"/>
      <c r="G587" s="137"/>
      <c r="H587" s="55">
        <f t="shared" si="323"/>
        <v>0</v>
      </c>
      <c r="I587" s="32">
        <f t="shared" si="324"/>
        <v>59000</v>
      </c>
      <c r="J587" s="30">
        <f t="shared" si="320"/>
        <v>-20702</v>
      </c>
      <c r="K587" s="143" t="b">
        <f t="shared" si="319"/>
        <v>1</v>
      </c>
    </row>
    <row r="588" spans="1:11">
      <c r="A588" s="34" t="s">
        <v>60</v>
      </c>
      <c r="B588" s="35"/>
      <c r="C588" s="35"/>
      <c r="D588" s="35"/>
      <c r="E588" s="35"/>
      <c r="F588" s="35"/>
      <c r="G588" s="35"/>
      <c r="H588" s="35"/>
      <c r="I588" s="35"/>
      <c r="J588" s="36"/>
      <c r="K588" s="142"/>
    </row>
    <row r="589" spans="1:11">
      <c r="A589" s="121" t="str">
        <f>A587</f>
        <v>NOVEMBRE</v>
      </c>
      <c r="B589" s="37" t="s">
        <v>61</v>
      </c>
      <c r="C589" s="38">
        <f>+C554</f>
        <v>2105331</v>
      </c>
      <c r="D589" s="49"/>
      <c r="E589" s="49">
        <f>D554</f>
        <v>6149000</v>
      </c>
      <c r="F589" s="49"/>
      <c r="G589" s="124"/>
      <c r="H589" s="51">
        <f>+F554</f>
        <v>3935000</v>
      </c>
      <c r="I589" s="125">
        <f>+E554</f>
        <v>1843228</v>
      </c>
      <c r="J589" s="30">
        <f>+SUM(C589:G589)-(H589+I589)</f>
        <v>2476103</v>
      </c>
      <c r="K589" s="143" t="b">
        <f>J589=I554</f>
        <v>1</v>
      </c>
    </row>
    <row r="590" spans="1:11">
      <c r="A590" s="43" t="s">
        <v>62</v>
      </c>
      <c r="B590" s="24"/>
      <c r="C590" s="35"/>
      <c r="D590" s="24"/>
      <c r="E590" s="24"/>
      <c r="F590" s="24"/>
      <c r="G590" s="24"/>
      <c r="H590" s="24"/>
      <c r="I590" s="24"/>
      <c r="J590" s="36"/>
      <c r="K590" s="142"/>
    </row>
    <row r="591" spans="1:11">
      <c r="A591" s="121" t="str">
        <f>+A589</f>
        <v>NOVEMBRE</v>
      </c>
      <c r="B591" s="37" t="s">
        <v>156</v>
      </c>
      <c r="C591" s="124">
        <f>+C552</f>
        <v>9603727</v>
      </c>
      <c r="D591" s="131">
        <f>+G552</f>
        <v>12787953</v>
      </c>
      <c r="E591" s="49"/>
      <c r="F591" s="49"/>
      <c r="G591" s="49"/>
      <c r="H591" s="51">
        <f>+F552</f>
        <v>6000000</v>
      </c>
      <c r="I591" s="53">
        <f>+E552</f>
        <v>173438</v>
      </c>
      <c r="J591" s="30">
        <f>+SUM(C591:G591)-(H591+I591)</f>
        <v>16218242</v>
      </c>
      <c r="K591" s="143" t="b">
        <f>+J591=I552</f>
        <v>1</v>
      </c>
    </row>
    <row r="592" spans="1:11">
      <c r="A592" s="121" t="str">
        <f t="shared" ref="A592" si="325">+A591</f>
        <v>NOVEMBRE</v>
      </c>
      <c r="B592" s="37" t="s">
        <v>64</v>
      </c>
      <c r="C592" s="124">
        <f>+C553</f>
        <v>9538949</v>
      </c>
      <c r="D592" s="49">
        <f>+G553</f>
        <v>0</v>
      </c>
      <c r="E592" s="48"/>
      <c r="F592" s="48"/>
      <c r="G592" s="48"/>
      <c r="H592" s="32">
        <f>+F553</f>
        <v>0</v>
      </c>
      <c r="I592" s="50">
        <f>+E553</f>
        <v>3917785</v>
      </c>
      <c r="J592" s="30">
        <f>SUM(C592:G592)-(H592+I592)</f>
        <v>5621164</v>
      </c>
      <c r="K592" s="143" t="b">
        <f>+J592=I553</f>
        <v>1</v>
      </c>
    </row>
    <row r="593" spans="1:16" ht="15.75">
      <c r="C593" s="140">
        <f>SUM(C577:C592)</f>
        <v>22002193</v>
      </c>
      <c r="I593" s="139">
        <f>SUM(I577:I592)</f>
        <v>8309501</v>
      </c>
      <c r="J593" s="104">
        <f>+SUM(J577:J592)</f>
        <v>26480645</v>
      </c>
      <c r="K593" s="5" t="b">
        <f>J593=I566</f>
        <v>1</v>
      </c>
    </row>
    <row r="594" spans="1:16" ht="15.75">
      <c r="C594" s="140"/>
      <c r="I594" s="139"/>
      <c r="J594" s="104"/>
    </row>
    <row r="595" spans="1:16" ht="15.75">
      <c r="A595" s="157"/>
      <c r="B595" s="157"/>
      <c r="C595" s="158"/>
      <c r="D595" s="157"/>
      <c r="E595" s="157"/>
      <c r="F595" s="157"/>
      <c r="G595" s="157"/>
      <c r="H595" s="157"/>
      <c r="I595" s="159"/>
      <c r="J595" s="160"/>
      <c r="K595" s="157"/>
      <c r="L595" s="161"/>
      <c r="M595" s="161"/>
      <c r="N595" s="161"/>
      <c r="O595" s="161"/>
      <c r="P595" s="157"/>
    </row>
    <row r="598" spans="1:16" ht="15.75">
      <c r="A598" s="6" t="s">
        <v>36</v>
      </c>
      <c r="B598" s="6" t="s">
        <v>1</v>
      </c>
      <c r="C598" s="6">
        <v>44835</v>
      </c>
      <c r="D598" s="7" t="s">
        <v>37</v>
      </c>
      <c r="E598" s="7" t="s">
        <v>38</v>
      </c>
      <c r="F598" s="7" t="s">
        <v>39</v>
      </c>
      <c r="G598" s="7" t="s">
        <v>40</v>
      </c>
      <c r="H598" s="6">
        <v>44865</v>
      </c>
      <c r="I598" s="7" t="s">
        <v>41</v>
      </c>
      <c r="K598" s="45"/>
      <c r="L598" s="45" t="s">
        <v>42</v>
      </c>
      <c r="M598" s="45" t="s">
        <v>43</v>
      </c>
      <c r="N598" s="45" t="s">
        <v>44</v>
      </c>
      <c r="O598" s="45" t="s">
        <v>45</v>
      </c>
    </row>
    <row r="599" spans="1:16" ht="16.5">
      <c r="A599" s="58" t="str">
        <f>K599</f>
        <v>BCI</v>
      </c>
      <c r="B599" s="59" t="s">
        <v>46</v>
      </c>
      <c r="C599" s="61">
        <v>14237475</v>
      </c>
      <c r="D599" s="61">
        <f>+L599</f>
        <v>0</v>
      </c>
      <c r="E599" s="61">
        <f>+N599</f>
        <v>633748</v>
      </c>
      <c r="F599" s="61">
        <f>+M599</f>
        <v>4000000</v>
      </c>
      <c r="G599" s="61">
        <f t="shared" ref="G599:G612" si="326">+O599</f>
        <v>0</v>
      </c>
      <c r="H599" s="61">
        <v>9603727</v>
      </c>
      <c r="I599" s="61">
        <f>+C599+D599-E599-F599+G599</f>
        <v>9603727</v>
      </c>
      <c r="J599" s="9">
        <f>I599-H599</f>
        <v>0</v>
      </c>
      <c r="K599" s="45" t="s">
        <v>24</v>
      </c>
      <c r="L599" s="47">
        <v>0</v>
      </c>
      <c r="M599" s="47">
        <v>4000000</v>
      </c>
      <c r="N599" s="47">
        <v>633748</v>
      </c>
      <c r="O599" s="47">
        <v>0</v>
      </c>
    </row>
    <row r="600" spans="1:16" ht="16.5">
      <c r="A600" s="58" t="str">
        <f t="shared" ref="A600:A612" si="327">K600</f>
        <v>BCI-Sous Compte</v>
      </c>
      <c r="B600" s="59" t="s">
        <v>46</v>
      </c>
      <c r="C600" s="61">
        <v>8844061</v>
      </c>
      <c r="D600" s="61">
        <f t="shared" ref="D600:D612" si="328">+L600</f>
        <v>0</v>
      </c>
      <c r="E600" s="61">
        <f t="shared" ref="E600:E604" si="329">+N600</f>
        <v>4731844</v>
      </c>
      <c r="F600" s="61">
        <f t="shared" ref="F600:F606" si="330">+M600</f>
        <v>0</v>
      </c>
      <c r="G600" s="61">
        <f t="shared" si="326"/>
        <v>5426732</v>
      </c>
      <c r="H600" s="61">
        <v>9538949</v>
      </c>
      <c r="I600" s="61">
        <f>+C600+D600-E600-F600+G600</f>
        <v>9538949</v>
      </c>
      <c r="J600" s="9">
        <f>I600-H600</f>
        <v>0</v>
      </c>
      <c r="K600" s="45" t="s">
        <v>148</v>
      </c>
      <c r="L600" s="46">
        <v>0</v>
      </c>
      <c r="M600" s="47">
        <v>0</v>
      </c>
      <c r="N600" s="47">
        <v>4731844</v>
      </c>
      <c r="O600" s="47">
        <v>5426732</v>
      </c>
    </row>
    <row r="601" spans="1:16" ht="16.5">
      <c r="A601" s="58" t="str">
        <f t="shared" si="327"/>
        <v>Caisse</v>
      </c>
      <c r="B601" s="59" t="s">
        <v>25</v>
      </c>
      <c r="C601" s="61">
        <v>1081474</v>
      </c>
      <c r="D601" s="61">
        <f t="shared" si="328"/>
        <v>4595950</v>
      </c>
      <c r="E601" s="61">
        <f t="shared" si="329"/>
        <v>2106393</v>
      </c>
      <c r="F601" s="61">
        <f t="shared" si="330"/>
        <v>1465700</v>
      </c>
      <c r="G601" s="61">
        <f t="shared" si="326"/>
        <v>0</v>
      </c>
      <c r="H601" s="61">
        <v>2105331</v>
      </c>
      <c r="I601" s="61">
        <f>+C601+D601-E601-F601+G601</f>
        <v>2105331</v>
      </c>
      <c r="J601" s="101">
        <f t="shared" ref="J601:J607" si="331">I601-H601</f>
        <v>0</v>
      </c>
      <c r="K601" s="45" t="s">
        <v>25</v>
      </c>
      <c r="L601" s="47">
        <v>4595950</v>
      </c>
      <c r="M601" s="47">
        <v>1465700</v>
      </c>
      <c r="N601" s="47">
        <v>2106393</v>
      </c>
      <c r="O601" s="47">
        <v>0</v>
      </c>
    </row>
    <row r="602" spans="1:16" ht="16.5">
      <c r="A602" s="58" t="str">
        <f t="shared" si="327"/>
        <v>Crépin</v>
      </c>
      <c r="B602" s="59" t="s">
        <v>154</v>
      </c>
      <c r="C602" s="61">
        <v>483330</v>
      </c>
      <c r="D602" s="61">
        <f t="shared" si="328"/>
        <v>552500</v>
      </c>
      <c r="E602" s="61">
        <f t="shared" si="329"/>
        <v>521900</v>
      </c>
      <c r="F602" s="61">
        <f t="shared" si="330"/>
        <v>400000</v>
      </c>
      <c r="G602" s="61">
        <f t="shared" si="326"/>
        <v>0</v>
      </c>
      <c r="H602" s="61">
        <v>113930</v>
      </c>
      <c r="I602" s="61">
        <f>+C602+D602-E602-F602+G602</f>
        <v>113930</v>
      </c>
      <c r="J602" s="9">
        <f t="shared" si="331"/>
        <v>0</v>
      </c>
      <c r="K602" s="45" t="s">
        <v>47</v>
      </c>
      <c r="L602" s="47">
        <v>552500</v>
      </c>
      <c r="M602" s="47">
        <v>400000</v>
      </c>
      <c r="N602" s="47">
        <v>521900</v>
      </c>
      <c r="O602" s="47">
        <v>0</v>
      </c>
    </row>
    <row r="603" spans="1:16" ht="16.5">
      <c r="A603" s="58" t="str">
        <f t="shared" si="327"/>
        <v>Donald</v>
      </c>
      <c r="B603" s="59" t="s">
        <v>154</v>
      </c>
      <c r="C603" s="61">
        <v>0</v>
      </c>
      <c r="D603" s="61">
        <f t="shared" si="328"/>
        <v>20000</v>
      </c>
      <c r="E603" s="61">
        <f t="shared" si="329"/>
        <v>7000</v>
      </c>
      <c r="F603" s="61">
        <f t="shared" si="330"/>
        <v>0</v>
      </c>
      <c r="G603" s="61">
        <f t="shared" si="326"/>
        <v>0</v>
      </c>
      <c r="H603" s="61">
        <v>13000</v>
      </c>
      <c r="I603" s="61">
        <f t="shared" ref="I603:I604" si="332">+C603+D603-E603-F603+G603</f>
        <v>13000</v>
      </c>
      <c r="J603" s="9">
        <f t="shared" si="331"/>
        <v>0</v>
      </c>
      <c r="K603" s="45" t="s">
        <v>255</v>
      </c>
      <c r="L603" s="47">
        <v>20000</v>
      </c>
      <c r="M603" s="47">
        <v>0</v>
      </c>
      <c r="N603" s="47">
        <v>7000</v>
      </c>
      <c r="O603" s="47">
        <v>0</v>
      </c>
    </row>
    <row r="604" spans="1:16" ht="16.5">
      <c r="A604" s="58" t="str">
        <f t="shared" si="327"/>
        <v>Evariste</v>
      </c>
      <c r="B604" s="59" t="s">
        <v>155</v>
      </c>
      <c r="C604" s="61">
        <v>76225</v>
      </c>
      <c r="D604" s="61">
        <f t="shared" si="328"/>
        <v>15000</v>
      </c>
      <c r="E604" s="61">
        <f t="shared" si="329"/>
        <v>34650</v>
      </c>
      <c r="F604" s="61">
        <f t="shared" si="330"/>
        <v>45000</v>
      </c>
      <c r="G604" s="61">
        <f t="shared" si="326"/>
        <v>0</v>
      </c>
      <c r="H604" s="61">
        <v>11575</v>
      </c>
      <c r="I604" s="61">
        <f t="shared" si="332"/>
        <v>11575</v>
      </c>
      <c r="J604" s="9">
        <f t="shared" si="331"/>
        <v>0</v>
      </c>
      <c r="K604" s="45" t="s">
        <v>31</v>
      </c>
      <c r="L604" s="47">
        <v>15000</v>
      </c>
      <c r="M604" s="47">
        <v>45000</v>
      </c>
      <c r="N604" s="47">
        <v>34650</v>
      </c>
      <c r="O604" s="47">
        <v>0</v>
      </c>
    </row>
    <row r="605" spans="1:16" ht="16.5">
      <c r="A605" s="58" t="str">
        <f t="shared" si="327"/>
        <v>I55S</v>
      </c>
      <c r="B605" s="115" t="s">
        <v>4</v>
      </c>
      <c r="C605" s="117">
        <v>233614</v>
      </c>
      <c r="D605" s="117">
        <f t="shared" si="328"/>
        <v>0</v>
      </c>
      <c r="E605" s="117">
        <f>+N605</f>
        <v>0</v>
      </c>
      <c r="F605" s="117">
        <f t="shared" si="330"/>
        <v>0</v>
      </c>
      <c r="G605" s="117">
        <f t="shared" si="326"/>
        <v>0</v>
      </c>
      <c r="H605" s="117">
        <v>233614</v>
      </c>
      <c r="I605" s="117">
        <f>+C605+D605-E605-F605+G605</f>
        <v>233614</v>
      </c>
      <c r="J605" s="9">
        <f t="shared" si="331"/>
        <v>0</v>
      </c>
      <c r="K605" s="45" t="s">
        <v>84</v>
      </c>
      <c r="L605" s="47">
        <v>0</v>
      </c>
      <c r="M605" s="47">
        <v>0</v>
      </c>
      <c r="N605" s="47">
        <v>0</v>
      </c>
      <c r="O605" s="47">
        <v>0</v>
      </c>
    </row>
    <row r="606" spans="1:16" ht="16.5">
      <c r="A606" s="58" t="str">
        <f t="shared" si="327"/>
        <v>I73X</v>
      </c>
      <c r="B606" s="115" t="s">
        <v>4</v>
      </c>
      <c r="C606" s="117">
        <v>249769</v>
      </c>
      <c r="D606" s="117">
        <f t="shared" si="328"/>
        <v>0</v>
      </c>
      <c r="E606" s="117">
        <f>+N606</f>
        <v>0</v>
      </c>
      <c r="F606" s="117">
        <f t="shared" si="330"/>
        <v>0</v>
      </c>
      <c r="G606" s="117">
        <f t="shared" si="326"/>
        <v>0</v>
      </c>
      <c r="H606" s="117">
        <v>249769</v>
      </c>
      <c r="I606" s="117">
        <f t="shared" ref="I606:I609" si="333">+C606+D606-E606-F606+G606</f>
        <v>249769</v>
      </c>
      <c r="J606" s="9">
        <f t="shared" si="331"/>
        <v>0</v>
      </c>
      <c r="K606" s="45" t="s">
        <v>83</v>
      </c>
      <c r="L606" s="47">
        <v>0</v>
      </c>
      <c r="M606" s="47">
        <v>0</v>
      </c>
      <c r="N606" s="47">
        <v>0</v>
      </c>
      <c r="O606" s="47">
        <v>0</v>
      </c>
    </row>
    <row r="607" spans="1:16" ht="16.5">
      <c r="A607" s="58" t="str">
        <f t="shared" si="327"/>
        <v>Hurielle</v>
      </c>
      <c r="B607" s="97" t="s">
        <v>154</v>
      </c>
      <c r="C607" s="61">
        <v>41200</v>
      </c>
      <c r="D607" s="61">
        <f t="shared" si="328"/>
        <v>294000</v>
      </c>
      <c r="E607" s="61">
        <f>+N607</f>
        <v>258300</v>
      </c>
      <c r="F607" s="61">
        <f>+M607</f>
        <v>30000</v>
      </c>
      <c r="G607" s="61">
        <f t="shared" si="326"/>
        <v>0</v>
      </c>
      <c r="H607" s="61">
        <v>46900</v>
      </c>
      <c r="I607" s="61">
        <f t="shared" si="333"/>
        <v>46900</v>
      </c>
      <c r="J607" s="9">
        <f t="shared" si="331"/>
        <v>0</v>
      </c>
      <c r="K607" s="45" t="s">
        <v>197</v>
      </c>
      <c r="L607" s="47">
        <v>294000</v>
      </c>
      <c r="M607" s="47">
        <v>30000</v>
      </c>
      <c r="N607" s="47">
        <v>258300</v>
      </c>
      <c r="O607" s="47">
        <v>0</v>
      </c>
    </row>
    <row r="608" spans="1:16" ht="16.5">
      <c r="A608" s="58" t="str">
        <f t="shared" si="327"/>
        <v>Merveille</v>
      </c>
      <c r="B608" s="180" t="s">
        <v>2</v>
      </c>
      <c r="C608" s="181">
        <v>98100</v>
      </c>
      <c r="D608" s="61">
        <f t="shared" si="328"/>
        <v>0</v>
      </c>
      <c r="E608" s="61">
        <f t="shared" ref="E608:E612" si="334">+N608</f>
        <v>24000</v>
      </c>
      <c r="F608" s="61">
        <f t="shared" ref="F608:F612" si="335">+M608</f>
        <v>60000</v>
      </c>
      <c r="G608" s="61">
        <f t="shared" si="326"/>
        <v>0</v>
      </c>
      <c r="H608" s="181">
        <v>14100</v>
      </c>
      <c r="I608" s="181">
        <f t="shared" si="333"/>
        <v>14100</v>
      </c>
      <c r="J608" s="182">
        <f>I608-H608</f>
        <v>0</v>
      </c>
      <c r="K608" s="183" t="s">
        <v>93</v>
      </c>
      <c r="L608" s="184">
        <v>0</v>
      </c>
      <c r="M608" s="184">
        <v>60000</v>
      </c>
      <c r="N608" s="47">
        <v>24000</v>
      </c>
      <c r="O608" s="184">
        <v>0</v>
      </c>
    </row>
    <row r="609" spans="1:15" ht="16.5">
      <c r="A609" s="58" t="str">
        <f t="shared" si="327"/>
        <v>P10</v>
      </c>
      <c r="B609" s="59" t="s">
        <v>4</v>
      </c>
      <c r="C609" s="61">
        <v>0</v>
      </c>
      <c r="D609" s="61">
        <f t="shared" si="328"/>
        <v>105000</v>
      </c>
      <c r="E609" s="61">
        <f t="shared" si="334"/>
        <v>98000</v>
      </c>
      <c r="F609" s="61">
        <f t="shared" si="335"/>
        <v>10000</v>
      </c>
      <c r="G609" s="61">
        <f t="shared" si="326"/>
        <v>0</v>
      </c>
      <c r="H609" s="61">
        <v>-3000</v>
      </c>
      <c r="I609" s="61">
        <f t="shared" si="333"/>
        <v>-3000</v>
      </c>
      <c r="J609" s="9">
        <f t="shared" ref="J609:J610" si="336">I609-H609</f>
        <v>0</v>
      </c>
      <c r="K609" s="45" t="s">
        <v>254</v>
      </c>
      <c r="L609" s="47">
        <v>105000</v>
      </c>
      <c r="M609" s="47">
        <v>10000</v>
      </c>
      <c r="N609" s="47">
        <v>98000</v>
      </c>
      <c r="O609" s="47">
        <v>0</v>
      </c>
    </row>
    <row r="610" spans="1:15" ht="16.5">
      <c r="A610" s="58" t="str">
        <f t="shared" si="327"/>
        <v>P29</v>
      </c>
      <c r="B610" s="59" t="s">
        <v>4</v>
      </c>
      <c r="C610" s="61">
        <v>60950</v>
      </c>
      <c r="D610" s="61">
        <f>+L610</f>
        <v>315000</v>
      </c>
      <c r="E610" s="61">
        <f t="shared" si="334"/>
        <v>259000</v>
      </c>
      <c r="F610" s="61">
        <f t="shared" si="335"/>
        <v>60950</v>
      </c>
      <c r="G610" s="61">
        <f t="shared" si="326"/>
        <v>0</v>
      </c>
      <c r="H610" s="61">
        <v>56000</v>
      </c>
      <c r="I610" s="61">
        <f>+C610+D610-E610-F610+G610</f>
        <v>56000</v>
      </c>
      <c r="J610" s="9">
        <f t="shared" si="336"/>
        <v>0</v>
      </c>
      <c r="K610" s="45" t="s">
        <v>29</v>
      </c>
      <c r="L610" s="47">
        <v>315000</v>
      </c>
      <c r="M610" s="47">
        <v>60950</v>
      </c>
      <c r="N610" s="184">
        <v>259000</v>
      </c>
      <c r="O610" s="47">
        <v>0</v>
      </c>
    </row>
    <row r="611" spans="1:15" ht="16.5">
      <c r="A611" s="58" t="str">
        <f t="shared" si="327"/>
        <v>Tiffany</v>
      </c>
      <c r="B611" s="59" t="s">
        <v>2</v>
      </c>
      <c r="C611" s="61">
        <v>26298</v>
      </c>
      <c r="D611" s="61">
        <f t="shared" si="328"/>
        <v>150000</v>
      </c>
      <c r="E611" s="61">
        <f t="shared" si="334"/>
        <v>158000</v>
      </c>
      <c r="F611" s="61">
        <f t="shared" si="335"/>
        <v>0</v>
      </c>
      <c r="G611" s="61">
        <f t="shared" si="326"/>
        <v>0</v>
      </c>
      <c r="H611" s="61">
        <v>18298</v>
      </c>
      <c r="I611" s="61">
        <f>+C611+D611-E611-F611+G611</f>
        <v>18298</v>
      </c>
      <c r="J611" s="9">
        <f>I611-H611</f>
        <v>0</v>
      </c>
      <c r="K611" s="45" t="s">
        <v>113</v>
      </c>
      <c r="L611" s="47">
        <v>150000</v>
      </c>
      <c r="M611" s="47">
        <v>0</v>
      </c>
      <c r="N611" s="47">
        <v>158000</v>
      </c>
      <c r="O611" s="47">
        <v>0</v>
      </c>
    </row>
    <row r="612" spans="1:15" ht="16.5">
      <c r="A612" s="58" t="str">
        <f t="shared" si="327"/>
        <v>Yan</v>
      </c>
      <c r="B612" s="59" t="s">
        <v>154</v>
      </c>
      <c r="C612" s="61">
        <v>-1700</v>
      </c>
      <c r="D612" s="61">
        <f t="shared" si="328"/>
        <v>24200</v>
      </c>
      <c r="E612" s="61">
        <f t="shared" si="334"/>
        <v>22500</v>
      </c>
      <c r="F612" s="61">
        <f t="shared" si="335"/>
        <v>0</v>
      </c>
      <c r="G612" s="61">
        <f t="shared" si="326"/>
        <v>0</v>
      </c>
      <c r="H612" s="61">
        <v>0</v>
      </c>
      <c r="I612" s="61">
        <f t="shared" ref="I612" si="337">+C612+D612-E612-F612+G612</f>
        <v>0</v>
      </c>
      <c r="J612" s="9">
        <f t="shared" ref="J612" si="338">I612-H612</f>
        <v>0</v>
      </c>
      <c r="K612" s="45" t="s">
        <v>212</v>
      </c>
      <c r="L612" s="47">
        <v>24200</v>
      </c>
      <c r="M612" s="47">
        <v>0</v>
      </c>
      <c r="N612" s="47">
        <v>22500</v>
      </c>
      <c r="O612" s="47">
        <v>0</v>
      </c>
    </row>
    <row r="613" spans="1:15" ht="16.5">
      <c r="A613" s="10" t="s">
        <v>50</v>
      </c>
      <c r="B613" s="11"/>
      <c r="C613" s="12">
        <f t="shared" ref="C613:G613" si="339">SUM(C599:C612)</f>
        <v>25430796</v>
      </c>
      <c r="D613" s="57">
        <f t="shared" si="339"/>
        <v>6071650</v>
      </c>
      <c r="E613" s="57">
        <f t="shared" si="339"/>
        <v>8855335</v>
      </c>
      <c r="F613" s="57">
        <f t="shared" si="339"/>
        <v>6071650</v>
      </c>
      <c r="G613" s="57">
        <f t="shared" si="339"/>
        <v>5426732</v>
      </c>
      <c r="H613" s="57">
        <f>SUM(H599:H612)</f>
        <v>22002193</v>
      </c>
      <c r="I613" s="57">
        <f t="shared" ref="I613" si="340">SUM(I599:I612)</f>
        <v>22002193</v>
      </c>
      <c r="J613" s="9">
        <f>I613-H613</f>
        <v>0</v>
      </c>
      <c r="K613" s="3"/>
      <c r="L613" s="47">
        <f>+SUM(L599:L612)</f>
        <v>6071650</v>
      </c>
      <c r="M613" s="47">
        <f>+SUM(M599:M612)</f>
        <v>6071650</v>
      </c>
      <c r="N613" s="47">
        <f>+SUM(N599:N612)</f>
        <v>8855335</v>
      </c>
      <c r="O613" s="47">
        <f>+SUM(O599:O612)</f>
        <v>5426732</v>
      </c>
    </row>
    <row r="614" spans="1:15" ht="16.5">
      <c r="A614" s="10"/>
      <c r="B614" s="11"/>
      <c r="C614" s="12"/>
      <c r="D614" s="13"/>
      <c r="E614" s="12"/>
      <c r="F614" s="13"/>
      <c r="G614" s="12"/>
      <c r="H614" s="12"/>
      <c r="I614" s="133" t="b">
        <f>I613=D616</f>
        <v>1</v>
      </c>
      <c r="J614" s="9">
        <f>H613-I613</f>
        <v>0</v>
      </c>
      <c r="L614" s="5"/>
      <c r="M614" s="5"/>
      <c r="N614" s="5"/>
      <c r="O614" s="5"/>
    </row>
    <row r="615" spans="1:15" ht="16.5">
      <c r="A615" s="10" t="s">
        <v>247</v>
      </c>
      <c r="B615" s="11" t="s">
        <v>248</v>
      </c>
      <c r="C615" s="12" t="s">
        <v>249</v>
      </c>
      <c r="D615" s="12" t="s">
        <v>250</v>
      </c>
      <c r="E615" s="12" t="s">
        <v>51</v>
      </c>
      <c r="F615" s="12"/>
      <c r="G615" s="12">
        <f>+D613-F613</f>
        <v>0</v>
      </c>
      <c r="H615" s="12"/>
      <c r="I615" s="12"/>
    </row>
    <row r="616" spans="1:15" ht="16.5">
      <c r="A616" s="14">
        <f>C613</f>
        <v>25430796</v>
      </c>
      <c r="B616" s="15">
        <f>G613</f>
        <v>5426732</v>
      </c>
      <c r="C616" s="12">
        <f>E613</f>
        <v>8855335</v>
      </c>
      <c r="D616" s="12">
        <f>A616+B616-C616</f>
        <v>22002193</v>
      </c>
      <c r="E616" s="13">
        <f>I613-D616</f>
        <v>0</v>
      </c>
      <c r="F616" s="12"/>
      <c r="G616" s="12"/>
      <c r="H616" s="12"/>
      <c r="I616" s="12"/>
    </row>
    <row r="617" spans="1:15" ht="16.5">
      <c r="A617" s="14"/>
      <c r="B617" s="15"/>
      <c r="C617" s="12"/>
      <c r="D617" s="12"/>
      <c r="E617" s="13"/>
      <c r="F617" s="12"/>
      <c r="G617" s="12"/>
      <c r="H617" s="12"/>
      <c r="I617" s="12"/>
    </row>
    <row r="618" spans="1:15">
      <c r="A618" s="16" t="s">
        <v>52</v>
      </c>
      <c r="B618" s="16"/>
      <c r="C618" s="16"/>
      <c r="D618" s="17"/>
      <c r="E618" s="17"/>
      <c r="F618" s="17"/>
      <c r="G618" s="17"/>
      <c r="H618" s="17"/>
      <c r="I618" s="17"/>
    </row>
    <row r="619" spans="1:15">
      <c r="A619" s="18" t="s">
        <v>253</v>
      </c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5">
      <c r="A620" s="19"/>
      <c r="B620" s="17"/>
      <c r="C620" s="20"/>
      <c r="D620" s="20"/>
      <c r="E620" s="20"/>
      <c r="F620" s="20"/>
      <c r="G620" s="20"/>
      <c r="H620" s="17"/>
      <c r="I620" s="17"/>
    </row>
    <row r="621" spans="1:15">
      <c r="A621" s="166" t="s">
        <v>53</v>
      </c>
      <c r="B621" s="168" t="s">
        <v>54</v>
      </c>
      <c r="C621" s="170" t="s">
        <v>251</v>
      </c>
      <c r="D621" s="171" t="s">
        <v>55</v>
      </c>
      <c r="E621" s="172"/>
      <c r="F621" s="172"/>
      <c r="G621" s="173"/>
      <c r="H621" s="174" t="s">
        <v>56</v>
      </c>
      <c r="I621" s="162" t="s">
        <v>57</v>
      </c>
      <c r="J621" s="17"/>
    </row>
    <row r="622" spans="1:15" ht="25.5">
      <c r="A622" s="167"/>
      <c r="B622" s="169"/>
      <c r="C622" s="22"/>
      <c r="D622" s="21" t="s">
        <v>24</v>
      </c>
      <c r="E622" s="21" t="s">
        <v>25</v>
      </c>
      <c r="F622" s="22" t="s">
        <v>123</v>
      </c>
      <c r="G622" s="21" t="s">
        <v>58</v>
      </c>
      <c r="H622" s="175"/>
      <c r="I622" s="163"/>
      <c r="J622" s="164" t="s">
        <v>252</v>
      </c>
      <c r="K622" s="142"/>
    </row>
    <row r="623" spans="1:15">
      <c r="A623" s="23"/>
      <c r="B623" s="24" t="s">
        <v>59</v>
      </c>
      <c r="C623" s="25"/>
      <c r="D623" s="25"/>
      <c r="E623" s="25"/>
      <c r="F623" s="25"/>
      <c r="G623" s="25"/>
      <c r="H623" s="25"/>
      <c r="I623" s="26"/>
      <c r="J623" s="165"/>
      <c r="K623" s="142"/>
    </row>
    <row r="624" spans="1:15">
      <c r="A624" s="121" t="s">
        <v>90</v>
      </c>
      <c r="B624" s="126" t="s">
        <v>47</v>
      </c>
      <c r="C624" s="32">
        <f>+C602</f>
        <v>483330</v>
      </c>
      <c r="D624" s="31"/>
      <c r="E624" s="32">
        <f>+D602</f>
        <v>552500</v>
      </c>
      <c r="F624" s="32"/>
      <c r="G624" s="32"/>
      <c r="H624" s="55">
        <f>+F602</f>
        <v>400000</v>
      </c>
      <c r="I624" s="32">
        <f>+E602</f>
        <v>521900</v>
      </c>
      <c r="J624" s="30">
        <f t="shared" ref="J624" si="341">+SUM(C624:G624)-(H624+I624)</f>
        <v>113930</v>
      </c>
      <c r="K624" s="143" t="b">
        <f>J624=I602</f>
        <v>1</v>
      </c>
    </row>
    <row r="625" spans="1:11">
      <c r="A625" s="121" t="str">
        <f>+A624</f>
        <v>OCTOBRE</v>
      </c>
      <c r="B625" s="126" t="s">
        <v>255</v>
      </c>
      <c r="C625" s="32">
        <f>+C603</f>
        <v>0</v>
      </c>
      <c r="D625" s="31"/>
      <c r="E625" s="32">
        <f>+D603</f>
        <v>20000</v>
      </c>
      <c r="F625" s="32"/>
      <c r="G625" s="32"/>
      <c r="H625" s="55">
        <f>+F603</f>
        <v>0</v>
      </c>
      <c r="I625" s="32">
        <f>+E603</f>
        <v>7000</v>
      </c>
      <c r="J625" s="100">
        <f>+SUM(C625:G625)-(H625+I625)</f>
        <v>13000</v>
      </c>
      <c r="K625" s="143" t="b">
        <f>J625=I603</f>
        <v>1</v>
      </c>
    </row>
    <row r="626" spans="1:11">
      <c r="A626" s="121" t="str">
        <f t="shared" ref="A626:A630" si="342">+A625</f>
        <v>OCTOBRE</v>
      </c>
      <c r="B626" s="128" t="s">
        <v>84</v>
      </c>
      <c r="C626" s="119">
        <f t="shared" ref="C626:C627" si="343">+C605</f>
        <v>233614</v>
      </c>
      <c r="D626" s="122"/>
      <c r="E626" s="119">
        <f t="shared" ref="E626:E627" si="344">+D605</f>
        <v>0</v>
      </c>
      <c r="F626" s="136"/>
      <c r="G626" s="136"/>
      <c r="H626" s="154">
        <f t="shared" ref="H626:H627" si="345">+F605</f>
        <v>0</v>
      </c>
      <c r="I626" s="119">
        <f t="shared" ref="I626:I627" si="346">+E605</f>
        <v>0</v>
      </c>
      <c r="J626" s="120">
        <f>+SUM(C626:G626)-(H626+I626)</f>
        <v>233614</v>
      </c>
      <c r="K626" s="143" t="b">
        <f t="shared" ref="K626:K627" si="347">J626=I605</f>
        <v>1</v>
      </c>
    </row>
    <row r="627" spans="1:11">
      <c r="A627" s="121" t="str">
        <f t="shared" si="342"/>
        <v>OCTOBRE</v>
      </c>
      <c r="B627" s="128" t="s">
        <v>83</v>
      </c>
      <c r="C627" s="119">
        <f t="shared" si="343"/>
        <v>249769</v>
      </c>
      <c r="D627" s="122"/>
      <c r="E627" s="119">
        <f t="shared" si="344"/>
        <v>0</v>
      </c>
      <c r="F627" s="136"/>
      <c r="G627" s="136"/>
      <c r="H627" s="154">
        <f t="shared" si="345"/>
        <v>0</v>
      </c>
      <c r="I627" s="119">
        <f t="shared" si="346"/>
        <v>0</v>
      </c>
      <c r="J627" s="120">
        <f t="shared" ref="J627:J634" si="348">+SUM(C627:G627)-(H627+I627)</f>
        <v>249769</v>
      </c>
      <c r="K627" s="143" t="b">
        <f t="shared" si="347"/>
        <v>1</v>
      </c>
    </row>
    <row r="628" spans="1:11">
      <c r="A628" s="121" t="str">
        <f t="shared" si="342"/>
        <v>OCTOBRE</v>
      </c>
      <c r="B628" s="126" t="s">
        <v>31</v>
      </c>
      <c r="C628" s="32">
        <f>C604</f>
        <v>76225</v>
      </c>
      <c r="D628" s="31"/>
      <c r="E628" s="32">
        <f>+D604</f>
        <v>15000</v>
      </c>
      <c r="F628" s="32"/>
      <c r="G628" s="103"/>
      <c r="H628" s="55">
        <f>+F604</f>
        <v>45000</v>
      </c>
      <c r="I628" s="32">
        <f>+E604</f>
        <v>34650</v>
      </c>
      <c r="J628" s="30">
        <f t="shared" si="348"/>
        <v>11575</v>
      </c>
      <c r="K628" s="143" t="b">
        <f>J628=I604</f>
        <v>1</v>
      </c>
    </row>
    <row r="629" spans="1:11">
      <c r="A629" s="121" t="str">
        <f t="shared" si="342"/>
        <v>OCTOBRE</v>
      </c>
      <c r="B629" s="126" t="s">
        <v>197</v>
      </c>
      <c r="C629" s="32">
        <f>C607</f>
        <v>41200</v>
      </c>
      <c r="D629" s="31"/>
      <c r="E629" s="32">
        <f>+D607</f>
        <v>294000</v>
      </c>
      <c r="F629" s="32"/>
      <c r="G629" s="103"/>
      <c r="H629" s="55">
        <f>+F607</f>
        <v>30000</v>
      </c>
      <c r="I629" s="32">
        <f>+E607</f>
        <v>258300</v>
      </c>
      <c r="J629" s="30">
        <f t="shared" si="348"/>
        <v>46900</v>
      </c>
      <c r="K629" s="143" t="b">
        <f>J629=I607</f>
        <v>1</v>
      </c>
    </row>
    <row r="630" spans="1:11">
      <c r="A630" s="121" t="str">
        <f t="shared" si="342"/>
        <v>OCTOBRE</v>
      </c>
      <c r="B630" s="126" t="s">
        <v>93</v>
      </c>
      <c r="C630" s="32">
        <f t="shared" ref="C630:C634" si="349">C608</f>
        <v>98100</v>
      </c>
      <c r="D630" s="31"/>
      <c r="E630" s="32">
        <f t="shared" ref="E630:E634" si="350">+D608</f>
        <v>0</v>
      </c>
      <c r="F630" s="32"/>
      <c r="G630" s="103"/>
      <c r="H630" s="55">
        <f t="shared" ref="H630:H634" si="351">+F608</f>
        <v>60000</v>
      </c>
      <c r="I630" s="32">
        <f t="shared" ref="I630:I634" si="352">+E608</f>
        <v>24000</v>
      </c>
      <c r="J630" s="30">
        <f t="shared" si="348"/>
        <v>14100</v>
      </c>
      <c r="K630" s="143" t="b">
        <f t="shared" ref="K630:K634" si="353">J630=I608</f>
        <v>1</v>
      </c>
    </row>
    <row r="631" spans="1:11">
      <c r="A631" s="121" t="str">
        <f>+A629</f>
        <v>OCTOBRE</v>
      </c>
      <c r="B631" s="126" t="s">
        <v>254</v>
      </c>
      <c r="C631" s="32">
        <f t="shared" si="349"/>
        <v>0</v>
      </c>
      <c r="D631" s="31"/>
      <c r="E631" s="32">
        <f t="shared" si="350"/>
        <v>105000</v>
      </c>
      <c r="F631" s="32"/>
      <c r="G631" s="103"/>
      <c r="H631" s="55">
        <f t="shared" si="351"/>
        <v>10000</v>
      </c>
      <c r="I631" s="32">
        <f t="shared" si="352"/>
        <v>98000</v>
      </c>
      <c r="J631" s="30">
        <f t="shared" si="348"/>
        <v>-3000</v>
      </c>
      <c r="K631" s="143" t="b">
        <f t="shared" si="353"/>
        <v>1</v>
      </c>
    </row>
    <row r="632" spans="1:11">
      <c r="A632" s="121" t="str">
        <f t="shared" ref="A632:A634" si="354">+A630</f>
        <v>OCTOBRE</v>
      </c>
      <c r="B632" s="126" t="s">
        <v>29</v>
      </c>
      <c r="C632" s="32">
        <f t="shared" si="349"/>
        <v>60950</v>
      </c>
      <c r="D632" s="31"/>
      <c r="E632" s="32">
        <f t="shared" si="350"/>
        <v>315000</v>
      </c>
      <c r="F632" s="32"/>
      <c r="G632" s="103"/>
      <c r="H632" s="55">
        <f t="shared" si="351"/>
        <v>60950</v>
      </c>
      <c r="I632" s="32">
        <f t="shared" si="352"/>
        <v>259000</v>
      </c>
      <c r="J632" s="30">
        <f t="shared" si="348"/>
        <v>56000</v>
      </c>
      <c r="K632" s="143" t="b">
        <f t="shared" si="353"/>
        <v>1</v>
      </c>
    </row>
    <row r="633" spans="1:11">
      <c r="A633" s="121" t="str">
        <f t="shared" si="354"/>
        <v>OCTOBRE</v>
      </c>
      <c r="B633" s="127" t="s">
        <v>113</v>
      </c>
      <c r="C633" s="32">
        <f t="shared" si="349"/>
        <v>26298</v>
      </c>
      <c r="D633" s="118"/>
      <c r="E633" s="32">
        <f t="shared" si="350"/>
        <v>150000</v>
      </c>
      <c r="F633" s="51"/>
      <c r="G633" s="137"/>
      <c r="H633" s="55">
        <f t="shared" si="351"/>
        <v>0</v>
      </c>
      <c r="I633" s="32">
        <f t="shared" si="352"/>
        <v>158000</v>
      </c>
      <c r="J633" s="30">
        <f t="shared" si="348"/>
        <v>18298</v>
      </c>
      <c r="K633" s="143" t="b">
        <f t="shared" si="353"/>
        <v>1</v>
      </c>
    </row>
    <row r="634" spans="1:11">
      <c r="A634" s="121" t="str">
        <f t="shared" si="354"/>
        <v>OCTOBRE</v>
      </c>
      <c r="B634" s="127" t="s">
        <v>212</v>
      </c>
      <c r="C634" s="32">
        <f t="shared" si="349"/>
        <v>-1700</v>
      </c>
      <c r="D634" s="118"/>
      <c r="E634" s="32">
        <f t="shared" si="350"/>
        <v>24200</v>
      </c>
      <c r="F634" s="51"/>
      <c r="G634" s="137"/>
      <c r="H634" s="55">
        <f t="shared" si="351"/>
        <v>0</v>
      </c>
      <c r="I634" s="32">
        <f t="shared" si="352"/>
        <v>22500</v>
      </c>
      <c r="J634" s="30">
        <f t="shared" si="348"/>
        <v>0</v>
      </c>
      <c r="K634" s="143" t="b">
        <f t="shared" si="353"/>
        <v>1</v>
      </c>
    </row>
    <row r="635" spans="1:11">
      <c r="A635" s="34" t="s">
        <v>60</v>
      </c>
      <c r="B635" s="35"/>
      <c r="C635" s="35"/>
      <c r="D635" s="35"/>
      <c r="E635" s="35"/>
      <c r="F635" s="35"/>
      <c r="G635" s="35"/>
      <c r="H635" s="35"/>
      <c r="I635" s="35"/>
      <c r="J635" s="36"/>
      <c r="K635" s="142"/>
    </row>
    <row r="636" spans="1:11">
      <c r="A636" s="121" t="str">
        <f>A634</f>
        <v>OCTOBRE</v>
      </c>
      <c r="B636" s="37" t="s">
        <v>61</v>
      </c>
      <c r="C636" s="38">
        <f>+C601</f>
        <v>1081474</v>
      </c>
      <c r="D636" s="49"/>
      <c r="E636" s="49">
        <f>D601</f>
        <v>4595950</v>
      </c>
      <c r="F636" s="49"/>
      <c r="G636" s="124"/>
      <c r="H636" s="51">
        <f>+F601</f>
        <v>1465700</v>
      </c>
      <c r="I636" s="125">
        <f>+E601</f>
        <v>2106393</v>
      </c>
      <c r="J636" s="30">
        <f>+SUM(C636:G636)-(H636+I636)</f>
        <v>2105331</v>
      </c>
      <c r="K636" s="143" t="b">
        <f>J636=I601</f>
        <v>1</v>
      </c>
    </row>
    <row r="637" spans="1:11">
      <c r="A637" s="43" t="s">
        <v>62</v>
      </c>
      <c r="B637" s="24"/>
      <c r="C637" s="35"/>
      <c r="D637" s="24"/>
      <c r="E637" s="24"/>
      <c r="F637" s="24"/>
      <c r="G637" s="24"/>
      <c r="H637" s="24"/>
      <c r="I637" s="24"/>
      <c r="J637" s="36"/>
      <c r="K637" s="142"/>
    </row>
    <row r="638" spans="1:11">
      <c r="A638" s="121" t="str">
        <f>+A636</f>
        <v>OCTOBRE</v>
      </c>
      <c r="B638" s="37" t="s">
        <v>156</v>
      </c>
      <c r="C638" s="124">
        <f>+C599</f>
        <v>14237475</v>
      </c>
      <c r="D638" s="131">
        <f>+G599</f>
        <v>0</v>
      </c>
      <c r="E638" s="49"/>
      <c r="F638" s="49"/>
      <c r="G638" s="49"/>
      <c r="H638" s="51">
        <f>+F599</f>
        <v>4000000</v>
      </c>
      <c r="I638" s="53">
        <f>+E599</f>
        <v>633748</v>
      </c>
      <c r="J638" s="30">
        <f>+SUM(C638:G638)-(H638+I638)</f>
        <v>9603727</v>
      </c>
      <c r="K638" s="143" t="b">
        <f>+J638=I599</f>
        <v>1</v>
      </c>
    </row>
    <row r="639" spans="1:11">
      <c r="A639" s="121" t="str">
        <f t="shared" ref="A639" si="355">+A638</f>
        <v>OCTOBRE</v>
      </c>
      <c r="B639" s="37" t="s">
        <v>64</v>
      </c>
      <c r="C639" s="124">
        <f>+C600</f>
        <v>8844061</v>
      </c>
      <c r="D639" s="49">
        <f>+G600</f>
        <v>5426732</v>
      </c>
      <c r="E639" s="48"/>
      <c r="F639" s="48"/>
      <c r="G639" s="48"/>
      <c r="H639" s="32">
        <f>+F600</f>
        <v>0</v>
      </c>
      <c r="I639" s="50">
        <f>+E600</f>
        <v>4731844</v>
      </c>
      <c r="J639" s="30">
        <f>SUM(C639:G639)-(H639+I639)</f>
        <v>9538949</v>
      </c>
      <c r="K639" s="143" t="b">
        <f>+J639=I600</f>
        <v>1</v>
      </c>
    </row>
    <row r="640" spans="1:11" ht="15.75">
      <c r="C640" s="140">
        <f>SUM(C624:C639)</f>
        <v>25430796</v>
      </c>
      <c r="I640" s="139">
        <f>SUM(I624:I639)</f>
        <v>8855335</v>
      </c>
      <c r="J640" s="104">
        <f>+SUM(J624:J639)</f>
        <v>22002193</v>
      </c>
      <c r="K640" s="5" t="b">
        <f>J640=I613</f>
        <v>1</v>
      </c>
    </row>
    <row r="641" spans="1:16" ht="15.75">
      <c r="A641" s="157"/>
      <c r="B641" s="157"/>
      <c r="C641" s="158"/>
      <c r="D641" s="157"/>
      <c r="E641" s="157"/>
      <c r="F641" s="157"/>
      <c r="G641" s="157"/>
      <c r="H641" s="157"/>
      <c r="I641" s="159"/>
      <c r="J641" s="160"/>
      <c r="K641" s="157"/>
      <c r="L641" s="161"/>
      <c r="M641" s="161"/>
      <c r="N641" s="161"/>
      <c r="O641" s="161"/>
      <c r="P641" s="157"/>
    </row>
    <row r="642" spans="1:16" ht="15.75">
      <c r="C642" s="140"/>
      <c r="I642" s="139"/>
      <c r="J642" s="104"/>
    </row>
    <row r="645" spans="1:16" ht="15.75">
      <c r="A645" s="6" t="s">
        <v>36</v>
      </c>
      <c r="B645" s="6" t="s">
        <v>1</v>
      </c>
      <c r="C645" s="6">
        <v>44805</v>
      </c>
      <c r="D645" s="7" t="s">
        <v>37</v>
      </c>
      <c r="E645" s="7" t="s">
        <v>38</v>
      </c>
      <c r="F645" s="7" t="s">
        <v>39</v>
      </c>
      <c r="G645" s="7" t="s">
        <v>40</v>
      </c>
      <c r="H645" s="6" t="s">
        <v>239</v>
      </c>
      <c r="I645" s="7" t="s">
        <v>41</v>
      </c>
      <c r="K645" s="45"/>
      <c r="L645" s="45" t="s">
        <v>42</v>
      </c>
      <c r="M645" s="45" t="s">
        <v>43</v>
      </c>
      <c r="N645" s="45" t="s">
        <v>44</v>
      </c>
      <c r="O645" s="45" t="s">
        <v>45</v>
      </c>
    </row>
    <row r="646" spans="1:16" ht="16.5">
      <c r="A646" s="58" t="str">
        <f>K646</f>
        <v>BCI</v>
      </c>
      <c r="B646" s="59" t="s">
        <v>46</v>
      </c>
      <c r="C646" s="61">
        <v>23820820</v>
      </c>
      <c r="D646" s="61">
        <f>+L646</f>
        <v>0</v>
      </c>
      <c r="E646" s="61">
        <f>+N646</f>
        <v>583345</v>
      </c>
      <c r="F646" s="61">
        <f>+M646</f>
        <v>9000000</v>
      </c>
      <c r="G646" s="61">
        <f t="shared" ref="G646:G658" si="356">+O646</f>
        <v>0</v>
      </c>
      <c r="H646" s="61">
        <v>14237475</v>
      </c>
      <c r="I646" s="61">
        <f>+C646+D646-E646-F646+G646</f>
        <v>14237475</v>
      </c>
      <c r="J646" s="9">
        <f>I646-H646</f>
        <v>0</v>
      </c>
      <c r="K646" s="45" t="s">
        <v>24</v>
      </c>
      <c r="L646" s="47">
        <v>0</v>
      </c>
      <c r="M646" s="47">
        <v>9000000</v>
      </c>
      <c r="N646" s="47">
        <v>583345</v>
      </c>
      <c r="O646" s="47">
        <v>0</v>
      </c>
    </row>
    <row r="647" spans="1:16" ht="16.5">
      <c r="A647" s="58" t="str">
        <f t="shared" ref="A647:A658" si="357">K647</f>
        <v>BCI-Sous Compte</v>
      </c>
      <c r="B647" s="59" t="s">
        <v>46</v>
      </c>
      <c r="C647" s="61">
        <v>14424581</v>
      </c>
      <c r="D647" s="61">
        <f t="shared" ref="D647:D658" si="358">+L647</f>
        <v>0</v>
      </c>
      <c r="E647" s="61">
        <f t="shared" ref="E647:E658" si="359">+N647</f>
        <v>5580520</v>
      </c>
      <c r="F647" s="61">
        <f t="shared" ref="F647:F658" si="360">+M647</f>
        <v>0</v>
      </c>
      <c r="G647" s="61">
        <f t="shared" si="356"/>
        <v>0</v>
      </c>
      <c r="H647" s="61">
        <v>8844061</v>
      </c>
      <c r="I647" s="61">
        <f>+C647+D647-E647-F647+G647</f>
        <v>8844061</v>
      </c>
      <c r="J647" s="9">
        <f t="shared" ref="J647:J653" si="361">I647-H647</f>
        <v>0</v>
      </c>
      <c r="K647" s="45" t="s">
        <v>148</v>
      </c>
      <c r="L647" s="46">
        <v>0</v>
      </c>
      <c r="M647" s="47">
        <v>0</v>
      </c>
      <c r="N647" s="47">
        <v>5580520</v>
      </c>
      <c r="O647" s="47">
        <v>0</v>
      </c>
    </row>
    <row r="648" spans="1:16" ht="16.5">
      <c r="A648" s="58" t="str">
        <f t="shared" si="357"/>
        <v>Caisse</v>
      </c>
      <c r="B648" s="59" t="s">
        <v>25</v>
      </c>
      <c r="C648" s="61">
        <v>980042</v>
      </c>
      <c r="D648" s="61">
        <f t="shared" si="358"/>
        <v>9476115</v>
      </c>
      <c r="E648" s="61">
        <f t="shared" si="359"/>
        <v>2448183</v>
      </c>
      <c r="F648" s="61">
        <f t="shared" si="360"/>
        <v>6926500</v>
      </c>
      <c r="G648" s="61">
        <f t="shared" si="356"/>
        <v>0</v>
      </c>
      <c r="H648" s="61">
        <v>1081474</v>
      </c>
      <c r="I648" s="61">
        <f>+C648+D648-E648-F648+G648</f>
        <v>1081474</v>
      </c>
      <c r="J648" s="101">
        <f t="shared" si="361"/>
        <v>0</v>
      </c>
      <c r="K648" s="45" t="s">
        <v>25</v>
      </c>
      <c r="L648" s="47">
        <v>9476115</v>
      </c>
      <c r="M648" s="47">
        <v>6926500</v>
      </c>
      <c r="N648" s="47">
        <v>2448183</v>
      </c>
      <c r="O648" s="47">
        <v>0</v>
      </c>
    </row>
    <row r="649" spans="1:16" ht="16.5">
      <c r="A649" s="58" t="str">
        <f t="shared" si="357"/>
        <v>Crépin</v>
      </c>
      <c r="B649" s="59" t="s">
        <v>154</v>
      </c>
      <c r="C649" s="61">
        <v>65910</v>
      </c>
      <c r="D649" s="61">
        <f t="shared" si="358"/>
        <v>2886000</v>
      </c>
      <c r="E649" s="61">
        <f t="shared" si="359"/>
        <v>1968580</v>
      </c>
      <c r="F649" s="61">
        <f t="shared" si="360"/>
        <v>500000</v>
      </c>
      <c r="G649" s="61">
        <f t="shared" si="356"/>
        <v>0</v>
      </c>
      <c r="H649" s="61">
        <v>483330</v>
      </c>
      <c r="I649" s="61">
        <f>+C649+D649-E649-F649+G649</f>
        <v>483330</v>
      </c>
      <c r="J649" s="9">
        <f t="shared" si="361"/>
        <v>0</v>
      </c>
      <c r="K649" s="45" t="s">
        <v>47</v>
      </c>
      <c r="L649" s="47">
        <v>2886000</v>
      </c>
      <c r="M649" s="47">
        <v>500000</v>
      </c>
      <c r="N649" s="47">
        <v>1968580</v>
      </c>
      <c r="O649" s="47">
        <v>0</v>
      </c>
    </row>
    <row r="650" spans="1:16" ht="16.5">
      <c r="A650" s="58" t="str">
        <f t="shared" si="357"/>
        <v>Evariste</v>
      </c>
      <c r="B650" s="59" t="s">
        <v>155</v>
      </c>
      <c r="C650" s="61">
        <v>4795</v>
      </c>
      <c r="D650" s="61">
        <f t="shared" si="358"/>
        <v>782000</v>
      </c>
      <c r="E650" s="61">
        <f t="shared" si="359"/>
        <v>710570</v>
      </c>
      <c r="F650" s="61">
        <f t="shared" si="360"/>
        <v>0</v>
      </c>
      <c r="G650" s="61">
        <f t="shared" si="356"/>
        <v>0</v>
      </c>
      <c r="H650" s="61">
        <v>76225</v>
      </c>
      <c r="I650" s="61">
        <f t="shared" ref="I650" si="362">+C650+D650-E650-F650+G650</f>
        <v>76225</v>
      </c>
      <c r="J650" s="9">
        <f t="shared" si="361"/>
        <v>0</v>
      </c>
      <c r="K650" s="45" t="s">
        <v>31</v>
      </c>
      <c r="L650" s="47">
        <v>782000</v>
      </c>
      <c r="M650" s="47">
        <v>0</v>
      </c>
      <c r="N650" s="47">
        <v>710570</v>
      </c>
      <c r="O650" s="47">
        <v>0</v>
      </c>
    </row>
    <row r="651" spans="1:16" ht="16.5">
      <c r="A651" s="58" t="str">
        <f t="shared" si="357"/>
        <v>I55S</v>
      </c>
      <c r="B651" s="115" t="s">
        <v>4</v>
      </c>
      <c r="C651" s="117">
        <v>233614</v>
      </c>
      <c r="D651" s="117">
        <f t="shared" si="358"/>
        <v>0</v>
      </c>
      <c r="E651" s="117">
        <f t="shared" si="359"/>
        <v>0</v>
      </c>
      <c r="F651" s="117">
        <f t="shared" si="360"/>
        <v>0</v>
      </c>
      <c r="G651" s="117">
        <f t="shared" si="356"/>
        <v>0</v>
      </c>
      <c r="H651" s="117">
        <v>233614</v>
      </c>
      <c r="I651" s="117">
        <f>+C651+D651-E651-F651+G651</f>
        <v>233614</v>
      </c>
      <c r="J651" s="9">
        <f t="shared" si="361"/>
        <v>0</v>
      </c>
      <c r="K651" s="45" t="s">
        <v>84</v>
      </c>
      <c r="L651" s="47">
        <v>0</v>
      </c>
      <c r="M651" s="47">
        <v>0</v>
      </c>
      <c r="N651" s="47">
        <v>0</v>
      </c>
      <c r="O651" s="47">
        <v>0</v>
      </c>
    </row>
    <row r="652" spans="1:16" ht="16.5">
      <c r="A652" s="58" t="str">
        <f t="shared" si="357"/>
        <v>I73X</v>
      </c>
      <c r="B652" s="115" t="s">
        <v>4</v>
      </c>
      <c r="C652" s="117">
        <v>249769</v>
      </c>
      <c r="D652" s="117">
        <f t="shared" si="358"/>
        <v>0</v>
      </c>
      <c r="E652" s="117">
        <f t="shared" si="359"/>
        <v>0</v>
      </c>
      <c r="F652" s="117">
        <f t="shared" si="360"/>
        <v>0</v>
      </c>
      <c r="G652" s="117">
        <f t="shared" si="356"/>
        <v>0</v>
      </c>
      <c r="H652" s="117">
        <v>249769</v>
      </c>
      <c r="I652" s="117">
        <f t="shared" ref="I652:I655" si="363">+C652+D652-E652-F652+G652</f>
        <v>249769</v>
      </c>
      <c r="J652" s="9">
        <f t="shared" si="361"/>
        <v>0</v>
      </c>
      <c r="K652" s="45" t="s">
        <v>83</v>
      </c>
      <c r="L652" s="47">
        <v>0</v>
      </c>
      <c r="M652" s="47">
        <v>0</v>
      </c>
      <c r="N652" s="47">
        <v>0</v>
      </c>
      <c r="O652" s="47">
        <v>0</v>
      </c>
    </row>
    <row r="653" spans="1:16" ht="16.5">
      <c r="A653" s="58" t="str">
        <f t="shared" si="357"/>
        <v>Grace</v>
      </c>
      <c r="B653" s="97" t="s">
        <v>2</v>
      </c>
      <c r="C653" s="61">
        <v>116815</v>
      </c>
      <c r="D653" s="61">
        <f t="shared" si="358"/>
        <v>1388000</v>
      </c>
      <c r="E653" s="61">
        <f t="shared" si="359"/>
        <v>228700</v>
      </c>
      <c r="F653" s="61">
        <f t="shared" si="360"/>
        <v>1276115</v>
      </c>
      <c r="G653" s="61">
        <f t="shared" si="356"/>
        <v>0</v>
      </c>
      <c r="H653" s="61">
        <v>0</v>
      </c>
      <c r="I653" s="61">
        <f t="shared" si="363"/>
        <v>0</v>
      </c>
      <c r="J653" s="9">
        <f t="shared" si="361"/>
        <v>0</v>
      </c>
      <c r="K653" s="45" t="s">
        <v>143</v>
      </c>
      <c r="L653" s="47">
        <v>1388000</v>
      </c>
      <c r="M653" s="47">
        <v>1276115</v>
      </c>
      <c r="N653" s="47">
        <v>228700</v>
      </c>
      <c r="O653" s="47">
        <v>0</v>
      </c>
    </row>
    <row r="654" spans="1:16" ht="16.5">
      <c r="A654" s="58" t="str">
        <f t="shared" si="357"/>
        <v>Hurielle</v>
      </c>
      <c r="B654" s="180" t="s">
        <v>154</v>
      </c>
      <c r="C654" s="181">
        <v>700</v>
      </c>
      <c r="D654" s="61">
        <f t="shared" si="358"/>
        <v>629000</v>
      </c>
      <c r="E654" s="61">
        <f t="shared" si="359"/>
        <v>513500</v>
      </c>
      <c r="F654" s="61">
        <f t="shared" si="360"/>
        <v>75000</v>
      </c>
      <c r="G654" s="61">
        <f t="shared" si="356"/>
        <v>0</v>
      </c>
      <c r="H654" s="181">
        <f>5000+36200</f>
        <v>41200</v>
      </c>
      <c r="I654" s="181">
        <f t="shared" si="363"/>
        <v>41200</v>
      </c>
      <c r="J654" s="182">
        <f>I654-H654</f>
        <v>0</v>
      </c>
      <c r="K654" s="183" t="s">
        <v>197</v>
      </c>
      <c r="L654" s="184">
        <v>629000</v>
      </c>
      <c r="M654" s="184">
        <v>75000</v>
      </c>
      <c r="N654" s="184">
        <v>513500</v>
      </c>
      <c r="O654" s="184">
        <v>0</v>
      </c>
    </row>
    <row r="655" spans="1:16" ht="16.5">
      <c r="A655" s="58" t="str">
        <f t="shared" si="357"/>
        <v>Merveille</v>
      </c>
      <c r="B655" s="97" t="s">
        <v>2</v>
      </c>
      <c r="C655" s="61">
        <v>6900</v>
      </c>
      <c r="D655" s="61">
        <f t="shared" si="358"/>
        <v>521000</v>
      </c>
      <c r="E655" s="61">
        <f>+N655</f>
        <v>394800</v>
      </c>
      <c r="F655" s="61">
        <f t="shared" si="360"/>
        <v>35000</v>
      </c>
      <c r="G655" s="61">
        <f t="shared" si="356"/>
        <v>0</v>
      </c>
      <c r="H655" s="61">
        <f>97600+500</f>
        <v>98100</v>
      </c>
      <c r="I655" s="61">
        <f t="shared" si="363"/>
        <v>98100</v>
      </c>
      <c r="J655" s="9">
        <f t="shared" ref="J655:J656" si="364">I655-H655</f>
        <v>0</v>
      </c>
      <c r="K655" s="45" t="s">
        <v>93</v>
      </c>
      <c r="L655" s="47">
        <v>521000</v>
      </c>
      <c r="M655" s="47">
        <v>35000</v>
      </c>
      <c r="N655" s="47">
        <f>395300-500</f>
        <v>394800</v>
      </c>
      <c r="O655" s="47">
        <v>0</v>
      </c>
    </row>
    <row r="656" spans="1:16" ht="16.5">
      <c r="A656" s="58" t="str">
        <f t="shared" si="357"/>
        <v>P29</v>
      </c>
      <c r="B656" s="59" t="s">
        <v>4</v>
      </c>
      <c r="C656" s="61">
        <v>24050</v>
      </c>
      <c r="D656" s="61">
        <f t="shared" si="358"/>
        <v>885000</v>
      </c>
      <c r="E656" s="61">
        <f t="shared" si="359"/>
        <v>798100</v>
      </c>
      <c r="F656" s="61">
        <f t="shared" si="360"/>
        <v>50000</v>
      </c>
      <c r="G656" s="61">
        <f t="shared" si="356"/>
        <v>0</v>
      </c>
      <c r="H656" s="61">
        <v>60950</v>
      </c>
      <c r="I656" s="61">
        <f>+C656+D656-E656-F656+G656</f>
        <v>60950</v>
      </c>
      <c r="J656" s="9">
        <f t="shared" si="364"/>
        <v>0</v>
      </c>
      <c r="K656" s="45" t="s">
        <v>29</v>
      </c>
      <c r="L656" s="47">
        <v>885000</v>
      </c>
      <c r="M656" s="47">
        <v>50000</v>
      </c>
      <c r="N656" s="47">
        <v>798100</v>
      </c>
      <c r="O656" s="47">
        <v>0</v>
      </c>
    </row>
    <row r="657" spans="1:15" ht="16.5">
      <c r="A657" s="58" t="str">
        <f t="shared" si="357"/>
        <v>Tiffany</v>
      </c>
      <c r="B657" s="59" t="s">
        <v>2</v>
      </c>
      <c r="C657" s="61">
        <v>-653702</v>
      </c>
      <c r="D657" s="61">
        <f t="shared" si="358"/>
        <v>731000</v>
      </c>
      <c r="E657" s="61">
        <f t="shared" si="359"/>
        <v>51000</v>
      </c>
      <c r="F657" s="61">
        <f t="shared" si="360"/>
        <v>0</v>
      </c>
      <c r="G657" s="61">
        <f t="shared" si="356"/>
        <v>0</v>
      </c>
      <c r="H657" s="61">
        <v>26298</v>
      </c>
      <c r="I657" s="61">
        <f>+C657+D657-E657-F657+G657</f>
        <v>26298</v>
      </c>
      <c r="J657" s="9">
        <f>I657-H657</f>
        <v>0</v>
      </c>
      <c r="K657" s="45" t="s">
        <v>113</v>
      </c>
      <c r="L657" s="47">
        <v>731000</v>
      </c>
      <c r="M657" s="47">
        <v>0</v>
      </c>
      <c r="N657" s="47">
        <v>51000</v>
      </c>
      <c r="O657" s="47">
        <v>0</v>
      </c>
    </row>
    <row r="658" spans="1:15" ht="16.5">
      <c r="A658" s="58" t="str">
        <f t="shared" si="357"/>
        <v>Yan</v>
      </c>
      <c r="B658" s="59" t="s">
        <v>154</v>
      </c>
      <c r="C658" s="61">
        <v>0</v>
      </c>
      <c r="D658" s="61">
        <f t="shared" si="358"/>
        <v>599500</v>
      </c>
      <c r="E658" s="61">
        <f t="shared" si="359"/>
        <v>566200</v>
      </c>
      <c r="F658" s="61">
        <f t="shared" si="360"/>
        <v>35000</v>
      </c>
      <c r="G658" s="61">
        <f t="shared" si="356"/>
        <v>0</v>
      </c>
      <c r="H658" s="61">
        <v>-1700</v>
      </c>
      <c r="I658" s="61">
        <f t="shared" ref="I658" si="365">+C658+D658-E658-F658+G658</f>
        <v>-1700</v>
      </c>
      <c r="J658" s="9">
        <f t="shared" ref="J658" si="366">I658-H658</f>
        <v>0</v>
      </c>
      <c r="K658" s="45" t="s">
        <v>212</v>
      </c>
      <c r="L658" s="47">
        <v>599500</v>
      </c>
      <c r="M658" s="47">
        <v>35000</v>
      </c>
      <c r="N658" s="47">
        <v>566200</v>
      </c>
      <c r="O658" s="47">
        <v>0</v>
      </c>
    </row>
    <row r="659" spans="1:15" ht="16.5">
      <c r="A659" s="10" t="s">
        <v>50</v>
      </c>
      <c r="B659" s="11"/>
      <c r="C659" s="12">
        <f t="shared" ref="C659:I659" si="367">SUM(C646:C658)</f>
        <v>39274294</v>
      </c>
      <c r="D659" s="57">
        <f t="shared" si="367"/>
        <v>17897615</v>
      </c>
      <c r="E659" s="57">
        <f t="shared" si="367"/>
        <v>13843498</v>
      </c>
      <c r="F659" s="57">
        <f t="shared" si="367"/>
        <v>17897615</v>
      </c>
      <c r="G659" s="57">
        <f t="shared" si="367"/>
        <v>0</v>
      </c>
      <c r="H659" s="57">
        <f>SUM(H646:H658)</f>
        <v>25430796</v>
      </c>
      <c r="I659" s="57">
        <f t="shared" si="367"/>
        <v>25430796</v>
      </c>
      <c r="J659" s="9">
        <f>I659-H659</f>
        <v>0</v>
      </c>
      <c r="K659" s="3"/>
      <c r="L659" s="47">
        <f>+SUM(L646:L658)</f>
        <v>17897615</v>
      </c>
      <c r="M659" s="47">
        <f>+SUM(M646:M658)</f>
        <v>17897615</v>
      </c>
      <c r="N659" s="47">
        <f>+SUM(N646:N658)</f>
        <v>13843498</v>
      </c>
      <c r="O659" s="47">
        <f>+SUM(O646:O658)</f>
        <v>0</v>
      </c>
    </row>
    <row r="660" spans="1:15" ht="16.5">
      <c r="A660" s="10"/>
      <c r="B660" s="11"/>
      <c r="C660" s="12"/>
      <c r="D660" s="13"/>
      <c r="E660" s="12"/>
      <c r="F660" s="13"/>
      <c r="G660" s="12"/>
      <c r="H660" s="12"/>
      <c r="I660" s="133" t="b">
        <f>I659=D662</f>
        <v>1</v>
      </c>
      <c r="J660" s="9">
        <f>H659-I659</f>
        <v>0</v>
      </c>
      <c r="L660" s="5"/>
      <c r="M660" s="5"/>
      <c r="N660" s="5"/>
      <c r="O660" s="5"/>
    </row>
    <row r="661" spans="1:15" ht="16.5">
      <c r="A661" s="10" t="s">
        <v>243</v>
      </c>
      <c r="B661" s="11" t="s">
        <v>242</v>
      </c>
      <c r="C661" s="12" t="s">
        <v>241</v>
      </c>
      <c r="D661" s="12" t="s">
        <v>240</v>
      </c>
      <c r="E661" s="12" t="s">
        <v>51</v>
      </c>
      <c r="F661" s="12"/>
      <c r="G661" s="12">
        <f>+D659-F659</f>
        <v>0</v>
      </c>
      <c r="H661" s="12"/>
      <c r="I661" s="12"/>
    </row>
    <row r="662" spans="1:15" ht="16.5">
      <c r="A662" s="14">
        <f>C659</f>
        <v>39274294</v>
      </c>
      <c r="B662" s="15">
        <f>G659</f>
        <v>0</v>
      </c>
      <c r="C662" s="12">
        <f>E659</f>
        <v>13843498</v>
      </c>
      <c r="D662" s="12">
        <f>A662+B662-C662</f>
        <v>25430796</v>
      </c>
      <c r="E662" s="13">
        <f>I659-D662</f>
        <v>0</v>
      </c>
      <c r="F662" s="12"/>
      <c r="G662" s="12"/>
      <c r="H662" s="12"/>
      <c r="I662" s="12"/>
    </row>
    <row r="663" spans="1:15" ht="16.5">
      <c r="A663" s="14"/>
      <c r="B663" s="15"/>
      <c r="C663" s="12"/>
      <c r="D663" s="12"/>
      <c r="E663" s="13"/>
      <c r="F663" s="12"/>
      <c r="G663" s="12"/>
      <c r="H663" s="12"/>
      <c r="I663" s="12"/>
    </row>
    <row r="664" spans="1:15">
      <c r="A664" s="16" t="s">
        <v>52</v>
      </c>
      <c r="B664" s="16"/>
      <c r="C664" s="16"/>
      <c r="D664" s="17"/>
      <c r="E664" s="17"/>
      <c r="F664" s="17"/>
      <c r="G664" s="17"/>
      <c r="H664" s="17"/>
      <c r="I664" s="17"/>
    </row>
    <row r="665" spans="1:15">
      <c r="A665" s="18" t="s">
        <v>244</v>
      </c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5">
      <c r="A666" s="19"/>
      <c r="B666" s="17"/>
      <c r="C666" s="20"/>
      <c r="D666" s="20"/>
      <c r="E666" s="20"/>
      <c r="F666" s="20"/>
      <c r="G666" s="20"/>
      <c r="H666" s="17"/>
      <c r="I666" s="17"/>
    </row>
    <row r="667" spans="1:15" ht="25.5">
      <c r="A667" s="166" t="s">
        <v>53</v>
      </c>
      <c r="B667" s="168" t="s">
        <v>54</v>
      </c>
      <c r="C667" s="170" t="s">
        <v>245</v>
      </c>
      <c r="D667" s="171" t="s">
        <v>55</v>
      </c>
      <c r="E667" s="172"/>
      <c r="F667" s="172"/>
      <c r="G667" s="173"/>
      <c r="H667" s="174" t="s">
        <v>56</v>
      </c>
      <c r="I667" s="162" t="s">
        <v>57</v>
      </c>
      <c r="J667" s="17"/>
    </row>
    <row r="668" spans="1:15" ht="25.5">
      <c r="A668" s="167"/>
      <c r="B668" s="169"/>
      <c r="C668" s="22"/>
      <c r="D668" s="21" t="s">
        <v>24</v>
      </c>
      <c r="E668" s="21" t="s">
        <v>25</v>
      </c>
      <c r="F668" s="22" t="s">
        <v>123</v>
      </c>
      <c r="G668" s="21" t="s">
        <v>58</v>
      </c>
      <c r="H668" s="175"/>
      <c r="I668" s="163"/>
      <c r="J668" s="164" t="s">
        <v>246</v>
      </c>
      <c r="K668" s="142"/>
    </row>
    <row r="669" spans="1:15">
      <c r="A669" s="23"/>
      <c r="B669" s="24" t="s">
        <v>59</v>
      </c>
      <c r="C669" s="25"/>
      <c r="D669" s="25"/>
      <c r="E669" s="25"/>
      <c r="F669" s="25"/>
      <c r="G669" s="25"/>
      <c r="H669" s="25"/>
      <c r="I669" s="26"/>
      <c r="J669" s="165"/>
      <c r="K669" s="142"/>
    </row>
    <row r="670" spans="1:15">
      <c r="A670" s="121" t="s">
        <v>79</v>
      </c>
      <c r="B670" s="126" t="s">
        <v>47</v>
      </c>
      <c r="C670" s="32">
        <f t="shared" ref="C670:C679" si="368">+C649</f>
        <v>65910</v>
      </c>
      <c r="D670" s="31"/>
      <c r="E670" s="32">
        <f t="shared" ref="E670:E679" si="369">+D649</f>
        <v>2886000</v>
      </c>
      <c r="F670" s="32"/>
      <c r="G670" s="32"/>
      <c r="H670" s="55">
        <f t="shared" ref="H670:H679" si="370">+F649</f>
        <v>500000</v>
      </c>
      <c r="I670" s="32">
        <f t="shared" ref="I670:I679" si="371">+E649</f>
        <v>1968580</v>
      </c>
      <c r="J670" s="30">
        <f t="shared" ref="J670:J671" si="372">+SUM(C670:G670)-(H670+I670)</f>
        <v>483330</v>
      </c>
      <c r="K670" s="143" t="b">
        <f t="shared" ref="K670:K679" si="373">J670=I649</f>
        <v>1</v>
      </c>
    </row>
    <row r="671" spans="1:15">
      <c r="A671" s="121" t="str">
        <f>+A670</f>
        <v>SEPTEMBRE</v>
      </c>
      <c r="B671" s="126" t="s">
        <v>31</v>
      </c>
      <c r="C671" s="32">
        <f t="shared" si="368"/>
        <v>4795</v>
      </c>
      <c r="D671" s="31"/>
      <c r="E671" s="32">
        <f t="shared" si="369"/>
        <v>782000</v>
      </c>
      <c r="F671" s="32"/>
      <c r="G671" s="32"/>
      <c r="H671" s="55">
        <f t="shared" si="370"/>
        <v>0</v>
      </c>
      <c r="I671" s="32">
        <f t="shared" si="371"/>
        <v>710570</v>
      </c>
      <c r="J671" s="100">
        <f t="shared" si="372"/>
        <v>76225</v>
      </c>
      <c r="K671" s="143" t="b">
        <f t="shared" si="373"/>
        <v>1</v>
      </c>
    </row>
    <row r="672" spans="1:15">
      <c r="A672" s="121" t="str">
        <f t="shared" ref="A672:A676" si="374">+A671</f>
        <v>SEPTEMBRE</v>
      </c>
      <c r="B672" s="128" t="s">
        <v>84</v>
      </c>
      <c r="C672" s="119">
        <f t="shared" si="368"/>
        <v>233614</v>
      </c>
      <c r="D672" s="122"/>
      <c r="E672" s="119">
        <f t="shared" si="369"/>
        <v>0</v>
      </c>
      <c r="F672" s="136"/>
      <c r="G672" s="136"/>
      <c r="H672" s="154">
        <f t="shared" si="370"/>
        <v>0</v>
      </c>
      <c r="I672" s="119">
        <f t="shared" si="371"/>
        <v>0</v>
      </c>
      <c r="J672" s="120">
        <f>+SUM(C672:G672)-(H672+I672)</f>
        <v>233614</v>
      </c>
      <c r="K672" s="143" t="b">
        <f t="shared" si="373"/>
        <v>1</v>
      </c>
    </row>
    <row r="673" spans="1:16">
      <c r="A673" s="121" t="str">
        <f t="shared" si="374"/>
        <v>SEPTEMBRE</v>
      </c>
      <c r="B673" s="128" t="s">
        <v>83</v>
      </c>
      <c r="C673" s="119">
        <f t="shared" si="368"/>
        <v>249769</v>
      </c>
      <c r="D673" s="122"/>
      <c r="E673" s="119">
        <f t="shared" si="369"/>
        <v>0</v>
      </c>
      <c r="F673" s="136"/>
      <c r="G673" s="136"/>
      <c r="H673" s="154">
        <f t="shared" si="370"/>
        <v>0</v>
      </c>
      <c r="I673" s="119">
        <f t="shared" si="371"/>
        <v>0</v>
      </c>
      <c r="J673" s="120">
        <f t="shared" ref="J673:J679" si="375">+SUM(C673:G673)-(H673+I673)</f>
        <v>249769</v>
      </c>
      <c r="K673" s="143" t="b">
        <f t="shared" si="373"/>
        <v>1</v>
      </c>
    </row>
    <row r="674" spans="1:16">
      <c r="A674" s="121" t="str">
        <f t="shared" si="374"/>
        <v>SEPTEMBRE</v>
      </c>
      <c r="B674" s="126" t="s">
        <v>143</v>
      </c>
      <c r="C674" s="32">
        <f t="shared" si="368"/>
        <v>116815</v>
      </c>
      <c r="D674" s="31"/>
      <c r="E674" s="32">
        <f t="shared" si="369"/>
        <v>1388000</v>
      </c>
      <c r="F674" s="32"/>
      <c r="G674" s="103"/>
      <c r="H674" s="55">
        <f t="shared" si="370"/>
        <v>1276115</v>
      </c>
      <c r="I674" s="32">
        <f t="shared" si="371"/>
        <v>228700</v>
      </c>
      <c r="J674" s="30">
        <f t="shared" si="375"/>
        <v>0</v>
      </c>
      <c r="K674" s="143" t="b">
        <f t="shared" si="373"/>
        <v>1</v>
      </c>
    </row>
    <row r="675" spans="1:16">
      <c r="A675" s="121" t="str">
        <f t="shared" si="374"/>
        <v>SEPTEMBRE</v>
      </c>
      <c r="B675" s="126" t="s">
        <v>197</v>
      </c>
      <c r="C675" s="32">
        <f t="shared" si="368"/>
        <v>700</v>
      </c>
      <c r="D675" s="31"/>
      <c r="E675" s="32">
        <f t="shared" si="369"/>
        <v>629000</v>
      </c>
      <c r="F675" s="32"/>
      <c r="G675" s="103"/>
      <c r="H675" s="55">
        <f t="shared" si="370"/>
        <v>75000</v>
      </c>
      <c r="I675" s="32">
        <f t="shared" si="371"/>
        <v>513500</v>
      </c>
      <c r="J675" s="30">
        <f t="shared" si="375"/>
        <v>41200</v>
      </c>
      <c r="K675" s="143" t="b">
        <f t="shared" si="373"/>
        <v>1</v>
      </c>
    </row>
    <row r="676" spans="1:16">
      <c r="A676" s="121" t="str">
        <f t="shared" si="374"/>
        <v>SEPTEMBRE</v>
      </c>
      <c r="B676" s="126" t="s">
        <v>93</v>
      </c>
      <c r="C676" s="32">
        <f t="shared" si="368"/>
        <v>6900</v>
      </c>
      <c r="D676" s="31"/>
      <c r="E676" s="32">
        <f t="shared" si="369"/>
        <v>521000</v>
      </c>
      <c r="F676" s="32"/>
      <c r="G676" s="103"/>
      <c r="H676" s="55">
        <f t="shared" si="370"/>
        <v>35000</v>
      </c>
      <c r="I676" s="32">
        <f t="shared" si="371"/>
        <v>394800</v>
      </c>
      <c r="J676" s="30">
        <f t="shared" si="375"/>
        <v>98100</v>
      </c>
      <c r="K676" s="143" t="b">
        <f t="shared" si="373"/>
        <v>1</v>
      </c>
    </row>
    <row r="677" spans="1:16">
      <c r="A677" s="121" t="str">
        <f>+A675</f>
        <v>SEPTEMBRE</v>
      </c>
      <c r="B677" s="126" t="s">
        <v>29</v>
      </c>
      <c r="C677" s="32">
        <f t="shared" si="368"/>
        <v>24050</v>
      </c>
      <c r="D677" s="31"/>
      <c r="E677" s="32">
        <f t="shared" si="369"/>
        <v>885000</v>
      </c>
      <c r="F677" s="32"/>
      <c r="G677" s="103"/>
      <c r="H677" s="55">
        <f t="shared" si="370"/>
        <v>50000</v>
      </c>
      <c r="I677" s="32">
        <f t="shared" si="371"/>
        <v>798100</v>
      </c>
      <c r="J677" s="30">
        <f t="shared" si="375"/>
        <v>60950</v>
      </c>
      <c r="K677" s="143" t="b">
        <f t="shared" si="373"/>
        <v>1</v>
      </c>
    </row>
    <row r="678" spans="1:16">
      <c r="A678" s="121" t="str">
        <f>+A676</f>
        <v>SEPTEMBRE</v>
      </c>
      <c r="B678" s="126" t="s">
        <v>113</v>
      </c>
      <c r="C678" s="32">
        <f t="shared" si="368"/>
        <v>-653702</v>
      </c>
      <c r="D678" s="31"/>
      <c r="E678" s="32">
        <f t="shared" si="369"/>
        <v>731000</v>
      </c>
      <c r="F678" s="32"/>
      <c r="G678" s="103"/>
      <c r="H678" s="55">
        <f t="shared" si="370"/>
        <v>0</v>
      </c>
      <c r="I678" s="32">
        <f t="shared" si="371"/>
        <v>51000</v>
      </c>
      <c r="J678" s="30">
        <f t="shared" si="375"/>
        <v>26298</v>
      </c>
      <c r="K678" s="143" t="b">
        <f t="shared" si="373"/>
        <v>1</v>
      </c>
    </row>
    <row r="679" spans="1:16">
      <c r="A679" s="121" t="str">
        <f>+A677</f>
        <v>SEPTEMBRE</v>
      </c>
      <c r="B679" s="127" t="s">
        <v>212</v>
      </c>
      <c r="C679" s="32">
        <f t="shared" si="368"/>
        <v>0</v>
      </c>
      <c r="D679" s="118"/>
      <c r="E679" s="32">
        <f t="shared" si="369"/>
        <v>599500</v>
      </c>
      <c r="F679" s="51"/>
      <c r="G679" s="137"/>
      <c r="H679" s="55">
        <f t="shared" si="370"/>
        <v>35000</v>
      </c>
      <c r="I679" s="32">
        <f t="shared" si="371"/>
        <v>566200</v>
      </c>
      <c r="J679" s="30">
        <f t="shared" si="375"/>
        <v>-1700</v>
      </c>
      <c r="K679" s="143" t="b">
        <f t="shared" si="373"/>
        <v>1</v>
      </c>
    </row>
    <row r="680" spans="1:16">
      <c r="A680" s="34" t="s">
        <v>60</v>
      </c>
      <c r="B680" s="35"/>
      <c r="C680" s="35"/>
      <c r="D680" s="35"/>
      <c r="E680" s="35"/>
      <c r="F680" s="35"/>
      <c r="G680" s="35"/>
      <c r="H680" s="35"/>
      <c r="I680" s="35"/>
      <c r="J680" s="36"/>
      <c r="K680" s="142"/>
    </row>
    <row r="681" spans="1:16">
      <c r="A681" s="121" t="str">
        <f>A679</f>
        <v>SEPTEMBRE</v>
      </c>
      <c r="B681" s="37" t="s">
        <v>61</v>
      </c>
      <c r="C681" s="38">
        <f>+C648</f>
        <v>980042</v>
      </c>
      <c r="D681" s="49"/>
      <c r="E681" s="49">
        <f>D648</f>
        <v>9476115</v>
      </c>
      <c r="F681" s="49"/>
      <c r="G681" s="124"/>
      <c r="H681" s="51">
        <f>+F648</f>
        <v>6926500</v>
      </c>
      <c r="I681" s="125">
        <f>+E648</f>
        <v>2448183</v>
      </c>
      <c r="J681" s="30">
        <f>+SUM(C681:G681)-(H681+I681)</f>
        <v>1081474</v>
      </c>
      <c r="K681" s="143" t="b">
        <f>J681=I648</f>
        <v>1</v>
      </c>
    </row>
    <row r="682" spans="1:16">
      <c r="A682" s="43" t="s">
        <v>62</v>
      </c>
      <c r="B682" s="24"/>
      <c r="C682" s="35"/>
      <c r="D682" s="24"/>
      <c r="E682" s="24"/>
      <c r="F682" s="24"/>
      <c r="G682" s="24"/>
      <c r="H682" s="24"/>
      <c r="I682" s="24"/>
      <c r="J682" s="36"/>
      <c r="K682" s="142"/>
    </row>
    <row r="683" spans="1:16">
      <c r="A683" s="121" t="str">
        <f>+A681</f>
        <v>SEPTEMBRE</v>
      </c>
      <c r="B683" s="37" t="s">
        <v>156</v>
      </c>
      <c r="C683" s="124">
        <f>+C646</f>
        <v>23820820</v>
      </c>
      <c r="D683" s="131">
        <f>+G646</f>
        <v>0</v>
      </c>
      <c r="E683" s="49"/>
      <c r="F683" s="49"/>
      <c r="G683" s="49"/>
      <c r="H683" s="51">
        <f>+F646</f>
        <v>9000000</v>
      </c>
      <c r="I683" s="53">
        <f>+E646</f>
        <v>583345</v>
      </c>
      <c r="J683" s="30">
        <f>+SUM(C683:G683)-(H683+I683)</f>
        <v>14237475</v>
      </c>
      <c r="K683" s="143" t="b">
        <f>+J683=I646</f>
        <v>1</v>
      </c>
    </row>
    <row r="684" spans="1:16">
      <c r="A684" s="121" t="str">
        <f t="shared" ref="A684" si="376">+A683</f>
        <v>SEPTEMBRE</v>
      </c>
      <c r="B684" s="37" t="s">
        <v>64</v>
      </c>
      <c r="C684" s="124">
        <f>+C647</f>
        <v>14424581</v>
      </c>
      <c r="D684" s="49">
        <f>+G647</f>
        <v>0</v>
      </c>
      <c r="E684" s="48"/>
      <c r="F684" s="48"/>
      <c r="G684" s="48"/>
      <c r="H684" s="32">
        <f>+F647</f>
        <v>0</v>
      </c>
      <c r="I684" s="50">
        <f>+E647</f>
        <v>5580520</v>
      </c>
      <c r="J684" s="30">
        <f>SUM(C684:G684)-(H684+I684)</f>
        <v>8844061</v>
      </c>
      <c r="K684" s="143" t="b">
        <f>+J684=I647</f>
        <v>1</v>
      </c>
    </row>
    <row r="685" spans="1:16" ht="15.75">
      <c r="C685" s="140">
        <f>SUM(C670:C684)</f>
        <v>39274294</v>
      </c>
      <c r="I685" s="139">
        <f>SUM(I670:I684)</f>
        <v>13843498</v>
      </c>
      <c r="J685" s="104">
        <f>+SUM(J670:J684)</f>
        <v>25430796</v>
      </c>
      <c r="K685" s="5" t="b">
        <f>J685=I659</f>
        <v>1</v>
      </c>
    </row>
    <row r="686" spans="1:16" ht="15.75">
      <c r="A686" s="157"/>
      <c r="B686" s="157"/>
      <c r="C686" s="158"/>
      <c r="D686" s="157"/>
      <c r="E686" s="157"/>
      <c r="F686" s="157"/>
      <c r="G686" s="157"/>
      <c r="H686" s="157"/>
      <c r="I686" s="159"/>
      <c r="J686" s="160"/>
      <c r="K686" s="157"/>
      <c r="L686" s="161"/>
      <c r="M686" s="161"/>
      <c r="N686" s="161"/>
      <c r="O686" s="161"/>
      <c r="P686" s="157"/>
    </row>
    <row r="687" spans="1:16" ht="15.75">
      <c r="C687" s="140"/>
      <c r="I687" s="139"/>
      <c r="J687" s="104"/>
    </row>
    <row r="688" spans="1:16" ht="15.75">
      <c r="C688" s="140"/>
      <c r="I688" s="139"/>
      <c r="J688" s="104"/>
    </row>
    <row r="689" spans="1:15" ht="15.75">
      <c r="A689" s="6" t="s">
        <v>36</v>
      </c>
      <c r="B689" s="6" t="s">
        <v>1</v>
      </c>
      <c r="C689" s="6">
        <v>44774</v>
      </c>
      <c r="D689" s="7" t="s">
        <v>37</v>
      </c>
      <c r="E689" s="7" t="s">
        <v>38</v>
      </c>
      <c r="F689" s="7" t="s">
        <v>39</v>
      </c>
      <c r="G689" s="7" t="s">
        <v>40</v>
      </c>
      <c r="H689" s="6">
        <v>44804</v>
      </c>
      <c r="I689" s="7" t="s">
        <v>41</v>
      </c>
      <c r="K689" s="45"/>
      <c r="L689" s="45" t="s">
        <v>42</v>
      </c>
      <c r="M689" s="45" t="s">
        <v>43</v>
      </c>
      <c r="N689" s="45" t="s">
        <v>44</v>
      </c>
      <c r="O689" s="45" t="s">
        <v>45</v>
      </c>
    </row>
    <row r="690" spans="1:15" ht="16.5">
      <c r="A690" s="58" t="str">
        <f>K690</f>
        <v>BCI</v>
      </c>
      <c r="B690" s="59" t="s">
        <v>46</v>
      </c>
      <c r="C690" s="61">
        <v>168348</v>
      </c>
      <c r="D690" s="61">
        <f>+L690</f>
        <v>0</v>
      </c>
      <c r="E690" s="61">
        <f>+N690</f>
        <v>286008</v>
      </c>
      <c r="F690" s="61">
        <f>+M690</f>
        <v>1000000</v>
      </c>
      <c r="G690" s="61">
        <f t="shared" ref="G690:G700" si="377">+O690</f>
        <v>24938480</v>
      </c>
      <c r="H690" s="61">
        <v>23820820</v>
      </c>
      <c r="I690" s="61">
        <f>+C690+D690-E690-F690+G690</f>
        <v>23820820</v>
      </c>
      <c r="J690" s="9">
        <f>I690-H690</f>
        <v>0</v>
      </c>
      <c r="K690" s="45" t="s">
        <v>24</v>
      </c>
      <c r="L690" s="47">
        <v>0</v>
      </c>
      <c r="M690" s="47">
        <v>1000000</v>
      </c>
      <c r="N690" s="47">
        <v>286008</v>
      </c>
      <c r="O690" s="47">
        <v>24938480</v>
      </c>
    </row>
    <row r="691" spans="1:15" ht="16.5">
      <c r="A691" s="58" t="str">
        <f t="shared" ref="A691:A702" si="378">K691</f>
        <v>BCI-Sous Compte</v>
      </c>
      <c r="B691" s="59" t="s">
        <v>46</v>
      </c>
      <c r="C691" s="61">
        <v>21477810</v>
      </c>
      <c r="D691" s="61">
        <f t="shared" ref="D691:D702" si="379">+L691</f>
        <v>0</v>
      </c>
      <c r="E691" s="61">
        <f t="shared" ref="E691:E702" si="380">+N691</f>
        <v>4453229</v>
      </c>
      <c r="F691" s="61">
        <f t="shared" ref="F691:F702" si="381">+M691</f>
        <v>2600000</v>
      </c>
      <c r="G691" s="61">
        <f t="shared" si="377"/>
        <v>0</v>
      </c>
      <c r="H691" s="61">
        <v>14424581</v>
      </c>
      <c r="I691" s="61">
        <f>+C691+D691-E691-F691+G691</f>
        <v>14424581</v>
      </c>
      <c r="J691" s="9">
        <f t="shared" ref="J691:J697" si="382">I691-H691</f>
        <v>0</v>
      </c>
      <c r="K691" s="45" t="s">
        <v>148</v>
      </c>
      <c r="L691" s="46">
        <v>0</v>
      </c>
      <c r="M691" s="47">
        <v>2600000</v>
      </c>
      <c r="N691" s="47">
        <v>4453229</v>
      </c>
      <c r="O691" s="47">
        <v>0</v>
      </c>
    </row>
    <row r="692" spans="1:15" ht="16.5">
      <c r="A692" s="58" t="str">
        <f t="shared" si="378"/>
        <v>Caisse</v>
      </c>
      <c r="B692" s="59" t="s">
        <v>25</v>
      </c>
      <c r="C692" s="61">
        <v>103032</v>
      </c>
      <c r="D692" s="61">
        <f t="shared" si="379"/>
        <v>3946550</v>
      </c>
      <c r="E692" s="61">
        <f t="shared" si="380"/>
        <v>994290</v>
      </c>
      <c r="F692" s="61">
        <f t="shared" si="381"/>
        <v>2075250</v>
      </c>
      <c r="G692" s="61">
        <f t="shared" si="377"/>
        <v>0</v>
      </c>
      <c r="H692" s="61">
        <v>980042</v>
      </c>
      <c r="I692" s="61">
        <f>+C692+D692-E692-F692+G692</f>
        <v>980042</v>
      </c>
      <c r="J692" s="101">
        <f t="shared" si="382"/>
        <v>0</v>
      </c>
      <c r="K692" s="45" t="s">
        <v>25</v>
      </c>
      <c r="L692" s="47">
        <v>3946550</v>
      </c>
      <c r="M692" s="47">
        <v>2075250</v>
      </c>
      <c r="N692" s="47">
        <v>994290</v>
      </c>
      <c r="O692" s="47">
        <v>0</v>
      </c>
    </row>
    <row r="693" spans="1:15" ht="16.5">
      <c r="A693" s="58" t="str">
        <f t="shared" si="378"/>
        <v>Crépin</v>
      </c>
      <c r="B693" s="59" t="s">
        <v>154</v>
      </c>
      <c r="C693" s="61">
        <v>-5640</v>
      </c>
      <c r="D693" s="61">
        <f t="shared" si="379"/>
        <v>600250</v>
      </c>
      <c r="E693" s="61">
        <f t="shared" si="380"/>
        <v>421700</v>
      </c>
      <c r="F693" s="61">
        <f t="shared" si="381"/>
        <v>107000</v>
      </c>
      <c r="G693" s="61">
        <f t="shared" si="377"/>
        <v>0</v>
      </c>
      <c r="H693" s="61">
        <v>65910</v>
      </c>
      <c r="I693" s="61">
        <f>+C693+D693-E693-F693+G693</f>
        <v>65910</v>
      </c>
      <c r="J693" s="9">
        <f t="shared" si="382"/>
        <v>0</v>
      </c>
      <c r="K693" s="45" t="s">
        <v>47</v>
      </c>
      <c r="L693" s="47">
        <v>600250</v>
      </c>
      <c r="M693" s="47">
        <v>107000</v>
      </c>
      <c r="N693" s="47">
        <v>421700</v>
      </c>
      <c r="O693" s="47">
        <v>0</v>
      </c>
    </row>
    <row r="694" spans="1:15" ht="16.5">
      <c r="A694" s="58" t="str">
        <f t="shared" si="378"/>
        <v>Evariste</v>
      </c>
      <c r="B694" s="59" t="s">
        <v>155</v>
      </c>
      <c r="C694" s="61">
        <v>4795</v>
      </c>
      <c r="D694" s="61">
        <f t="shared" si="379"/>
        <v>0</v>
      </c>
      <c r="E694" s="61">
        <f t="shared" si="380"/>
        <v>0</v>
      </c>
      <c r="F694" s="61">
        <f t="shared" si="381"/>
        <v>0</v>
      </c>
      <c r="G694" s="61">
        <f t="shared" si="377"/>
        <v>0</v>
      </c>
      <c r="H694" s="61">
        <v>4795</v>
      </c>
      <c r="I694" s="61">
        <f t="shared" ref="I694" si="383">+C694+D694-E694-F694+G694</f>
        <v>4795</v>
      </c>
      <c r="J694" s="9">
        <f t="shared" si="382"/>
        <v>0</v>
      </c>
      <c r="K694" s="45" t="s">
        <v>31</v>
      </c>
      <c r="L694" s="47">
        <v>0</v>
      </c>
      <c r="M694" s="47">
        <v>0</v>
      </c>
      <c r="N694" s="47">
        <v>0</v>
      </c>
      <c r="O694" s="47">
        <v>0</v>
      </c>
    </row>
    <row r="695" spans="1:15" ht="16.5">
      <c r="A695" s="58" t="str">
        <f t="shared" si="378"/>
        <v>I55S</v>
      </c>
      <c r="B695" s="115" t="s">
        <v>4</v>
      </c>
      <c r="C695" s="117">
        <v>233614</v>
      </c>
      <c r="D695" s="117">
        <f t="shared" si="379"/>
        <v>0</v>
      </c>
      <c r="E695" s="117">
        <f t="shared" si="380"/>
        <v>0</v>
      </c>
      <c r="F695" s="117">
        <f t="shared" si="381"/>
        <v>0</v>
      </c>
      <c r="G695" s="117">
        <f t="shared" si="377"/>
        <v>0</v>
      </c>
      <c r="H695" s="117">
        <v>233614</v>
      </c>
      <c r="I695" s="117">
        <f>+C695+D695-E695-F695+G695</f>
        <v>233614</v>
      </c>
      <c r="J695" s="9">
        <f t="shared" si="382"/>
        <v>0</v>
      </c>
      <c r="K695" s="45" t="s">
        <v>84</v>
      </c>
      <c r="L695" s="47">
        <v>0</v>
      </c>
      <c r="M695" s="47">
        <v>0</v>
      </c>
      <c r="N695" s="47">
        <v>0</v>
      </c>
      <c r="O695" s="47">
        <v>0</v>
      </c>
    </row>
    <row r="696" spans="1:15" ht="16.5">
      <c r="A696" s="58" t="str">
        <f t="shared" si="378"/>
        <v>I73X</v>
      </c>
      <c r="B696" s="115" t="s">
        <v>4</v>
      </c>
      <c r="C696" s="117">
        <v>249769</v>
      </c>
      <c r="D696" s="117">
        <f t="shared" si="379"/>
        <v>0</v>
      </c>
      <c r="E696" s="117">
        <f t="shared" si="380"/>
        <v>0</v>
      </c>
      <c r="F696" s="117">
        <f t="shared" si="381"/>
        <v>0</v>
      </c>
      <c r="G696" s="117">
        <f t="shared" si="377"/>
        <v>0</v>
      </c>
      <c r="H696" s="117">
        <v>249769</v>
      </c>
      <c r="I696" s="117">
        <f t="shared" ref="I696:I699" si="384">+C696+D696-E696-F696+G696</f>
        <v>249769</v>
      </c>
      <c r="J696" s="9">
        <f t="shared" si="382"/>
        <v>0</v>
      </c>
      <c r="K696" s="45" t="s">
        <v>83</v>
      </c>
      <c r="L696" s="47">
        <v>0</v>
      </c>
      <c r="M696" s="47">
        <v>0</v>
      </c>
      <c r="N696" s="47">
        <v>0</v>
      </c>
      <c r="O696" s="47">
        <v>0</v>
      </c>
    </row>
    <row r="697" spans="1:15" ht="16.5">
      <c r="A697" s="58" t="str">
        <f t="shared" si="378"/>
        <v>Grace</v>
      </c>
      <c r="B697" s="97" t="s">
        <v>2</v>
      </c>
      <c r="C697" s="61">
        <v>18815</v>
      </c>
      <c r="D697" s="61">
        <f t="shared" si="379"/>
        <v>105000</v>
      </c>
      <c r="E697" s="61">
        <f t="shared" si="380"/>
        <v>7000</v>
      </c>
      <c r="F697" s="61">
        <f t="shared" si="381"/>
        <v>0</v>
      </c>
      <c r="G697" s="61">
        <f t="shared" si="377"/>
        <v>0</v>
      </c>
      <c r="H697" s="61">
        <v>116815</v>
      </c>
      <c r="I697" s="61">
        <f t="shared" si="384"/>
        <v>116815</v>
      </c>
      <c r="J697" s="9">
        <f t="shared" si="382"/>
        <v>0</v>
      </c>
      <c r="K697" s="45" t="s">
        <v>143</v>
      </c>
      <c r="L697" s="47">
        <v>105000</v>
      </c>
      <c r="M697" s="47">
        <v>0</v>
      </c>
      <c r="N697" s="47">
        <v>7000</v>
      </c>
      <c r="O697" s="47">
        <v>0</v>
      </c>
    </row>
    <row r="698" spans="1:15" ht="15.75">
      <c r="A698" s="179" t="str">
        <f t="shared" si="378"/>
        <v>Hurielle</v>
      </c>
      <c r="B698" s="180" t="s">
        <v>154</v>
      </c>
      <c r="C698" s="181">
        <v>36500</v>
      </c>
      <c r="D698" s="181">
        <f t="shared" si="379"/>
        <v>266000</v>
      </c>
      <c r="E698" s="181">
        <f t="shared" si="380"/>
        <v>213800</v>
      </c>
      <c r="F698" s="181">
        <f t="shared" si="381"/>
        <v>88000</v>
      </c>
      <c r="G698" s="181">
        <f t="shared" si="377"/>
        <v>0</v>
      </c>
      <c r="H698" s="181">
        <v>700</v>
      </c>
      <c r="I698" s="181">
        <f t="shared" si="384"/>
        <v>700</v>
      </c>
      <c r="J698" s="182">
        <f>I698-H698</f>
        <v>0</v>
      </c>
      <c r="K698" s="183" t="s">
        <v>197</v>
      </c>
      <c r="L698" s="184">
        <v>266000</v>
      </c>
      <c r="M698" s="184">
        <v>88000</v>
      </c>
      <c r="N698" s="184">
        <v>213800</v>
      </c>
      <c r="O698" s="184">
        <v>0</v>
      </c>
    </row>
    <row r="699" spans="1:15" ht="16.5">
      <c r="A699" s="58" t="str">
        <f t="shared" si="378"/>
        <v>I23C</v>
      </c>
      <c r="B699" s="97" t="s">
        <v>4</v>
      </c>
      <c r="C699" s="61">
        <v>79550</v>
      </c>
      <c r="D699" s="61">
        <f t="shared" si="379"/>
        <v>506000</v>
      </c>
      <c r="E699" s="61">
        <f t="shared" si="380"/>
        <v>484000</v>
      </c>
      <c r="F699" s="61">
        <f t="shared" si="381"/>
        <v>101550</v>
      </c>
      <c r="G699" s="61">
        <f t="shared" si="377"/>
        <v>0</v>
      </c>
      <c r="H699" s="61">
        <v>0</v>
      </c>
      <c r="I699" s="61">
        <f t="shared" si="384"/>
        <v>0</v>
      </c>
      <c r="J699" s="9">
        <f t="shared" ref="J699:J700" si="385">I699-H699</f>
        <v>0</v>
      </c>
      <c r="K699" s="45" t="s">
        <v>30</v>
      </c>
      <c r="L699" s="47">
        <v>506000</v>
      </c>
      <c r="M699" s="47">
        <v>101550</v>
      </c>
      <c r="N699" s="47">
        <v>484000</v>
      </c>
      <c r="O699" s="47">
        <v>0</v>
      </c>
    </row>
    <row r="700" spans="1:15" ht="16.5">
      <c r="A700" s="58" t="str">
        <f t="shared" si="378"/>
        <v>Merveille</v>
      </c>
      <c r="B700" s="59" t="s">
        <v>2</v>
      </c>
      <c r="C700" s="61">
        <v>5900</v>
      </c>
      <c r="D700" s="61">
        <f t="shared" si="379"/>
        <v>20000</v>
      </c>
      <c r="E700" s="61">
        <f t="shared" si="380"/>
        <v>19000</v>
      </c>
      <c r="F700" s="61">
        <f t="shared" si="381"/>
        <v>0</v>
      </c>
      <c r="G700" s="61">
        <f t="shared" si="377"/>
        <v>0</v>
      </c>
      <c r="H700" s="61">
        <v>6900</v>
      </c>
      <c r="I700" s="61">
        <f>+C700+D700-E700-F700+G700</f>
        <v>6900</v>
      </c>
      <c r="J700" s="9">
        <f t="shared" si="385"/>
        <v>0</v>
      </c>
      <c r="K700" s="45" t="s">
        <v>93</v>
      </c>
      <c r="L700" s="47">
        <v>20000</v>
      </c>
      <c r="M700" s="47">
        <v>0</v>
      </c>
      <c r="N700" s="47">
        <v>19000</v>
      </c>
      <c r="O700" s="47">
        <v>0</v>
      </c>
    </row>
    <row r="701" spans="1:15" ht="16.5">
      <c r="A701" s="58" t="str">
        <f t="shared" si="378"/>
        <v>P29</v>
      </c>
      <c r="B701" s="59" t="s">
        <v>4</v>
      </c>
      <c r="C701" s="61">
        <v>29850</v>
      </c>
      <c r="D701" s="61">
        <f t="shared" si="379"/>
        <v>578000</v>
      </c>
      <c r="E701" s="61">
        <f t="shared" si="380"/>
        <v>533800</v>
      </c>
      <c r="F701" s="61">
        <f t="shared" si="381"/>
        <v>50000</v>
      </c>
      <c r="G701" s="61">
        <f>+O701</f>
        <v>0</v>
      </c>
      <c r="H701" s="61">
        <v>24050</v>
      </c>
      <c r="I701" s="61">
        <f>+C701+D701-E701-F701+G701</f>
        <v>24050</v>
      </c>
      <c r="J701" s="9">
        <f>I701-H701</f>
        <v>0</v>
      </c>
      <c r="K701" s="45" t="s">
        <v>29</v>
      </c>
      <c r="L701" s="47">
        <v>578000</v>
      </c>
      <c r="M701" s="47">
        <v>50000</v>
      </c>
      <c r="N701" s="47">
        <v>533800</v>
      </c>
      <c r="O701" s="47">
        <v>0</v>
      </c>
    </row>
    <row r="702" spans="1:15" ht="16.5">
      <c r="A702" s="58" t="str">
        <f t="shared" si="378"/>
        <v>Tiffany</v>
      </c>
      <c r="B702" s="59" t="s">
        <v>2</v>
      </c>
      <c r="C702" s="61">
        <v>1123541</v>
      </c>
      <c r="D702" s="61">
        <f t="shared" si="379"/>
        <v>0</v>
      </c>
      <c r="E702" s="61">
        <f t="shared" si="380"/>
        <v>1777243</v>
      </c>
      <c r="F702" s="61">
        <f t="shared" si="381"/>
        <v>0</v>
      </c>
      <c r="G702" s="61">
        <f t="shared" ref="G702" si="386">+O702</f>
        <v>0</v>
      </c>
      <c r="H702" s="61">
        <v>-653702</v>
      </c>
      <c r="I702" s="61">
        <f t="shared" ref="I702" si="387">+C702+D702-E702-F702+G702</f>
        <v>-653702</v>
      </c>
      <c r="J702" s="9">
        <f t="shared" ref="J702" si="388">I702-H702</f>
        <v>0</v>
      </c>
      <c r="K702" s="45" t="s">
        <v>113</v>
      </c>
      <c r="L702" s="47">
        <v>0</v>
      </c>
      <c r="M702" s="47">
        <v>0</v>
      </c>
      <c r="N702" s="47">
        <v>1777243</v>
      </c>
      <c r="O702" s="47">
        <v>0</v>
      </c>
    </row>
    <row r="703" spans="1:15" ht="16.5">
      <c r="A703" s="10" t="s">
        <v>50</v>
      </c>
      <c r="B703" s="11"/>
      <c r="C703" s="12">
        <f t="shared" ref="C703:I703" si="389">SUM(C690:C702)</f>
        <v>23525884</v>
      </c>
      <c r="D703" s="57">
        <f t="shared" si="389"/>
        <v>6021800</v>
      </c>
      <c r="E703" s="57">
        <f t="shared" si="389"/>
        <v>9190070</v>
      </c>
      <c r="F703" s="57">
        <f t="shared" si="389"/>
        <v>6021800</v>
      </c>
      <c r="G703" s="57">
        <f t="shared" si="389"/>
        <v>24938480</v>
      </c>
      <c r="H703" s="57">
        <f t="shared" si="389"/>
        <v>39274294</v>
      </c>
      <c r="I703" s="57">
        <f t="shared" si="389"/>
        <v>39274294</v>
      </c>
      <c r="J703" s="9">
        <f>I703-H703</f>
        <v>0</v>
      </c>
      <c r="K703" s="3"/>
      <c r="L703" s="47">
        <f>+SUM(L690:L702)</f>
        <v>6021800</v>
      </c>
      <c r="M703" s="47">
        <f>+SUM(M690:M702)</f>
        <v>6021800</v>
      </c>
      <c r="N703" s="47">
        <f>+SUM(N690:N702)</f>
        <v>9190070</v>
      </c>
      <c r="O703" s="47">
        <f>+SUM(O690:O702)</f>
        <v>24938480</v>
      </c>
    </row>
    <row r="704" spans="1:15" ht="16.5">
      <c r="A704" s="10"/>
      <c r="B704" s="11"/>
      <c r="C704" s="12"/>
      <c r="D704" s="13"/>
      <c r="E704" s="12"/>
      <c r="F704" s="13"/>
      <c r="G704" s="12"/>
      <c r="H704" s="12"/>
      <c r="I704" s="133" t="b">
        <f>I703=D706</f>
        <v>1</v>
      </c>
      <c r="L704" s="5"/>
      <c r="M704" s="5"/>
      <c r="N704" s="5"/>
      <c r="O704" s="5"/>
    </row>
    <row r="705" spans="1:11" ht="16.5">
      <c r="A705" s="10" t="s">
        <v>230</v>
      </c>
      <c r="B705" s="11" t="s">
        <v>231</v>
      </c>
      <c r="C705" s="12" t="s">
        <v>232</v>
      </c>
      <c r="D705" s="12" t="s">
        <v>233</v>
      </c>
      <c r="E705" s="12" t="s">
        <v>51</v>
      </c>
      <c r="F705" s="12"/>
      <c r="G705" s="12">
        <f>+D703-F703</f>
        <v>0</v>
      </c>
      <c r="H705" s="12"/>
      <c r="I705" s="12"/>
    </row>
    <row r="706" spans="1:11" ht="16.5">
      <c r="A706" s="14">
        <f>C703</f>
        <v>23525884</v>
      </c>
      <c r="B706" s="15">
        <f>G703</f>
        <v>24938480</v>
      </c>
      <c r="C706" s="12">
        <f>E703</f>
        <v>9190070</v>
      </c>
      <c r="D706" s="12">
        <f>A706+B706-C706</f>
        <v>39274294</v>
      </c>
      <c r="E706" s="13">
        <f>I703-D706</f>
        <v>0</v>
      </c>
      <c r="F706" s="12"/>
      <c r="G706" s="12"/>
      <c r="H706" s="12"/>
      <c r="I706" s="12"/>
    </row>
    <row r="707" spans="1:11" ht="16.5">
      <c r="A707" s="14"/>
      <c r="B707" s="15"/>
      <c r="C707" s="12"/>
      <c r="D707" s="12"/>
      <c r="E707" s="13"/>
      <c r="F707" s="12"/>
      <c r="G707" s="12"/>
      <c r="H707" s="12"/>
      <c r="I707" s="12"/>
    </row>
    <row r="708" spans="1:11">
      <c r="A708" s="16" t="s">
        <v>52</v>
      </c>
      <c r="B708" s="16"/>
      <c r="C708" s="16"/>
      <c r="D708" s="17"/>
      <c r="E708" s="17"/>
      <c r="F708" s="17"/>
      <c r="G708" s="17"/>
      <c r="H708" s="17"/>
      <c r="I708" s="17"/>
    </row>
    <row r="709" spans="1:11">
      <c r="A709" s="18" t="s">
        <v>235</v>
      </c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1">
      <c r="A710" s="19"/>
      <c r="B710" s="17"/>
      <c r="C710" s="20"/>
      <c r="D710" s="20"/>
      <c r="E710" s="20"/>
      <c r="F710" s="20"/>
      <c r="G710" s="20"/>
      <c r="H710" s="17"/>
      <c r="I710" s="17"/>
    </row>
    <row r="711" spans="1:11">
      <c r="A711" s="166" t="s">
        <v>53</v>
      </c>
      <c r="B711" s="168" t="s">
        <v>54</v>
      </c>
      <c r="C711" s="170" t="s">
        <v>236</v>
      </c>
      <c r="D711" s="171" t="s">
        <v>55</v>
      </c>
      <c r="E711" s="172"/>
      <c r="F711" s="172"/>
      <c r="G711" s="173"/>
      <c r="H711" s="174" t="s">
        <v>56</v>
      </c>
      <c r="I711" s="162" t="s">
        <v>57</v>
      </c>
      <c r="J711" s="17"/>
    </row>
    <row r="712" spans="1:11" ht="25.5">
      <c r="A712" s="167"/>
      <c r="B712" s="169"/>
      <c r="C712" s="22"/>
      <c r="D712" s="21" t="s">
        <v>24</v>
      </c>
      <c r="E712" s="21" t="s">
        <v>25</v>
      </c>
      <c r="F712" s="22" t="s">
        <v>123</v>
      </c>
      <c r="G712" s="21" t="s">
        <v>58</v>
      </c>
      <c r="H712" s="175"/>
      <c r="I712" s="163"/>
      <c r="J712" s="164" t="s">
        <v>237</v>
      </c>
      <c r="K712" s="142"/>
    </row>
    <row r="713" spans="1:11">
      <c r="A713" s="23"/>
      <c r="B713" s="24" t="s">
        <v>59</v>
      </c>
      <c r="C713" s="25"/>
      <c r="D713" s="25"/>
      <c r="E713" s="25"/>
      <c r="F713" s="25"/>
      <c r="G713" s="25"/>
      <c r="H713" s="25"/>
      <c r="I713" s="26"/>
      <c r="J713" s="165"/>
      <c r="K713" s="142"/>
    </row>
    <row r="714" spans="1:11">
      <c r="A714" s="121" t="s">
        <v>139</v>
      </c>
      <c r="B714" s="126" t="s">
        <v>47</v>
      </c>
      <c r="C714" s="32">
        <f t="shared" ref="C714:C723" si="390">+C693</f>
        <v>-5640</v>
      </c>
      <c r="D714" s="31"/>
      <c r="E714" s="32">
        <f t="shared" ref="E714:E723" si="391">+D693</f>
        <v>600250</v>
      </c>
      <c r="F714" s="32"/>
      <c r="G714" s="32"/>
      <c r="H714" s="55">
        <f t="shared" ref="H714:H723" si="392">+F693</f>
        <v>107000</v>
      </c>
      <c r="I714" s="32">
        <f t="shared" ref="I714:I723" si="393">+E693</f>
        <v>421700</v>
      </c>
      <c r="J714" s="30">
        <f t="shared" ref="J714:J715" si="394">+SUM(C714:G714)-(H714+I714)</f>
        <v>65910</v>
      </c>
      <c r="K714" s="143" t="b">
        <f t="shared" ref="K714:K723" si="395">J714=I693</f>
        <v>1</v>
      </c>
    </row>
    <row r="715" spans="1:11">
      <c r="A715" s="121" t="str">
        <f>+A714</f>
        <v>AOUT</v>
      </c>
      <c r="B715" s="126" t="s">
        <v>31</v>
      </c>
      <c r="C715" s="32">
        <f t="shared" si="390"/>
        <v>4795</v>
      </c>
      <c r="D715" s="31"/>
      <c r="E715" s="32">
        <f t="shared" si="391"/>
        <v>0</v>
      </c>
      <c r="F715" s="32"/>
      <c r="G715" s="32"/>
      <c r="H715" s="55">
        <f t="shared" si="392"/>
        <v>0</v>
      </c>
      <c r="I715" s="32">
        <f t="shared" si="393"/>
        <v>0</v>
      </c>
      <c r="J715" s="100">
        <f t="shared" si="394"/>
        <v>4795</v>
      </c>
      <c r="K715" s="143" t="b">
        <f t="shared" si="395"/>
        <v>1</v>
      </c>
    </row>
    <row r="716" spans="1:11">
      <c r="A716" s="121" t="str">
        <f t="shared" ref="A716:A720" si="396">+A715</f>
        <v>AOUT</v>
      </c>
      <c r="B716" s="128" t="s">
        <v>84</v>
      </c>
      <c r="C716" s="119">
        <f t="shared" si="390"/>
        <v>233614</v>
      </c>
      <c r="D716" s="122"/>
      <c r="E716" s="119">
        <f t="shared" si="391"/>
        <v>0</v>
      </c>
      <c r="F716" s="136"/>
      <c r="G716" s="136"/>
      <c r="H716" s="154">
        <f t="shared" si="392"/>
        <v>0</v>
      </c>
      <c r="I716" s="119">
        <f t="shared" si="393"/>
        <v>0</v>
      </c>
      <c r="J716" s="120">
        <f>+SUM(C716:G716)-(H716+I716)</f>
        <v>233614</v>
      </c>
      <c r="K716" s="143" t="b">
        <f t="shared" si="395"/>
        <v>1</v>
      </c>
    </row>
    <row r="717" spans="1:11">
      <c r="A717" s="121" t="str">
        <f t="shared" si="396"/>
        <v>AOUT</v>
      </c>
      <c r="B717" s="128" t="s">
        <v>83</v>
      </c>
      <c r="C717" s="119">
        <f t="shared" si="390"/>
        <v>249769</v>
      </c>
      <c r="D717" s="122"/>
      <c r="E717" s="119">
        <f t="shared" si="391"/>
        <v>0</v>
      </c>
      <c r="F717" s="136"/>
      <c r="G717" s="136"/>
      <c r="H717" s="154">
        <f t="shared" si="392"/>
        <v>0</v>
      </c>
      <c r="I717" s="119">
        <f t="shared" si="393"/>
        <v>0</v>
      </c>
      <c r="J717" s="120">
        <f t="shared" ref="J717:J723" si="397">+SUM(C717:G717)-(H717+I717)</f>
        <v>249769</v>
      </c>
      <c r="K717" s="143" t="b">
        <f t="shared" si="395"/>
        <v>1</v>
      </c>
    </row>
    <row r="718" spans="1:11">
      <c r="A718" s="121" t="str">
        <f t="shared" si="396"/>
        <v>AOUT</v>
      </c>
      <c r="B718" s="126" t="s">
        <v>143</v>
      </c>
      <c r="C718" s="32">
        <f t="shared" si="390"/>
        <v>18815</v>
      </c>
      <c r="D718" s="31"/>
      <c r="E718" s="32">
        <f t="shared" si="391"/>
        <v>105000</v>
      </c>
      <c r="F718" s="32"/>
      <c r="G718" s="103"/>
      <c r="H718" s="55">
        <f t="shared" si="392"/>
        <v>0</v>
      </c>
      <c r="I718" s="32">
        <f t="shared" si="393"/>
        <v>7000</v>
      </c>
      <c r="J718" s="30">
        <f t="shared" si="397"/>
        <v>116815</v>
      </c>
      <c r="K718" s="143" t="b">
        <f t="shared" si="395"/>
        <v>1</v>
      </c>
    </row>
    <row r="719" spans="1:11">
      <c r="A719" s="121" t="str">
        <f t="shared" si="396"/>
        <v>AOUT</v>
      </c>
      <c r="B719" s="126" t="s">
        <v>197</v>
      </c>
      <c r="C719" s="32">
        <f t="shared" si="390"/>
        <v>36500</v>
      </c>
      <c r="D719" s="31"/>
      <c r="E719" s="32">
        <f t="shared" si="391"/>
        <v>266000</v>
      </c>
      <c r="F719" s="32"/>
      <c r="G719" s="103"/>
      <c r="H719" s="55">
        <f t="shared" si="392"/>
        <v>88000</v>
      </c>
      <c r="I719" s="32">
        <f t="shared" si="393"/>
        <v>213800</v>
      </c>
      <c r="J719" s="30">
        <f t="shared" si="397"/>
        <v>700</v>
      </c>
      <c r="K719" s="143" t="b">
        <f t="shared" si="395"/>
        <v>1</v>
      </c>
    </row>
    <row r="720" spans="1:11">
      <c r="A720" s="121" t="str">
        <f t="shared" si="396"/>
        <v>AOUT</v>
      </c>
      <c r="B720" s="126" t="s">
        <v>30</v>
      </c>
      <c r="C720" s="32">
        <f t="shared" si="390"/>
        <v>79550</v>
      </c>
      <c r="D720" s="31"/>
      <c r="E720" s="32">
        <f t="shared" si="391"/>
        <v>506000</v>
      </c>
      <c r="F720" s="32"/>
      <c r="G720" s="103"/>
      <c r="H720" s="55">
        <f t="shared" si="392"/>
        <v>101550</v>
      </c>
      <c r="I720" s="32">
        <f t="shared" si="393"/>
        <v>484000</v>
      </c>
      <c r="J720" s="30">
        <f t="shared" si="397"/>
        <v>0</v>
      </c>
      <c r="K720" s="143" t="b">
        <f t="shared" si="395"/>
        <v>1</v>
      </c>
    </row>
    <row r="721" spans="1:16">
      <c r="A721" s="121" t="str">
        <f>+A719</f>
        <v>AOUT</v>
      </c>
      <c r="B721" s="126" t="s">
        <v>93</v>
      </c>
      <c r="C721" s="32">
        <f t="shared" si="390"/>
        <v>5900</v>
      </c>
      <c r="D721" s="31"/>
      <c r="E721" s="32">
        <f t="shared" si="391"/>
        <v>20000</v>
      </c>
      <c r="F721" s="32"/>
      <c r="G721" s="103"/>
      <c r="H721" s="55">
        <f t="shared" si="392"/>
        <v>0</v>
      </c>
      <c r="I721" s="32">
        <f t="shared" si="393"/>
        <v>19000</v>
      </c>
      <c r="J721" s="30">
        <f t="shared" si="397"/>
        <v>6900</v>
      </c>
      <c r="K721" s="143" t="b">
        <f t="shared" si="395"/>
        <v>1</v>
      </c>
    </row>
    <row r="722" spans="1:16">
      <c r="A722" s="121" t="str">
        <f>+A720</f>
        <v>AOUT</v>
      </c>
      <c r="B722" s="126" t="s">
        <v>29</v>
      </c>
      <c r="C722" s="32">
        <f t="shared" si="390"/>
        <v>29850</v>
      </c>
      <c r="D722" s="31"/>
      <c r="E722" s="32">
        <f t="shared" si="391"/>
        <v>578000</v>
      </c>
      <c r="F722" s="32"/>
      <c r="G722" s="103"/>
      <c r="H722" s="55">
        <f t="shared" si="392"/>
        <v>50000</v>
      </c>
      <c r="I722" s="32">
        <f t="shared" si="393"/>
        <v>533800</v>
      </c>
      <c r="J722" s="30">
        <f t="shared" si="397"/>
        <v>24050</v>
      </c>
      <c r="K722" s="143" t="b">
        <f t="shared" si="395"/>
        <v>1</v>
      </c>
    </row>
    <row r="723" spans="1:16">
      <c r="A723" s="121" t="str">
        <f>+A721</f>
        <v>AOUT</v>
      </c>
      <c r="B723" s="127" t="s">
        <v>113</v>
      </c>
      <c r="C723" s="32">
        <f t="shared" si="390"/>
        <v>1123541</v>
      </c>
      <c r="D723" s="118"/>
      <c r="E723" s="32">
        <f t="shared" si="391"/>
        <v>0</v>
      </c>
      <c r="F723" s="51"/>
      <c r="G723" s="137"/>
      <c r="H723" s="55">
        <f t="shared" si="392"/>
        <v>0</v>
      </c>
      <c r="I723" s="32">
        <f t="shared" si="393"/>
        <v>1777243</v>
      </c>
      <c r="J723" s="30">
        <f t="shared" si="397"/>
        <v>-653702</v>
      </c>
      <c r="K723" s="143" t="b">
        <f t="shared" si="395"/>
        <v>1</v>
      </c>
    </row>
    <row r="724" spans="1:16">
      <c r="A724" s="34" t="s">
        <v>60</v>
      </c>
      <c r="B724" s="35"/>
      <c r="C724" s="35"/>
      <c r="D724" s="35"/>
      <c r="E724" s="35"/>
      <c r="F724" s="35"/>
      <c r="G724" s="35"/>
      <c r="H724" s="35"/>
      <c r="I724" s="35"/>
      <c r="J724" s="36"/>
      <c r="K724" s="142"/>
    </row>
    <row r="725" spans="1:16">
      <c r="A725" s="121" t="str">
        <f>A723</f>
        <v>AOUT</v>
      </c>
      <c r="B725" s="37" t="s">
        <v>61</v>
      </c>
      <c r="C725" s="38">
        <f>+C692</f>
        <v>103032</v>
      </c>
      <c r="D725" s="49"/>
      <c r="E725" s="49">
        <f>D692</f>
        <v>3946550</v>
      </c>
      <c r="F725" s="49"/>
      <c r="G725" s="124"/>
      <c r="H725" s="51">
        <f>+F692</f>
        <v>2075250</v>
      </c>
      <c r="I725" s="125">
        <f>+E692</f>
        <v>994290</v>
      </c>
      <c r="J725" s="30">
        <f>+SUM(C725:G725)-(H725+I725)</f>
        <v>980042</v>
      </c>
      <c r="K725" s="143" t="b">
        <f>J725=I692</f>
        <v>1</v>
      </c>
    </row>
    <row r="726" spans="1:16">
      <c r="A726" s="43" t="s">
        <v>62</v>
      </c>
      <c r="B726" s="24"/>
      <c r="C726" s="35"/>
      <c r="D726" s="24"/>
      <c r="E726" s="24"/>
      <c r="F726" s="24"/>
      <c r="G726" s="24"/>
      <c r="H726" s="24"/>
      <c r="I726" s="24"/>
      <c r="J726" s="36"/>
      <c r="K726" s="142"/>
    </row>
    <row r="727" spans="1:16">
      <c r="A727" s="121" t="str">
        <f>+A725</f>
        <v>AOUT</v>
      </c>
      <c r="B727" s="37" t="s">
        <v>156</v>
      </c>
      <c r="C727" s="124">
        <f>+C690</f>
        <v>168348</v>
      </c>
      <c r="D727" s="131">
        <f>+G690</f>
        <v>24938480</v>
      </c>
      <c r="E727" s="49"/>
      <c r="F727" s="49"/>
      <c r="G727" s="49"/>
      <c r="H727" s="51">
        <f>+F690</f>
        <v>1000000</v>
      </c>
      <c r="I727" s="53">
        <f>+E690</f>
        <v>286008</v>
      </c>
      <c r="J727" s="30">
        <f>+SUM(C727:G727)-(H727+I727)</f>
        <v>23820820</v>
      </c>
      <c r="K727" s="143" t="b">
        <f>+J727=I690</f>
        <v>1</v>
      </c>
    </row>
    <row r="728" spans="1:16">
      <c r="A728" s="121" t="str">
        <f t="shared" ref="A728" si="398">+A727</f>
        <v>AOUT</v>
      </c>
      <c r="B728" s="37" t="s">
        <v>64</v>
      </c>
      <c r="C728" s="124">
        <f>+C691</f>
        <v>21477810</v>
      </c>
      <c r="D728" s="49">
        <f>+G691</f>
        <v>0</v>
      </c>
      <c r="E728" s="48"/>
      <c r="F728" s="48"/>
      <c r="G728" s="48"/>
      <c r="H728" s="32">
        <f>+F691</f>
        <v>2600000</v>
      </c>
      <c r="I728" s="50">
        <f>+E691</f>
        <v>4453229</v>
      </c>
      <c r="J728" s="30">
        <f>SUM(C728:G728)-(H728+I728)</f>
        <v>14424581</v>
      </c>
      <c r="K728" s="143" t="b">
        <f>+J728=I691</f>
        <v>1</v>
      </c>
    </row>
    <row r="729" spans="1:16" ht="15.75">
      <c r="C729" s="140">
        <f>SUM(C714:C728)</f>
        <v>23525884</v>
      </c>
      <c r="I729" s="139">
        <f>SUM(I714:I728)</f>
        <v>9190070</v>
      </c>
      <c r="J729" s="104">
        <f>+SUM(J714:J728)</f>
        <v>39274294</v>
      </c>
      <c r="K729" s="5" t="b">
        <f>J729=I703</f>
        <v>1</v>
      </c>
    </row>
    <row r="730" spans="1:16" ht="15.75">
      <c r="A730" s="157"/>
      <c r="B730" s="157"/>
      <c r="C730" s="158"/>
      <c r="D730" s="157"/>
      <c r="E730" s="157"/>
      <c r="F730" s="157"/>
      <c r="G730" s="157"/>
      <c r="H730" s="157"/>
      <c r="I730" s="159"/>
      <c r="J730" s="160"/>
      <c r="K730" s="157"/>
      <c r="L730" s="161"/>
      <c r="M730" s="161"/>
      <c r="N730" s="161"/>
      <c r="O730" s="161"/>
      <c r="P730" s="157"/>
    </row>
    <row r="732" spans="1:16" ht="15.75">
      <c r="A732" s="6" t="s">
        <v>36</v>
      </c>
      <c r="B732" s="6" t="s">
        <v>1</v>
      </c>
      <c r="C732" s="6">
        <v>44743</v>
      </c>
      <c r="D732" s="7" t="s">
        <v>37</v>
      </c>
      <c r="E732" s="7" t="s">
        <v>38</v>
      </c>
      <c r="F732" s="7" t="s">
        <v>39</v>
      </c>
      <c r="G732" s="7" t="s">
        <v>40</v>
      </c>
      <c r="H732" s="6">
        <v>44773</v>
      </c>
      <c r="I732" s="7" t="s">
        <v>41</v>
      </c>
      <c r="K732" s="45"/>
      <c r="L732" s="45" t="s">
        <v>42</v>
      </c>
      <c r="M732" s="45" t="s">
        <v>43</v>
      </c>
      <c r="N732" s="45" t="s">
        <v>44</v>
      </c>
      <c r="O732" s="45" t="s">
        <v>45</v>
      </c>
    </row>
    <row r="733" spans="1:16" ht="16.5">
      <c r="A733" s="58" t="str">
        <f>K733</f>
        <v>BCI</v>
      </c>
      <c r="B733" s="59" t="s">
        <v>46</v>
      </c>
      <c r="C733" s="61">
        <v>4291693</v>
      </c>
      <c r="D733" s="61">
        <f>+L733</f>
        <v>0</v>
      </c>
      <c r="E733" s="61">
        <f>+N733</f>
        <v>23345</v>
      </c>
      <c r="F733" s="61">
        <f>+M733</f>
        <v>4100000</v>
      </c>
      <c r="G733" s="61">
        <f t="shared" ref="G733:G743" si="399">+O733</f>
        <v>0</v>
      </c>
      <c r="H733" s="61">
        <v>168348</v>
      </c>
      <c r="I733" s="61">
        <f>+C733+D733-E733-F733+G733</f>
        <v>168348</v>
      </c>
      <c r="J733" s="9">
        <f>I733-H733</f>
        <v>0</v>
      </c>
      <c r="K733" s="45" t="s">
        <v>24</v>
      </c>
      <c r="L733" s="47">
        <v>0</v>
      </c>
      <c r="M733" s="47">
        <v>4100000</v>
      </c>
      <c r="N733" s="47">
        <v>23345</v>
      </c>
      <c r="O733" s="47">
        <v>0</v>
      </c>
    </row>
    <row r="734" spans="1:16" ht="16.5">
      <c r="A734" s="58" t="str">
        <f t="shared" ref="A734:A746" si="400">K734</f>
        <v>BCI-Sous Compte</v>
      </c>
      <c r="B734" s="59" t="s">
        <v>46</v>
      </c>
      <c r="C734" s="61">
        <v>4852627</v>
      </c>
      <c r="D734" s="61">
        <f t="shared" ref="D734:D737" si="401">+L734</f>
        <v>0</v>
      </c>
      <c r="E734" s="61">
        <f t="shared" ref="E734:E746" si="402">+N734</f>
        <v>3777704</v>
      </c>
      <c r="F734" s="61">
        <f t="shared" ref="F734:F746" si="403">+M734</f>
        <v>0</v>
      </c>
      <c r="G734" s="61">
        <f t="shared" si="399"/>
        <v>20402887</v>
      </c>
      <c r="H734" s="61">
        <v>21477810</v>
      </c>
      <c r="I734" s="61">
        <f>+C734+D734-E734-F734+G734</f>
        <v>21477810</v>
      </c>
      <c r="J734" s="9">
        <f t="shared" ref="J734:J740" si="404">I734-H734</f>
        <v>0</v>
      </c>
      <c r="K734" s="45" t="s">
        <v>148</v>
      </c>
      <c r="L734" s="46">
        <v>0</v>
      </c>
      <c r="M734" s="47">
        <v>0</v>
      </c>
      <c r="N734" s="47">
        <v>3777704</v>
      </c>
      <c r="O734" s="47">
        <v>20402887</v>
      </c>
    </row>
    <row r="735" spans="1:16" ht="16.5">
      <c r="A735" s="58" t="str">
        <f t="shared" si="400"/>
        <v>Caisse</v>
      </c>
      <c r="B735" s="59" t="s">
        <v>25</v>
      </c>
      <c r="C735" s="61">
        <v>1696326</v>
      </c>
      <c r="D735" s="61">
        <f t="shared" si="401"/>
        <v>4430000</v>
      </c>
      <c r="E735" s="61">
        <f t="shared" si="402"/>
        <v>1453294</v>
      </c>
      <c r="F735" s="61">
        <f t="shared" si="403"/>
        <v>4570000</v>
      </c>
      <c r="G735" s="61">
        <f t="shared" si="399"/>
        <v>0</v>
      </c>
      <c r="H735" s="61">
        <v>103032</v>
      </c>
      <c r="I735" s="61">
        <f>+C735+D735-E735-F735+G735</f>
        <v>103032</v>
      </c>
      <c r="J735" s="101">
        <f t="shared" si="404"/>
        <v>0</v>
      </c>
      <c r="K735" s="45" t="s">
        <v>25</v>
      </c>
      <c r="L735" s="47">
        <v>4430000</v>
      </c>
      <c r="M735" s="47">
        <v>4570000</v>
      </c>
      <c r="N735" s="47">
        <v>1453294</v>
      </c>
      <c r="O735" s="47">
        <v>0</v>
      </c>
    </row>
    <row r="736" spans="1:16" ht="16.5">
      <c r="A736" s="58" t="str">
        <f t="shared" si="400"/>
        <v>Crépin</v>
      </c>
      <c r="B736" s="59" t="s">
        <v>154</v>
      </c>
      <c r="C736" s="61">
        <v>9800</v>
      </c>
      <c r="D736" s="61">
        <f t="shared" si="401"/>
        <v>1043000</v>
      </c>
      <c r="E736" s="61">
        <f t="shared" si="402"/>
        <v>975940</v>
      </c>
      <c r="F736" s="61">
        <f t="shared" si="403"/>
        <v>82500</v>
      </c>
      <c r="G736" s="61">
        <f t="shared" si="399"/>
        <v>0</v>
      </c>
      <c r="H736" s="61">
        <v>-5640</v>
      </c>
      <c r="I736" s="61">
        <f>+C736+D736-E736-F736+G736</f>
        <v>-5640</v>
      </c>
      <c r="J736" s="9">
        <f t="shared" si="404"/>
        <v>0</v>
      </c>
      <c r="K736" s="45" t="s">
        <v>47</v>
      </c>
      <c r="L736" s="47">
        <v>1043000</v>
      </c>
      <c r="M736" s="47">
        <v>82500</v>
      </c>
      <c r="N736" s="47">
        <v>975940</v>
      </c>
      <c r="O736" s="47">
        <v>0</v>
      </c>
    </row>
    <row r="737" spans="1:15" ht="16.5">
      <c r="A737" s="58" t="str">
        <f t="shared" si="400"/>
        <v>Evariste</v>
      </c>
      <c r="B737" s="59" t="s">
        <v>155</v>
      </c>
      <c r="C737" s="61">
        <v>2295</v>
      </c>
      <c r="D737" s="61">
        <f t="shared" si="401"/>
        <v>242500</v>
      </c>
      <c r="E737" s="61">
        <f t="shared" si="402"/>
        <v>240000</v>
      </c>
      <c r="F737" s="61">
        <f t="shared" si="403"/>
        <v>0</v>
      </c>
      <c r="G737" s="61">
        <f t="shared" si="399"/>
        <v>0</v>
      </c>
      <c r="H737" s="61">
        <v>4795</v>
      </c>
      <c r="I737" s="61">
        <f t="shared" ref="I737" si="405">+C737+D737-E737-F737+G737</f>
        <v>4795</v>
      </c>
      <c r="J737" s="9">
        <f t="shared" si="404"/>
        <v>0</v>
      </c>
      <c r="K737" s="45" t="s">
        <v>31</v>
      </c>
      <c r="L737" s="47">
        <v>242500</v>
      </c>
      <c r="M737" s="47">
        <v>0</v>
      </c>
      <c r="N737" s="47">
        <v>240000</v>
      </c>
      <c r="O737" s="47">
        <v>0</v>
      </c>
    </row>
    <row r="738" spans="1:15" ht="16.5">
      <c r="A738" s="58" t="str">
        <f t="shared" si="400"/>
        <v>I55S</v>
      </c>
      <c r="B738" s="115" t="s">
        <v>4</v>
      </c>
      <c r="C738" s="117">
        <v>233614</v>
      </c>
      <c r="D738" s="117">
        <f t="shared" ref="D738:D746" si="406">+L738</f>
        <v>0</v>
      </c>
      <c r="E738" s="117">
        <f t="shared" si="402"/>
        <v>0</v>
      </c>
      <c r="F738" s="117">
        <f t="shared" si="403"/>
        <v>0</v>
      </c>
      <c r="G738" s="117">
        <f t="shared" si="399"/>
        <v>0</v>
      </c>
      <c r="H738" s="117">
        <v>233614</v>
      </c>
      <c r="I738" s="117">
        <f>+C738+D738-E738-F738+G738</f>
        <v>233614</v>
      </c>
      <c r="J738" s="9">
        <f t="shared" si="404"/>
        <v>0</v>
      </c>
      <c r="K738" s="45" t="s">
        <v>84</v>
      </c>
      <c r="L738" s="47">
        <v>0</v>
      </c>
      <c r="M738" s="47">
        <v>0</v>
      </c>
      <c r="N738" s="47">
        <v>0</v>
      </c>
      <c r="O738" s="47">
        <v>0</v>
      </c>
    </row>
    <row r="739" spans="1:15" ht="16.5">
      <c r="A739" s="58" t="str">
        <f t="shared" si="400"/>
        <v>I73X</v>
      </c>
      <c r="B739" s="115" t="s">
        <v>4</v>
      </c>
      <c r="C739" s="117">
        <v>249769</v>
      </c>
      <c r="D739" s="117">
        <f t="shared" si="406"/>
        <v>0</v>
      </c>
      <c r="E739" s="117">
        <f t="shared" si="402"/>
        <v>0</v>
      </c>
      <c r="F739" s="117">
        <f t="shared" si="403"/>
        <v>0</v>
      </c>
      <c r="G739" s="117">
        <f t="shared" si="399"/>
        <v>0</v>
      </c>
      <c r="H739" s="117">
        <v>249769</v>
      </c>
      <c r="I739" s="117">
        <f t="shared" ref="I739:I742" si="407">+C739+D739-E739-F739+G739</f>
        <v>249769</v>
      </c>
      <c r="J739" s="9">
        <f t="shared" si="404"/>
        <v>0</v>
      </c>
      <c r="K739" s="45" t="s">
        <v>83</v>
      </c>
      <c r="L739" s="47">
        <v>0</v>
      </c>
      <c r="M739" s="47">
        <v>0</v>
      </c>
      <c r="N739" s="47">
        <v>0</v>
      </c>
      <c r="O739" s="47">
        <v>0</v>
      </c>
    </row>
    <row r="740" spans="1:15" ht="16.5">
      <c r="A740" s="58" t="str">
        <f t="shared" si="400"/>
        <v>Grace</v>
      </c>
      <c r="B740" s="97" t="s">
        <v>2</v>
      </c>
      <c r="C740" s="61">
        <v>28600</v>
      </c>
      <c r="D740" s="61">
        <f t="shared" si="406"/>
        <v>389000</v>
      </c>
      <c r="E740" s="61">
        <f t="shared" si="402"/>
        <v>87785</v>
      </c>
      <c r="F740" s="61">
        <f t="shared" si="403"/>
        <v>311000</v>
      </c>
      <c r="G740" s="61">
        <f t="shared" si="399"/>
        <v>0</v>
      </c>
      <c r="H740" s="61">
        <v>18815</v>
      </c>
      <c r="I740" s="61">
        <f t="shared" si="407"/>
        <v>18815</v>
      </c>
      <c r="J740" s="9">
        <f t="shared" si="404"/>
        <v>0</v>
      </c>
      <c r="K740" s="45" t="s">
        <v>143</v>
      </c>
      <c r="L740" s="47">
        <v>389000</v>
      </c>
      <c r="M740" s="47">
        <v>311000</v>
      </c>
      <c r="N740" s="47">
        <v>87785</v>
      </c>
      <c r="O740" s="47">
        <v>0</v>
      </c>
    </row>
    <row r="741" spans="1:15" ht="16.5">
      <c r="A741" s="58" t="str">
        <f t="shared" si="400"/>
        <v>Hurielle</v>
      </c>
      <c r="B741" s="59" t="s">
        <v>154</v>
      </c>
      <c r="C741" s="61">
        <v>18000</v>
      </c>
      <c r="D741" s="61">
        <f t="shared" si="406"/>
        <v>354000</v>
      </c>
      <c r="E741" s="61">
        <f t="shared" si="402"/>
        <v>335500</v>
      </c>
      <c r="F741" s="61">
        <f t="shared" si="403"/>
        <v>0</v>
      </c>
      <c r="G741" s="61">
        <f t="shared" si="399"/>
        <v>0</v>
      </c>
      <c r="H741" s="61">
        <v>36500</v>
      </c>
      <c r="I741" s="61">
        <f t="shared" si="407"/>
        <v>36500</v>
      </c>
      <c r="J741" s="9">
        <f>I741-H741</f>
        <v>0</v>
      </c>
      <c r="K741" s="45" t="s">
        <v>197</v>
      </c>
      <c r="L741" s="47">
        <v>354000</v>
      </c>
      <c r="M741" s="47">
        <v>0</v>
      </c>
      <c r="N741" s="47">
        <v>335500</v>
      </c>
      <c r="O741" s="47">
        <v>0</v>
      </c>
    </row>
    <row r="742" spans="1:15" ht="16.5">
      <c r="A742" s="58" t="str">
        <f t="shared" si="400"/>
        <v>I23C</v>
      </c>
      <c r="B742" s="97" t="s">
        <v>4</v>
      </c>
      <c r="C742" s="61">
        <v>262050</v>
      </c>
      <c r="D742" s="61">
        <f t="shared" si="406"/>
        <v>602000</v>
      </c>
      <c r="E742" s="61">
        <f t="shared" si="402"/>
        <v>784500</v>
      </c>
      <c r="F742" s="61">
        <f t="shared" si="403"/>
        <v>0</v>
      </c>
      <c r="G742" s="61">
        <f t="shared" si="399"/>
        <v>0</v>
      </c>
      <c r="H742" s="61">
        <v>79550</v>
      </c>
      <c r="I742" s="61">
        <f t="shared" si="407"/>
        <v>79550</v>
      </c>
      <c r="J742" s="9">
        <f t="shared" ref="J742:J743" si="408">I742-H742</f>
        <v>0</v>
      </c>
      <c r="K742" s="45" t="s">
        <v>30</v>
      </c>
      <c r="L742" s="47">
        <v>602000</v>
      </c>
      <c r="M742" s="47">
        <v>0</v>
      </c>
      <c r="N742" s="47">
        <v>784500</v>
      </c>
      <c r="O742" s="47">
        <v>0</v>
      </c>
    </row>
    <row r="743" spans="1:15" ht="16.5">
      <c r="A743" s="58" t="str">
        <f t="shared" si="400"/>
        <v>Merveille</v>
      </c>
      <c r="B743" s="59" t="s">
        <v>2</v>
      </c>
      <c r="C743" s="61">
        <v>11900</v>
      </c>
      <c r="D743" s="61">
        <f t="shared" si="406"/>
        <v>96000</v>
      </c>
      <c r="E743" s="61">
        <f t="shared" si="402"/>
        <v>72000</v>
      </c>
      <c r="F743" s="61">
        <f t="shared" si="403"/>
        <v>30000</v>
      </c>
      <c r="G743" s="61">
        <f t="shared" si="399"/>
        <v>0</v>
      </c>
      <c r="H743" s="61">
        <v>5900</v>
      </c>
      <c r="I743" s="61">
        <f>+C743+D743-E743-F743+G743</f>
        <v>5900</v>
      </c>
      <c r="J743" s="9">
        <f t="shared" si="408"/>
        <v>0</v>
      </c>
      <c r="K743" s="45" t="s">
        <v>93</v>
      </c>
      <c r="L743" s="47">
        <v>96000</v>
      </c>
      <c r="M743" s="47">
        <v>30000</v>
      </c>
      <c r="N743" s="47">
        <v>72000</v>
      </c>
      <c r="O743" s="47">
        <v>0</v>
      </c>
    </row>
    <row r="744" spans="1:15" ht="16.5">
      <c r="A744" s="58" t="str">
        <f t="shared" si="400"/>
        <v>P29</v>
      </c>
      <c r="B744" s="59" t="s">
        <v>4</v>
      </c>
      <c r="C744" s="61">
        <v>221050</v>
      </c>
      <c r="D744" s="61">
        <f t="shared" si="406"/>
        <v>608500</v>
      </c>
      <c r="E744" s="61">
        <f t="shared" si="402"/>
        <v>799700</v>
      </c>
      <c r="F744" s="61">
        <f t="shared" si="403"/>
        <v>0</v>
      </c>
      <c r="G744" s="61">
        <f>+O744</f>
        <v>0</v>
      </c>
      <c r="H744" s="61">
        <v>29850</v>
      </c>
      <c r="I744" s="61">
        <f>+C744+D744-E744-F744+G744</f>
        <v>29850</v>
      </c>
      <c r="J744" s="9">
        <f>I744-H744</f>
        <v>0</v>
      </c>
      <c r="K744" s="45" t="s">
        <v>29</v>
      </c>
      <c r="L744" s="47">
        <v>608500</v>
      </c>
      <c r="M744" s="47">
        <v>0</v>
      </c>
      <c r="N744" s="47">
        <v>799700</v>
      </c>
      <c r="O744" s="47">
        <v>0</v>
      </c>
    </row>
    <row r="745" spans="1:15" ht="16.5">
      <c r="A745" s="58" t="str">
        <f t="shared" si="400"/>
        <v>Tiffany</v>
      </c>
      <c r="B745" s="59" t="s">
        <v>2</v>
      </c>
      <c r="C745" s="61">
        <v>-3959</v>
      </c>
      <c r="D745" s="61">
        <f t="shared" si="406"/>
        <v>1340000</v>
      </c>
      <c r="E745" s="61">
        <f t="shared" si="402"/>
        <v>12500</v>
      </c>
      <c r="F745" s="61">
        <f t="shared" si="403"/>
        <v>200000</v>
      </c>
      <c r="G745" s="61">
        <f t="shared" ref="G745:G746" si="409">+O745</f>
        <v>0</v>
      </c>
      <c r="H745" s="61">
        <v>1123541</v>
      </c>
      <c r="I745" s="61">
        <f t="shared" ref="I745" si="410">+C745+D745-E745-F745+G745</f>
        <v>1123541</v>
      </c>
      <c r="J745" s="9">
        <f t="shared" ref="J745" si="411">I745-H745</f>
        <v>0</v>
      </c>
      <c r="K745" s="45" t="s">
        <v>113</v>
      </c>
      <c r="L745" s="47">
        <v>1340000</v>
      </c>
      <c r="M745" s="47">
        <v>200000</v>
      </c>
      <c r="N745" s="47">
        <v>12500</v>
      </c>
      <c r="O745" s="47">
        <v>0</v>
      </c>
    </row>
    <row r="746" spans="1:15" ht="16.5">
      <c r="A746" s="58" t="str">
        <f t="shared" si="400"/>
        <v>Yan</v>
      </c>
      <c r="B746" s="59" t="s">
        <v>154</v>
      </c>
      <c r="C746" s="61">
        <v>95000</v>
      </c>
      <c r="D746" s="61">
        <f t="shared" si="406"/>
        <v>248500</v>
      </c>
      <c r="E746" s="61">
        <f t="shared" si="402"/>
        <v>283500</v>
      </c>
      <c r="F746" s="61">
        <f t="shared" si="403"/>
        <v>60000</v>
      </c>
      <c r="G746" s="61">
        <f t="shared" si="409"/>
        <v>0</v>
      </c>
      <c r="H746" s="61">
        <v>0</v>
      </c>
      <c r="I746" s="61">
        <f>+C746+D746-E746-F746+G746</f>
        <v>0</v>
      </c>
      <c r="J746" s="9">
        <f>I746-H746</f>
        <v>0</v>
      </c>
      <c r="K746" s="45" t="s">
        <v>212</v>
      </c>
      <c r="L746" s="47">
        <v>248500</v>
      </c>
      <c r="M746" s="47">
        <v>60000</v>
      </c>
      <c r="N746" s="47">
        <v>283500</v>
      </c>
      <c r="O746" s="47">
        <v>0</v>
      </c>
    </row>
    <row r="747" spans="1:15" ht="16.5">
      <c r="A747" s="10" t="s">
        <v>50</v>
      </c>
      <c r="B747" s="11"/>
      <c r="C747" s="12">
        <f t="shared" ref="C747:I747" si="412">SUM(C733:C746)</f>
        <v>11968765</v>
      </c>
      <c r="D747" s="57">
        <f t="shared" si="412"/>
        <v>9353500</v>
      </c>
      <c r="E747" s="57">
        <f t="shared" si="412"/>
        <v>8845768</v>
      </c>
      <c r="F747" s="57">
        <f t="shared" si="412"/>
        <v>9353500</v>
      </c>
      <c r="G747" s="57">
        <f t="shared" si="412"/>
        <v>20402887</v>
      </c>
      <c r="H747" s="57">
        <f t="shared" si="412"/>
        <v>23525884</v>
      </c>
      <c r="I747" s="57">
        <f t="shared" si="412"/>
        <v>23525884</v>
      </c>
      <c r="J747" s="9">
        <f>I747-H747</f>
        <v>0</v>
      </c>
      <c r="K747" s="3"/>
      <c r="L747" s="47">
        <f>+SUM(L733:L746)</f>
        <v>9353500</v>
      </c>
      <c r="M747" s="47">
        <f>+SUM(M733:M746)</f>
        <v>9353500</v>
      </c>
      <c r="N747" s="47">
        <f>+SUM(N733:N746)</f>
        <v>8845768</v>
      </c>
      <c r="O747" s="47">
        <f>+SUM(O733:O745)</f>
        <v>20402887</v>
      </c>
    </row>
    <row r="748" spans="1:15" ht="16.5">
      <c r="A748" s="10"/>
      <c r="B748" s="11"/>
      <c r="C748" s="12"/>
      <c r="D748" s="13"/>
      <c r="E748" s="12"/>
      <c r="F748" s="13"/>
      <c r="G748" s="12"/>
      <c r="H748" s="12"/>
      <c r="I748" s="133" t="b">
        <f>I747=D750</f>
        <v>1</v>
      </c>
      <c r="L748" s="5"/>
      <c r="M748" s="5"/>
      <c r="N748" s="5"/>
      <c r="O748" s="5"/>
    </row>
    <row r="749" spans="1:15" ht="16.5">
      <c r="A749" s="10" t="s">
        <v>226</v>
      </c>
      <c r="B749" s="11" t="s">
        <v>234</v>
      </c>
      <c r="C749" s="12" t="s">
        <v>227</v>
      </c>
      <c r="D749" s="12" t="s">
        <v>228</v>
      </c>
      <c r="E749" s="12" t="s">
        <v>51</v>
      </c>
      <c r="F749" s="12"/>
      <c r="G749" s="12">
        <f>+D747-F747</f>
        <v>0</v>
      </c>
      <c r="H749" s="12"/>
      <c r="I749" s="12"/>
    </row>
    <row r="750" spans="1:15" ht="16.5">
      <c r="A750" s="14">
        <f>C747</f>
        <v>11968765</v>
      </c>
      <c r="B750" s="15">
        <f>G747</f>
        <v>20402887</v>
      </c>
      <c r="C750" s="12">
        <f>E747</f>
        <v>8845768</v>
      </c>
      <c r="D750" s="12">
        <f>A750+B750-C750</f>
        <v>23525884</v>
      </c>
      <c r="E750" s="13">
        <f>I747-D750</f>
        <v>0</v>
      </c>
      <c r="F750" s="12"/>
      <c r="G750" s="12"/>
      <c r="H750" s="12"/>
      <c r="I750" s="12"/>
    </row>
    <row r="751" spans="1:15" ht="16.5">
      <c r="A751" s="14"/>
      <c r="B751" s="15"/>
      <c r="C751" s="12"/>
      <c r="D751" s="12"/>
      <c r="E751" s="13"/>
      <c r="F751" s="12"/>
      <c r="G751" s="12"/>
      <c r="H751" s="12"/>
      <c r="I751" s="12"/>
    </row>
    <row r="752" spans="1:15">
      <c r="A752" s="16" t="s">
        <v>52</v>
      </c>
      <c r="B752" s="16"/>
      <c r="C752" s="16"/>
      <c r="D752" s="17"/>
      <c r="E752" s="17"/>
      <c r="F752" s="17"/>
      <c r="G752" s="17"/>
      <c r="H752" s="17"/>
      <c r="I752" s="17"/>
    </row>
    <row r="753" spans="1:11">
      <c r="A753" s="18" t="s">
        <v>225</v>
      </c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1">
      <c r="A754" s="19"/>
      <c r="B754" s="17"/>
      <c r="C754" s="20"/>
      <c r="D754" s="20"/>
      <c r="E754" s="20"/>
      <c r="F754" s="20"/>
      <c r="G754" s="20"/>
      <c r="H754" s="17"/>
      <c r="I754" s="17"/>
    </row>
    <row r="755" spans="1:11">
      <c r="A755" s="166" t="s">
        <v>53</v>
      </c>
      <c r="B755" s="168" t="s">
        <v>54</v>
      </c>
      <c r="C755" s="170" t="s">
        <v>223</v>
      </c>
      <c r="D755" s="171" t="s">
        <v>55</v>
      </c>
      <c r="E755" s="172"/>
      <c r="F755" s="172"/>
      <c r="G755" s="173"/>
      <c r="H755" s="174" t="s">
        <v>56</v>
      </c>
      <c r="I755" s="162" t="s">
        <v>57</v>
      </c>
      <c r="J755" s="17"/>
    </row>
    <row r="756" spans="1:11" ht="25.5">
      <c r="A756" s="167"/>
      <c r="B756" s="169"/>
      <c r="C756" s="22"/>
      <c r="D756" s="21" t="s">
        <v>24</v>
      </c>
      <c r="E756" s="21" t="s">
        <v>25</v>
      </c>
      <c r="F756" s="22" t="s">
        <v>123</v>
      </c>
      <c r="G756" s="21" t="s">
        <v>58</v>
      </c>
      <c r="H756" s="175"/>
      <c r="I756" s="163"/>
      <c r="J756" s="164" t="s">
        <v>224</v>
      </c>
      <c r="K756" s="142"/>
    </row>
    <row r="757" spans="1:11">
      <c r="A757" s="23"/>
      <c r="B757" s="24" t="s">
        <v>59</v>
      </c>
      <c r="C757" s="25"/>
      <c r="D757" s="25"/>
      <c r="E757" s="25"/>
      <c r="F757" s="25"/>
      <c r="G757" s="25"/>
      <c r="H757" s="25"/>
      <c r="I757" s="26"/>
      <c r="J757" s="165"/>
      <c r="K757" s="142"/>
    </row>
    <row r="758" spans="1:11">
      <c r="A758" s="121" t="s">
        <v>72</v>
      </c>
      <c r="B758" s="126" t="s">
        <v>47</v>
      </c>
      <c r="C758" s="32">
        <f>+C736</f>
        <v>9800</v>
      </c>
      <c r="D758" s="31"/>
      <c r="E758" s="32">
        <f t="shared" ref="E758:E768" si="413">+D736</f>
        <v>1043000</v>
      </c>
      <c r="F758" s="32"/>
      <c r="G758" s="32"/>
      <c r="H758" s="55">
        <f t="shared" ref="H758:H768" si="414">+F736</f>
        <v>82500</v>
      </c>
      <c r="I758" s="32">
        <f t="shared" ref="I758:I768" si="415">+E736</f>
        <v>975940</v>
      </c>
      <c r="J758" s="30">
        <f t="shared" ref="J758:J759" si="416">+SUM(C758:G758)-(H758+I758)</f>
        <v>-5640</v>
      </c>
      <c r="K758" s="143" t="b">
        <f t="shared" ref="K758:K768" si="417">J758=I736</f>
        <v>1</v>
      </c>
    </row>
    <row r="759" spans="1:11">
      <c r="A759" s="121" t="str">
        <f>+A758</f>
        <v>JUILLET</v>
      </c>
      <c r="B759" s="126" t="s">
        <v>31</v>
      </c>
      <c r="C759" s="32">
        <f>+C737</f>
        <v>2295</v>
      </c>
      <c r="D759" s="31"/>
      <c r="E759" s="32">
        <f t="shared" si="413"/>
        <v>242500</v>
      </c>
      <c r="F759" s="32"/>
      <c r="G759" s="32"/>
      <c r="H759" s="55">
        <f t="shared" si="414"/>
        <v>0</v>
      </c>
      <c r="I759" s="32">
        <f t="shared" si="415"/>
        <v>240000</v>
      </c>
      <c r="J759" s="100">
        <f t="shared" si="416"/>
        <v>4795</v>
      </c>
      <c r="K759" s="143" t="b">
        <f t="shared" si="417"/>
        <v>1</v>
      </c>
    </row>
    <row r="760" spans="1:11">
      <c r="A760" s="121" t="str">
        <f t="shared" ref="A760:A764" si="418">+A759</f>
        <v>JUILLET</v>
      </c>
      <c r="B760" s="128" t="s">
        <v>84</v>
      </c>
      <c r="C760" s="119">
        <f>+C738</f>
        <v>233614</v>
      </c>
      <c r="D760" s="122"/>
      <c r="E760" s="119">
        <f t="shared" si="413"/>
        <v>0</v>
      </c>
      <c r="F760" s="136"/>
      <c r="G760" s="136"/>
      <c r="H760" s="154">
        <f t="shared" si="414"/>
        <v>0</v>
      </c>
      <c r="I760" s="119">
        <f t="shared" si="415"/>
        <v>0</v>
      </c>
      <c r="J760" s="120">
        <f>+SUM(C760:G760)-(H760+I760)</f>
        <v>233614</v>
      </c>
      <c r="K760" s="143" t="b">
        <f t="shared" si="417"/>
        <v>1</v>
      </c>
    </row>
    <row r="761" spans="1:11">
      <c r="A761" s="121" t="str">
        <f t="shared" si="418"/>
        <v>JUILLET</v>
      </c>
      <c r="B761" s="128" t="s">
        <v>83</v>
      </c>
      <c r="C761" s="119">
        <f>+C739</f>
        <v>249769</v>
      </c>
      <c r="D761" s="122"/>
      <c r="E761" s="119">
        <f t="shared" si="413"/>
        <v>0</v>
      </c>
      <c r="F761" s="136"/>
      <c r="G761" s="136"/>
      <c r="H761" s="154">
        <f t="shared" si="414"/>
        <v>0</v>
      </c>
      <c r="I761" s="119">
        <f t="shared" si="415"/>
        <v>0</v>
      </c>
      <c r="J761" s="120">
        <f t="shared" ref="J761:J768" si="419">+SUM(C761:G761)-(H761+I761)</f>
        <v>249769</v>
      </c>
      <c r="K761" s="143" t="b">
        <f t="shared" si="417"/>
        <v>1</v>
      </c>
    </row>
    <row r="762" spans="1:11">
      <c r="A762" s="121" t="str">
        <f t="shared" si="418"/>
        <v>JUILLET</v>
      </c>
      <c r="B762" s="126" t="s">
        <v>143</v>
      </c>
      <c r="C762" s="32">
        <f>+C740</f>
        <v>28600</v>
      </c>
      <c r="D762" s="31"/>
      <c r="E762" s="32">
        <f t="shared" si="413"/>
        <v>389000</v>
      </c>
      <c r="F762" s="32"/>
      <c r="G762" s="103"/>
      <c r="H762" s="55">
        <f t="shared" si="414"/>
        <v>311000</v>
      </c>
      <c r="I762" s="32">
        <f t="shared" si="415"/>
        <v>87785</v>
      </c>
      <c r="J762" s="30">
        <f t="shared" si="419"/>
        <v>18815</v>
      </c>
      <c r="K762" s="143" t="b">
        <f t="shared" si="417"/>
        <v>1</v>
      </c>
    </row>
    <row r="763" spans="1:11">
      <c r="A763" s="121" t="str">
        <f t="shared" si="418"/>
        <v>JUILLET</v>
      </c>
      <c r="B763" s="126" t="s">
        <v>197</v>
      </c>
      <c r="C763" s="32">
        <f t="shared" ref="C763:C768" si="420">+C741</f>
        <v>18000</v>
      </c>
      <c r="D763" s="31"/>
      <c r="E763" s="32">
        <f t="shared" si="413"/>
        <v>354000</v>
      </c>
      <c r="F763" s="32"/>
      <c r="G763" s="103"/>
      <c r="H763" s="55">
        <f t="shared" si="414"/>
        <v>0</v>
      </c>
      <c r="I763" s="32">
        <f t="shared" si="415"/>
        <v>335500</v>
      </c>
      <c r="J763" s="30">
        <f t="shared" si="419"/>
        <v>36500</v>
      </c>
      <c r="K763" s="143" t="b">
        <f t="shared" si="417"/>
        <v>1</v>
      </c>
    </row>
    <row r="764" spans="1:11">
      <c r="A764" s="121" t="str">
        <f t="shared" si="418"/>
        <v>JUILLET</v>
      </c>
      <c r="B764" s="126" t="s">
        <v>30</v>
      </c>
      <c r="C764" s="32">
        <f t="shared" si="420"/>
        <v>262050</v>
      </c>
      <c r="D764" s="31"/>
      <c r="E764" s="32">
        <f t="shared" si="413"/>
        <v>602000</v>
      </c>
      <c r="F764" s="32"/>
      <c r="G764" s="103"/>
      <c r="H764" s="55">
        <f t="shared" si="414"/>
        <v>0</v>
      </c>
      <c r="I764" s="32">
        <f t="shared" si="415"/>
        <v>784500</v>
      </c>
      <c r="J764" s="30">
        <f t="shared" si="419"/>
        <v>79550</v>
      </c>
      <c r="K764" s="143" t="b">
        <f t="shared" si="417"/>
        <v>1</v>
      </c>
    </row>
    <row r="765" spans="1:11">
      <c r="A765" s="121" t="str">
        <f>+A763</f>
        <v>JUILLET</v>
      </c>
      <c r="B765" s="126" t="s">
        <v>93</v>
      </c>
      <c r="C765" s="32">
        <f t="shared" si="420"/>
        <v>11900</v>
      </c>
      <c r="D765" s="31"/>
      <c r="E765" s="32">
        <f t="shared" si="413"/>
        <v>96000</v>
      </c>
      <c r="F765" s="32"/>
      <c r="G765" s="103"/>
      <c r="H765" s="55">
        <f t="shared" si="414"/>
        <v>30000</v>
      </c>
      <c r="I765" s="32">
        <f t="shared" si="415"/>
        <v>72000</v>
      </c>
      <c r="J765" s="30">
        <f t="shared" si="419"/>
        <v>5900</v>
      </c>
      <c r="K765" s="143" t="b">
        <f t="shared" si="417"/>
        <v>1</v>
      </c>
    </row>
    <row r="766" spans="1:11">
      <c r="A766" s="121" t="str">
        <f>+A764</f>
        <v>JUILLET</v>
      </c>
      <c r="B766" s="126" t="s">
        <v>29</v>
      </c>
      <c r="C766" s="32">
        <f t="shared" si="420"/>
        <v>221050</v>
      </c>
      <c r="D766" s="31"/>
      <c r="E766" s="32">
        <f t="shared" si="413"/>
        <v>608500</v>
      </c>
      <c r="F766" s="32"/>
      <c r="G766" s="103"/>
      <c r="H766" s="55">
        <f t="shared" si="414"/>
        <v>0</v>
      </c>
      <c r="I766" s="32">
        <f t="shared" si="415"/>
        <v>799700</v>
      </c>
      <c r="J766" s="30">
        <f t="shared" si="419"/>
        <v>29850</v>
      </c>
      <c r="K766" s="143" t="b">
        <f t="shared" si="417"/>
        <v>1</v>
      </c>
    </row>
    <row r="767" spans="1:11">
      <c r="A767" s="121" t="str">
        <f>+A765</f>
        <v>JUILLET</v>
      </c>
      <c r="B767" s="127" t="s">
        <v>113</v>
      </c>
      <c r="C767" s="32">
        <f t="shared" si="420"/>
        <v>-3959</v>
      </c>
      <c r="D767" s="118"/>
      <c r="E767" s="32">
        <f t="shared" si="413"/>
        <v>1340000</v>
      </c>
      <c r="F767" s="51"/>
      <c r="G767" s="137"/>
      <c r="H767" s="55">
        <f t="shared" si="414"/>
        <v>200000</v>
      </c>
      <c r="I767" s="32">
        <f t="shared" si="415"/>
        <v>12500</v>
      </c>
      <c r="J767" s="30">
        <f t="shared" si="419"/>
        <v>1123541</v>
      </c>
      <c r="K767" s="143" t="b">
        <f t="shared" si="417"/>
        <v>1</v>
      </c>
    </row>
    <row r="768" spans="1:11">
      <c r="A768" s="121" t="str">
        <f>+A766</f>
        <v>JUILLET</v>
      </c>
      <c r="B768" s="127" t="s">
        <v>212</v>
      </c>
      <c r="C768" s="32">
        <f t="shared" si="420"/>
        <v>95000</v>
      </c>
      <c r="D768" s="118"/>
      <c r="E768" s="32">
        <f t="shared" si="413"/>
        <v>248500</v>
      </c>
      <c r="F768" s="51"/>
      <c r="G768" s="137"/>
      <c r="H768" s="55">
        <f t="shared" si="414"/>
        <v>60000</v>
      </c>
      <c r="I768" s="32">
        <f t="shared" si="415"/>
        <v>283500</v>
      </c>
      <c r="J768" s="30">
        <f t="shared" si="419"/>
        <v>0</v>
      </c>
      <c r="K768" s="143" t="b">
        <f t="shared" si="417"/>
        <v>1</v>
      </c>
    </row>
    <row r="769" spans="1:16">
      <c r="A769" s="34" t="s">
        <v>60</v>
      </c>
      <c r="B769" s="35"/>
      <c r="C769" s="35"/>
      <c r="D769" s="35"/>
      <c r="E769" s="35"/>
      <c r="F769" s="35"/>
      <c r="G769" s="35"/>
      <c r="H769" s="35"/>
      <c r="I769" s="35"/>
      <c r="J769" s="36"/>
      <c r="K769" s="142"/>
    </row>
    <row r="770" spans="1:16">
      <c r="A770" s="121" t="str">
        <f>+A768</f>
        <v>JUILLET</v>
      </c>
      <c r="B770" s="37" t="s">
        <v>61</v>
      </c>
      <c r="C770" s="38">
        <f>+C735</f>
        <v>1696326</v>
      </c>
      <c r="D770" s="49"/>
      <c r="E770" s="49">
        <f>D735</f>
        <v>4430000</v>
      </c>
      <c r="F770" s="49"/>
      <c r="G770" s="124"/>
      <c r="H770" s="51">
        <f>+F735</f>
        <v>4570000</v>
      </c>
      <c r="I770" s="125">
        <f>+E735</f>
        <v>1453294</v>
      </c>
      <c r="J770" s="30">
        <f>+SUM(C770:G770)-(H770+I770)</f>
        <v>103032</v>
      </c>
      <c r="K770" s="143" t="b">
        <f>J770=I735</f>
        <v>1</v>
      </c>
    </row>
    <row r="771" spans="1:16">
      <c r="A771" s="43" t="s">
        <v>62</v>
      </c>
      <c r="B771" s="24"/>
      <c r="C771" s="35"/>
      <c r="D771" s="24"/>
      <c r="E771" s="24"/>
      <c r="F771" s="24"/>
      <c r="G771" s="24"/>
      <c r="H771" s="24"/>
      <c r="I771" s="24"/>
      <c r="J771" s="36"/>
      <c r="K771" s="142"/>
    </row>
    <row r="772" spans="1:16">
      <c r="A772" s="121" t="str">
        <f>+A770</f>
        <v>JUILLET</v>
      </c>
      <c r="B772" s="37" t="s">
        <v>156</v>
      </c>
      <c r="C772" s="124">
        <f>+C733</f>
        <v>4291693</v>
      </c>
      <c r="D772" s="131">
        <f>+G733</f>
        <v>0</v>
      </c>
      <c r="E772" s="49"/>
      <c r="F772" s="49"/>
      <c r="G772" s="49"/>
      <c r="H772" s="51">
        <f>+F733</f>
        <v>4100000</v>
      </c>
      <c r="I772" s="53">
        <f>+E733</f>
        <v>23345</v>
      </c>
      <c r="J772" s="30">
        <f>+SUM(C772:G772)-(H772+I772)</f>
        <v>168348</v>
      </c>
      <c r="K772" s="143" t="b">
        <f>+J772=I733</f>
        <v>1</v>
      </c>
    </row>
    <row r="773" spans="1:16">
      <c r="A773" s="121" t="str">
        <f t="shared" ref="A773" si="421">+A772</f>
        <v>JUILLET</v>
      </c>
      <c r="B773" s="37" t="s">
        <v>64</v>
      </c>
      <c r="C773" s="124">
        <f>+C734</f>
        <v>4852627</v>
      </c>
      <c r="D773" s="49">
        <f>+G734</f>
        <v>20402887</v>
      </c>
      <c r="E773" s="48"/>
      <c r="F773" s="48"/>
      <c r="G773" s="48"/>
      <c r="H773" s="32">
        <f>+F734</f>
        <v>0</v>
      </c>
      <c r="I773" s="50">
        <f>+E734</f>
        <v>3777704</v>
      </c>
      <c r="J773" s="30">
        <f>SUM(C773:G773)-(H773+I773)</f>
        <v>21477810</v>
      </c>
      <c r="K773" s="143" t="b">
        <f>+J773=I734</f>
        <v>1</v>
      </c>
    </row>
    <row r="774" spans="1:16" ht="15.75">
      <c r="C774" s="140">
        <f>SUM(C758:C773)</f>
        <v>11968765</v>
      </c>
      <c r="I774" s="139">
        <f>SUM(I758:I773)</f>
        <v>8845768</v>
      </c>
      <c r="J774" s="104">
        <f>+SUM(J758:J773)</f>
        <v>23525884</v>
      </c>
      <c r="K774" s="5" t="b">
        <f>J774=I747</f>
        <v>1</v>
      </c>
    </row>
    <row r="775" spans="1:16" ht="15.75">
      <c r="A775" s="157"/>
      <c r="B775" s="157"/>
      <c r="C775" s="158"/>
      <c r="D775" s="157"/>
      <c r="E775" s="157"/>
      <c r="F775" s="157"/>
      <c r="G775" s="157"/>
      <c r="H775" s="157"/>
      <c r="I775" s="159"/>
      <c r="J775" s="160"/>
      <c r="K775" s="157"/>
      <c r="L775" s="161"/>
      <c r="M775" s="161"/>
      <c r="N775" s="161"/>
      <c r="O775" s="161"/>
      <c r="P775" s="157"/>
    </row>
    <row r="778" spans="1:16" ht="15.75">
      <c r="A778" s="6" t="s">
        <v>36</v>
      </c>
      <c r="B778" s="6" t="s">
        <v>1</v>
      </c>
      <c r="C778" s="6">
        <v>44713</v>
      </c>
      <c r="D778" s="7" t="s">
        <v>37</v>
      </c>
      <c r="E778" s="7" t="s">
        <v>38</v>
      </c>
      <c r="F778" s="7" t="s">
        <v>39</v>
      </c>
      <c r="G778" s="7" t="s">
        <v>40</v>
      </c>
      <c r="H778" s="6">
        <v>44742</v>
      </c>
      <c r="I778" s="7" t="s">
        <v>41</v>
      </c>
      <c r="K778" s="45"/>
      <c r="L778" s="45" t="s">
        <v>42</v>
      </c>
      <c r="M778" s="45" t="s">
        <v>43</v>
      </c>
      <c r="N778" s="45" t="s">
        <v>44</v>
      </c>
      <c r="O778" s="45" t="s">
        <v>45</v>
      </c>
    </row>
    <row r="779" spans="1:16" ht="16.5">
      <c r="A779" s="58" t="str">
        <f>K779</f>
        <v>BCI</v>
      </c>
      <c r="B779" s="59" t="s">
        <v>46</v>
      </c>
      <c r="C779" s="61">
        <v>8575038</v>
      </c>
      <c r="D779" s="61">
        <f>+L779</f>
        <v>0</v>
      </c>
      <c r="E779" s="61">
        <f>+N779</f>
        <v>283345</v>
      </c>
      <c r="F779" s="61">
        <f>+M779</f>
        <v>4000000</v>
      </c>
      <c r="G779" s="61">
        <f t="shared" ref="G779:G789" si="422">+O779</f>
        <v>0</v>
      </c>
      <c r="H779" s="61">
        <v>4291693</v>
      </c>
      <c r="I779" s="61">
        <f>+C779+D779-E779-F779+G779</f>
        <v>4291693</v>
      </c>
      <c r="J779" s="9">
        <f>I779-H779</f>
        <v>0</v>
      </c>
      <c r="K779" s="45" t="s">
        <v>24</v>
      </c>
      <c r="L779" s="47">
        <v>0</v>
      </c>
      <c r="M779" s="47">
        <v>4000000</v>
      </c>
      <c r="N779" s="47">
        <v>283345</v>
      </c>
      <c r="O779" s="47">
        <v>0</v>
      </c>
    </row>
    <row r="780" spans="1:16" ht="16.5">
      <c r="A780" s="58" t="str">
        <f t="shared" ref="A780:A792" si="423">K780</f>
        <v>BCI-Sous Compte</v>
      </c>
      <c r="B780" s="59" t="s">
        <v>46</v>
      </c>
      <c r="C780" s="61">
        <v>12231533</v>
      </c>
      <c r="D780" s="61">
        <f t="shared" ref="D780:D792" si="424">+L780</f>
        <v>0</v>
      </c>
      <c r="E780" s="61">
        <f t="shared" ref="E780:E792" si="425">+N780</f>
        <v>5378906</v>
      </c>
      <c r="F780" s="61">
        <f t="shared" ref="F780:F792" si="426">+M780</f>
        <v>2000000</v>
      </c>
      <c r="G780" s="61">
        <f t="shared" si="422"/>
        <v>0</v>
      </c>
      <c r="H780" s="61">
        <v>4852627</v>
      </c>
      <c r="I780" s="61">
        <f>+C780+D780-E780-F780+G780</f>
        <v>4852627</v>
      </c>
      <c r="J780" s="9">
        <f t="shared" ref="J780:J786" si="427">I780-H780</f>
        <v>0</v>
      </c>
      <c r="K780" s="45" t="s">
        <v>148</v>
      </c>
      <c r="L780" s="47">
        <v>0</v>
      </c>
      <c r="M780" s="47">
        <v>2000000</v>
      </c>
      <c r="N780" s="47">
        <v>5378906</v>
      </c>
      <c r="O780" s="47">
        <v>0</v>
      </c>
    </row>
    <row r="781" spans="1:16" ht="16.5">
      <c r="A781" s="58" t="str">
        <f t="shared" si="423"/>
        <v>Caisse</v>
      </c>
      <c r="B781" s="59" t="s">
        <v>25</v>
      </c>
      <c r="C781" s="61">
        <v>1700406</v>
      </c>
      <c r="D781" s="61">
        <f t="shared" si="424"/>
        <v>6172450</v>
      </c>
      <c r="E781" s="61">
        <f t="shared" si="425"/>
        <v>2587130</v>
      </c>
      <c r="F781" s="61">
        <f t="shared" si="426"/>
        <v>3589400</v>
      </c>
      <c r="G781" s="61">
        <f t="shared" si="422"/>
        <v>0</v>
      </c>
      <c r="H781" s="61">
        <v>1696326</v>
      </c>
      <c r="I781" s="61">
        <f>+C781+D781-E781-F781+G781</f>
        <v>1696326</v>
      </c>
      <c r="J781" s="101">
        <f t="shared" si="427"/>
        <v>0</v>
      </c>
      <c r="K781" s="45" t="s">
        <v>25</v>
      </c>
      <c r="L781" s="47">
        <v>6172450</v>
      </c>
      <c r="M781" s="47">
        <v>3589400</v>
      </c>
      <c r="N781" s="47">
        <v>2587130</v>
      </c>
      <c r="O781" s="47">
        <v>0</v>
      </c>
    </row>
    <row r="782" spans="1:16" ht="16.5">
      <c r="A782" s="58" t="str">
        <f t="shared" si="423"/>
        <v>Crépin</v>
      </c>
      <c r="B782" s="59" t="s">
        <v>154</v>
      </c>
      <c r="C782" s="61">
        <v>15750</v>
      </c>
      <c r="D782" s="61">
        <f t="shared" si="424"/>
        <v>1223400</v>
      </c>
      <c r="E782" s="61">
        <f t="shared" si="425"/>
        <v>1184350</v>
      </c>
      <c r="F782" s="61">
        <f t="shared" si="426"/>
        <v>45000</v>
      </c>
      <c r="G782" s="61">
        <f t="shared" si="422"/>
        <v>0</v>
      </c>
      <c r="H782" s="61">
        <v>9800</v>
      </c>
      <c r="I782" s="61">
        <f>+C782+D782-E782-F782+G782</f>
        <v>9800</v>
      </c>
      <c r="J782" s="9">
        <f t="shared" si="427"/>
        <v>0</v>
      </c>
      <c r="K782" s="45" t="s">
        <v>47</v>
      </c>
      <c r="L782" s="47">
        <v>1223400</v>
      </c>
      <c r="M782" s="47">
        <v>45000</v>
      </c>
      <c r="N782" s="47">
        <v>1184350</v>
      </c>
      <c r="O782" s="47">
        <v>0</v>
      </c>
    </row>
    <row r="783" spans="1:16" ht="16.5">
      <c r="A783" s="58" t="str">
        <f t="shared" si="423"/>
        <v>Evariste</v>
      </c>
      <c r="B783" s="59" t="s">
        <v>155</v>
      </c>
      <c r="C783" s="61">
        <v>8795</v>
      </c>
      <c r="D783" s="61">
        <f t="shared" si="424"/>
        <v>248000</v>
      </c>
      <c r="E783" s="61">
        <f t="shared" si="425"/>
        <v>254500</v>
      </c>
      <c r="F783" s="61">
        <f t="shared" si="426"/>
        <v>0</v>
      </c>
      <c r="G783" s="61">
        <f t="shared" si="422"/>
        <v>0</v>
      </c>
      <c r="H783" s="61">
        <v>2295</v>
      </c>
      <c r="I783" s="61">
        <f t="shared" ref="I783" si="428">+C783+D783-E783-F783+G783</f>
        <v>2295</v>
      </c>
      <c r="J783" s="9">
        <f t="shared" si="427"/>
        <v>0</v>
      </c>
      <c r="K783" s="45" t="s">
        <v>31</v>
      </c>
      <c r="L783" s="47">
        <v>248000</v>
      </c>
      <c r="M783" s="47">
        <v>0</v>
      </c>
      <c r="N783" s="47">
        <v>254500</v>
      </c>
      <c r="O783" s="47">
        <v>0</v>
      </c>
    </row>
    <row r="784" spans="1:16" ht="16.5">
      <c r="A784" s="58" t="str">
        <f t="shared" si="423"/>
        <v>I55S</v>
      </c>
      <c r="B784" s="115" t="s">
        <v>4</v>
      </c>
      <c r="C784" s="117">
        <v>233614</v>
      </c>
      <c r="D784" s="117">
        <f t="shared" si="424"/>
        <v>0</v>
      </c>
      <c r="E784" s="117">
        <f t="shared" si="425"/>
        <v>0</v>
      </c>
      <c r="F784" s="117">
        <f t="shared" si="426"/>
        <v>0</v>
      </c>
      <c r="G784" s="117">
        <f t="shared" si="422"/>
        <v>0</v>
      </c>
      <c r="H784" s="117">
        <v>233614</v>
      </c>
      <c r="I784" s="117">
        <f>+C784+D784-E784-F784+G784</f>
        <v>233614</v>
      </c>
      <c r="J784" s="9">
        <f t="shared" si="427"/>
        <v>0</v>
      </c>
      <c r="K784" s="45" t="s">
        <v>84</v>
      </c>
      <c r="L784" s="47">
        <v>0</v>
      </c>
      <c r="M784" s="47">
        <v>0</v>
      </c>
      <c r="N784" s="47">
        <v>0</v>
      </c>
      <c r="O784" s="47">
        <v>0</v>
      </c>
    </row>
    <row r="785" spans="1:15" ht="16.5">
      <c r="A785" s="58" t="str">
        <f t="shared" si="423"/>
        <v>I73X</v>
      </c>
      <c r="B785" s="115" t="s">
        <v>4</v>
      </c>
      <c r="C785" s="117">
        <v>249769</v>
      </c>
      <c r="D785" s="117">
        <f t="shared" si="424"/>
        <v>0</v>
      </c>
      <c r="E785" s="117">
        <f t="shared" si="425"/>
        <v>0</v>
      </c>
      <c r="F785" s="117">
        <f t="shared" si="426"/>
        <v>0</v>
      </c>
      <c r="G785" s="117">
        <f t="shared" si="422"/>
        <v>0</v>
      </c>
      <c r="H785" s="117">
        <v>249769</v>
      </c>
      <c r="I785" s="117">
        <f t="shared" ref="I785:I788" si="429">+C785+D785-E785-F785+G785</f>
        <v>249769</v>
      </c>
      <c r="J785" s="9">
        <f t="shared" si="427"/>
        <v>0</v>
      </c>
      <c r="K785" s="45" t="s">
        <v>83</v>
      </c>
      <c r="L785" s="47">
        <v>0</v>
      </c>
      <c r="M785" s="47">
        <v>0</v>
      </c>
      <c r="N785" s="47">
        <v>0</v>
      </c>
      <c r="O785" s="47">
        <v>0</v>
      </c>
    </row>
    <row r="786" spans="1:15" ht="16.5">
      <c r="A786" s="58" t="str">
        <f t="shared" si="423"/>
        <v>Grace</v>
      </c>
      <c r="B786" s="97" t="s">
        <v>2</v>
      </c>
      <c r="C786" s="61">
        <v>14700</v>
      </c>
      <c r="D786" s="61">
        <f t="shared" si="424"/>
        <v>994000</v>
      </c>
      <c r="E786" s="61">
        <f t="shared" si="425"/>
        <v>220100</v>
      </c>
      <c r="F786" s="61">
        <f t="shared" si="426"/>
        <v>760000</v>
      </c>
      <c r="G786" s="61">
        <f t="shared" si="422"/>
        <v>0</v>
      </c>
      <c r="H786" s="61">
        <v>28600</v>
      </c>
      <c r="I786" s="61">
        <f t="shared" si="429"/>
        <v>28600</v>
      </c>
      <c r="J786" s="9">
        <f t="shared" si="427"/>
        <v>0</v>
      </c>
      <c r="K786" s="45" t="s">
        <v>143</v>
      </c>
      <c r="L786" s="47">
        <v>994000</v>
      </c>
      <c r="M786" s="47">
        <v>760000</v>
      </c>
      <c r="N786" s="47">
        <v>220100</v>
      </c>
      <c r="O786" s="47">
        <v>0</v>
      </c>
    </row>
    <row r="787" spans="1:15" ht="16.5">
      <c r="A787" s="58" t="str">
        <f t="shared" si="423"/>
        <v>Hurielle</v>
      </c>
      <c r="B787" s="59" t="s">
        <v>154</v>
      </c>
      <c r="C787" s="61">
        <v>46950</v>
      </c>
      <c r="D787" s="61">
        <f t="shared" si="424"/>
        <v>254000</v>
      </c>
      <c r="E787" s="61">
        <f t="shared" si="425"/>
        <v>245500</v>
      </c>
      <c r="F787" s="61">
        <f t="shared" si="426"/>
        <v>37450</v>
      </c>
      <c r="G787" s="61">
        <f t="shared" si="422"/>
        <v>0</v>
      </c>
      <c r="H787" s="61">
        <v>18000</v>
      </c>
      <c r="I787" s="61">
        <f t="shared" si="429"/>
        <v>18000</v>
      </c>
      <c r="J787" s="9">
        <f>I787-H787</f>
        <v>0</v>
      </c>
      <c r="K787" s="45" t="s">
        <v>197</v>
      </c>
      <c r="L787" s="47">
        <v>254000</v>
      </c>
      <c r="M787" s="47">
        <v>37450</v>
      </c>
      <c r="N787" s="47">
        <v>245500</v>
      </c>
      <c r="O787" s="47">
        <v>0</v>
      </c>
    </row>
    <row r="788" spans="1:15" ht="16.5">
      <c r="A788" s="58" t="str">
        <f t="shared" si="423"/>
        <v>I23C</v>
      </c>
      <c r="B788" s="97" t="s">
        <v>4</v>
      </c>
      <c r="C788" s="61">
        <v>112050</v>
      </c>
      <c r="D788" s="61">
        <f t="shared" si="424"/>
        <v>584000</v>
      </c>
      <c r="E788" s="61">
        <f t="shared" si="425"/>
        <v>434000</v>
      </c>
      <c r="F788" s="61">
        <f t="shared" si="426"/>
        <v>0</v>
      </c>
      <c r="G788" s="61">
        <f t="shared" si="422"/>
        <v>0</v>
      </c>
      <c r="H788" s="61">
        <v>262050</v>
      </c>
      <c r="I788" s="61">
        <f t="shared" si="429"/>
        <v>262050</v>
      </c>
      <c r="J788" s="9">
        <f t="shared" ref="J788:J789" si="430">I788-H788</f>
        <v>0</v>
      </c>
      <c r="K788" s="45" t="s">
        <v>30</v>
      </c>
      <c r="L788" s="47">
        <v>584000</v>
      </c>
      <c r="M788" s="47">
        <v>0</v>
      </c>
      <c r="N788" s="47">
        <v>434000</v>
      </c>
      <c r="O788" s="47">
        <v>0</v>
      </c>
    </row>
    <row r="789" spans="1:15" ht="16.5">
      <c r="A789" s="58" t="str">
        <f t="shared" si="423"/>
        <v>Merveille</v>
      </c>
      <c r="B789" s="59" t="s">
        <v>2</v>
      </c>
      <c r="C789" s="61">
        <v>2900</v>
      </c>
      <c r="D789" s="61">
        <f t="shared" si="424"/>
        <v>40000</v>
      </c>
      <c r="E789" s="61">
        <f t="shared" si="425"/>
        <v>31000</v>
      </c>
      <c r="F789" s="61">
        <f t="shared" si="426"/>
        <v>0</v>
      </c>
      <c r="G789" s="61">
        <f t="shared" si="422"/>
        <v>0</v>
      </c>
      <c r="H789" s="61">
        <v>11900</v>
      </c>
      <c r="I789" s="61">
        <f>+C789+D789-E789-F789+G789</f>
        <v>11900</v>
      </c>
      <c r="J789" s="9">
        <f t="shared" si="430"/>
        <v>0</v>
      </c>
      <c r="K789" s="45" t="s">
        <v>93</v>
      </c>
      <c r="L789" s="47">
        <v>40000</v>
      </c>
      <c r="M789" s="47">
        <v>0</v>
      </c>
      <c r="N789" s="47">
        <v>31000</v>
      </c>
      <c r="O789" s="47">
        <v>0</v>
      </c>
    </row>
    <row r="790" spans="1:15" ht="16.5">
      <c r="A790" s="58" t="str">
        <f t="shared" si="423"/>
        <v>P29</v>
      </c>
      <c r="B790" s="59" t="s">
        <v>4</v>
      </c>
      <c r="C790" s="61">
        <v>140700</v>
      </c>
      <c r="D790" s="61">
        <f t="shared" si="424"/>
        <v>638000</v>
      </c>
      <c r="E790" s="61">
        <f t="shared" si="425"/>
        <v>507650</v>
      </c>
      <c r="F790" s="61">
        <f t="shared" si="426"/>
        <v>50000</v>
      </c>
      <c r="G790" s="61">
        <f>+O790</f>
        <v>0</v>
      </c>
      <c r="H790" s="61">
        <v>221050</v>
      </c>
      <c r="I790" s="61">
        <f>+C790+D790-E790-F790+G790</f>
        <v>221050</v>
      </c>
      <c r="J790" s="9">
        <f>I790-H790</f>
        <v>0</v>
      </c>
      <c r="K790" s="45" t="s">
        <v>29</v>
      </c>
      <c r="L790" s="47">
        <v>638000</v>
      </c>
      <c r="M790" s="47">
        <v>50000</v>
      </c>
      <c r="N790" s="47">
        <v>507650</v>
      </c>
      <c r="O790" s="47">
        <v>0</v>
      </c>
    </row>
    <row r="791" spans="1:15" ht="16.5">
      <c r="A791" s="58" t="str">
        <f t="shared" si="423"/>
        <v>Tiffany</v>
      </c>
      <c r="B791" s="59" t="s">
        <v>2</v>
      </c>
      <c r="C791" s="61">
        <v>2241</v>
      </c>
      <c r="D791" s="61">
        <f t="shared" si="424"/>
        <v>0</v>
      </c>
      <c r="E791" s="61">
        <f t="shared" si="425"/>
        <v>6200</v>
      </c>
      <c r="F791" s="61">
        <f t="shared" si="426"/>
        <v>0</v>
      </c>
      <c r="G791" s="61">
        <f t="shared" ref="G791:G792" si="431">+O791</f>
        <v>0</v>
      </c>
      <c r="H791" s="61">
        <v>-3959</v>
      </c>
      <c r="I791" s="61">
        <f t="shared" ref="I791" si="432">+C791+D791-E791-F791+G791</f>
        <v>-3959</v>
      </c>
      <c r="J791" s="9">
        <f t="shared" ref="J791" si="433">I791-H791</f>
        <v>0</v>
      </c>
      <c r="K791" s="45" t="s">
        <v>113</v>
      </c>
      <c r="L791" s="47">
        <v>0</v>
      </c>
      <c r="M791" s="47">
        <v>0</v>
      </c>
      <c r="N791" s="47">
        <v>6200</v>
      </c>
      <c r="O791" s="47">
        <v>0</v>
      </c>
    </row>
    <row r="792" spans="1:15" ht="16.5">
      <c r="A792" s="58" t="str">
        <f t="shared" si="423"/>
        <v>Yan</v>
      </c>
      <c r="B792" s="59" t="s">
        <v>154</v>
      </c>
      <c r="C792" s="61">
        <v>10500</v>
      </c>
      <c r="D792" s="61">
        <f t="shared" si="424"/>
        <v>368000</v>
      </c>
      <c r="E792" s="61">
        <f t="shared" si="425"/>
        <v>243500</v>
      </c>
      <c r="F792" s="61">
        <f t="shared" si="426"/>
        <v>40000</v>
      </c>
      <c r="G792" s="61">
        <f t="shared" si="431"/>
        <v>0</v>
      </c>
      <c r="H792" s="61">
        <v>95000</v>
      </c>
      <c r="I792" s="61">
        <f>+C792+D792-E792-F792+G792</f>
        <v>95000</v>
      </c>
      <c r="J792" s="9">
        <f>I792-H792</f>
        <v>0</v>
      </c>
      <c r="K792" s="45" t="s">
        <v>212</v>
      </c>
      <c r="L792" s="47">
        <v>368000</v>
      </c>
      <c r="M792" s="47">
        <v>40000</v>
      </c>
      <c r="N792" s="47">
        <v>243500</v>
      </c>
      <c r="O792" s="47">
        <v>0</v>
      </c>
    </row>
    <row r="793" spans="1:15" ht="16.5">
      <c r="A793" s="10" t="s">
        <v>50</v>
      </c>
      <c r="B793" s="11"/>
      <c r="C793" s="12">
        <f t="shared" ref="C793:I793" si="434">SUM(C779:C792)</f>
        <v>23344946</v>
      </c>
      <c r="D793" s="57">
        <f t="shared" si="434"/>
        <v>10521850</v>
      </c>
      <c r="E793" s="57">
        <f t="shared" si="434"/>
        <v>11376181</v>
      </c>
      <c r="F793" s="57">
        <f t="shared" si="434"/>
        <v>10521850</v>
      </c>
      <c r="G793" s="57">
        <f t="shared" si="434"/>
        <v>0</v>
      </c>
      <c r="H793" s="57">
        <f t="shared" si="434"/>
        <v>11968765</v>
      </c>
      <c r="I793" s="57">
        <f t="shared" si="434"/>
        <v>11968765</v>
      </c>
      <c r="J793" s="9">
        <f>I793-H793</f>
        <v>0</v>
      </c>
      <c r="K793" s="3"/>
      <c r="L793" s="47">
        <f>+SUM(L779:L792)</f>
        <v>10521850</v>
      </c>
      <c r="M793" s="47">
        <f>+SUM(M779:M792)</f>
        <v>10521850</v>
      </c>
      <c r="N793" s="47">
        <f>+SUM(N779:N792)</f>
        <v>11376181</v>
      </c>
      <c r="O793" s="47">
        <f>+SUM(O779:O791)</f>
        <v>0</v>
      </c>
    </row>
    <row r="794" spans="1:15" ht="16.5">
      <c r="A794" s="10"/>
      <c r="B794" s="11"/>
      <c r="C794" s="12"/>
      <c r="D794" s="13"/>
      <c r="E794" s="12"/>
      <c r="F794" s="13"/>
      <c r="G794" s="12"/>
      <c r="H794" s="12"/>
      <c r="I794" s="133" t="b">
        <f>I793=D796</f>
        <v>1</v>
      </c>
      <c r="L794" s="5"/>
      <c r="M794" s="5"/>
      <c r="N794" s="5"/>
      <c r="O794" s="5"/>
    </row>
    <row r="795" spans="1:15" ht="16.5">
      <c r="A795" s="10" t="s">
        <v>216</v>
      </c>
      <c r="B795" s="11" t="s">
        <v>217</v>
      </c>
      <c r="C795" s="12" t="s">
        <v>218</v>
      </c>
      <c r="D795" s="12" t="s">
        <v>220</v>
      </c>
      <c r="E795" s="12" t="s">
        <v>51</v>
      </c>
      <c r="F795" s="12"/>
      <c r="G795" s="12">
        <f>+D793-F793</f>
        <v>0</v>
      </c>
      <c r="H795" s="12"/>
      <c r="I795" s="12"/>
    </row>
    <row r="796" spans="1:15" ht="16.5">
      <c r="A796" s="14">
        <f>C793</f>
        <v>23344946</v>
      </c>
      <c r="B796" s="15">
        <f>G793</f>
        <v>0</v>
      </c>
      <c r="C796" s="12">
        <f>E793</f>
        <v>11376181</v>
      </c>
      <c r="D796" s="12">
        <f>A796+B796-C796</f>
        <v>11968765</v>
      </c>
      <c r="E796" s="13">
        <f>I793-D796</f>
        <v>0</v>
      </c>
      <c r="F796" s="12"/>
      <c r="G796" s="12"/>
      <c r="H796" s="12"/>
      <c r="I796" s="12"/>
    </row>
    <row r="797" spans="1:15" ht="16.5">
      <c r="A797" s="14"/>
      <c r="B797" s="15"/>
      <c r="C797" s="12"/>
      <c r="D797" s="12"/>
      <c r="E797" s="13"/>
      <c r="F797" s="12"/>
      <c r="G797" s="12"/>
      <c r="H797" s="12"/>
      <c r="I797" s="12"/>
    </row>
    <row r="798" spans="1:15">
      <c r="A798" s="16" t="s">
        <v>52</v>
      </c>
      <c r="B798" s="16"/>
      <c r="C798" s="16"/>
      <c r="D798" s="17"/>
      <c r="E798" s="17"/>
      <c r="F798" s="17"/>
      <c r="G798" s="17"/>
      <c r="H798" s="17"/>
      <c r="I798" s="17"/>
    </row>
    <row r="799" spans="1:15">
      <c r="A799" s="18" t="s">
        <v>219</v>
      </c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5">
      <c r="A800" s="19"/>
      <c r="B800" s="17"/>
      <c r="C800" s="20"/>
      <c r="D800" s="20"/>
      <c r="E800" s="20"/>
      <c r="F800" s="20"/>
      <c r="G800" s="20"/>
      <c r="H800" s="17"/>
      <c r="I800" s="17"/>
    </row>
    <row r="801" spans="1:11">
      <c r="A801" s="166" t="s">
        <v>53</v>
      </c>
      <c r="B801" s="168" t="s">
        <v>54</v>
      </c>
      <c r="C801" s="170" t="s">
        <v>221</v>
      </c>
      <c r="D801" s="171" t="s">
        <v>55</v>
      </c>
      <c r="E801" s="172"/>
      <c r="F801" s="172"/>
      <c r="G801" s="173"/>
      <c r="H801" s="174" t="s">
        <v>56</v>
      </c>
      <c r="I801" s="162" t="s">
        <v>57</v>
      </c>
      <c r="J801" s="17"/>
    </row>
    <row r="802" spans="1:11" ht="25.5">
      <c r="A802" s="167"/>
      <c r="B802" s="169"/>
      <c r="C802" s="22"/>
      <c r="D802" s="21" t="s">
        <v>24</v>
      </c>
      <c r="E802" s="21" t="s">
        <v>25</v>
      </c>
      <c r="F802" s="22" t="s">
        <v>123</v>
      </c>
      <c r="G802" s="21" t="s">
        <v>58</v>
      </c>
      <c r="H802" s="175"/>
      <c r="I802" s="163"/>
      <c r="J802" s="164" t="s">
        <v>222</v>
      </c>
      <c r="K802" s="142"/>
    </row>
    <row r="803" spans="1:11">
      <c r="A803" s="23"/>
      <c r="B803" s="24" t="s">
        <v>59</v>
      </c>
      <c r="C803" s="25"/>
      <c r="D803" s="25"/>
      <c r="E803" s="25"/>
      <c r="F803" s="25"/>
      <c r="G803" s="25"/>
      <c r="H803" s="25"/>
      <c r="I803" s="26"/>
      <c r="J803" s="165"/>
      <c r="K803" s="142"/>
    </row>
    <row r="804" spans="1:11">
      <c r="A804" s="121" t="s">
        <v>135</v>
      </c>
      <c r="B804" s="126" t="s">
        <v>47</v>
      </c>
      <c r="C804" s="32">
        <f>+C782</f>
        <v>15750</v>
      </c>
      <c r="D804" s="31"/>
      <c r="E804" s="32">
        <f t="shared" ref="E804:E812" si="435">+D782</f>
        <v>1223400</v>
      </c>
      <c r="F804" s="32"/>
      <c r="G804" s="32"/>
      <c r="H804" s="55">
        <f t="shared" ref="H804:H812" si="436">+F782</f>
        <v>45000</v>
      </c>
      <c r="I804" s="32">
        <f t="shared" ref="I804:I812" si="437">+E782</f>
        <v>1184350</v>
      </c>
      <c r="J804" s="30">
        <f t="shared" ref="J804:J805" si="438">+SUM(C804:G804)-(H804+I804)</f>
        <v>9800</v>
      </c>
      <c r="K804" s="143" t="b">
        <f t="shared" ref="K804:K814" si="439">J804=I782</f>
        <v>1</v>
      </c>
    </row>
    <row r="805" spans="1:11">
      <c r="A805" s="121" t="str">
        <f>+A804</f>
        <v>JUIN</v>
      </c>
      <c r="B805" s="126" t="s">
        <v>31</v>
      </c>
      <c r="C805" s="32">
        <f>+C783</f>
        <v>8795</v>
      </c>
      <c r="D805" s="31"/>
      <c r="E805" s="32">
        <f t="shared" si="435"/>
        <v>248000</v>
      </c>
      <c r="F805" s="32"/>
      <c r="G805" s="32"/>
      <c r="H805" s="55">
        <f t="shared" si="436"/>
        <v>0</v>
      </c>
      <c r="I805" s="32">
        <f t="shared" si="437"/>
        <v>254500</v>
      </c>
      <c r="J805" s="100">
        <f t="shared" si="438"/>
        <v>2295</v>
      </c>
      <c r="K805" s="143" t="b">
        <f t="shared" si="439"/>
        <v>1</v>
      </c>
    </row>
    <row r="806" spans="1:11">
      <c r="A806" s="121" t="str">
        <f t="shared" ref="A806:A807" si="440">+A805</f>
        <v>JUIN</v>
      </c>
      <c r="B806" s="128" t="s">
        <v>84</v>
      </c>
      <c r="C806" s="119">
        <f>+C784</f>
        <v>233614</v>
      </c>
      <c r="D806" s="122"/>
      <c r="E806" s="119">
        <f t="shared" si="435"/>
        <v>0</v>
      </c>
      <c r="F806" s="136"/>
      <c r="G806" s="136"/>
      <c r="H806" s="154">
        <f t="shared" si="436"/>
        <v>0</v>
      </c>
      <c r="I806" s="119">
        <f t="shared" si="437"/>
        <v>0</v>
      </c>
      <c r="J806" s="120">
        <f>+SUM(C806:G806)-(H806+I806)</f>
        <v>233614</v>
      </c>
      <c r="K806" s="143" t="b">
        <f t="shared" si="439"/>
        <v>1</v>
      </c>
    </row>
    <row r="807" spans="1:11">
      <c r="A807" s="121" t="str">
        <f t="shared" si="440"/>
        <v>JUIN</v>
      </c>
      <c r="B807" s="128" t="s">
        <v>83</v>
      </c>
      <c r="C807" s="119">
        <f>+C785</f>
        <v>249769</v>
      </c>
      <c r="D807" s="122"/>
      <c r="E807" s="119">
        <f t="shared" si="435"/>
        <v>0</v>
      </c>
      <c r="F807" s="136"/>
      <c r="G807" s="136"/>
      <c r="H807" s="154">
        <f t="shared" si="436"/>
        <v>0</v>
      </c>
      <c r="I807" s="119">
        <f t="shared" si="437"/>
        <v>0</v>
      </c>
      <c r="J807" s="120">
        <f t="shared" ref="J807:J814" si="441">+SUM(C807:G807)-(H807+I807)</f>
        <v>249769</v>
      </c>
      <c r="K807" s="143" t="b">
        <f t="shared" si="439"/>
        <v>1</v>
      </c>
    </row>
    <row r="808" spans="1:11">
      <c r="A808" s="121" t="str">
        <f t="shared" ref="A808:A810" si="442">+A807</f>
        <v>JUIN</v>
      </c>
      <c r="B808" s="126" t="s">
        <v>143</v>
      </c>
      <c r="C808" s="32">
        <f>+C786</f>
        <v>14700</v>
      </c>
      <c r="D808" s="31"/>
      <c r="E808" s="32">
        <f t="shared" si="435"/>
        <v>994000</v>
      </c>
      <c r="F808" s="32"/>
      <c r="G808" s="103"/>
      <c r="H808" s="55">
        <f t="shared" si="436"/>
        <v>760000</v>
      </c>
      <c r="I808" s="32">
        <f t="shared" si="437"/>
        <v>220100</v>
      </c>
      <c r="J808" s="30">
        <f t="shared" si="441"/>
        <v>28600</v>
      </c>
      <c r="K808" s="143" t="b">
        <f t="shared" si="439"/>
        <v>1</v>
      </c>
    </row>
    <row r="809" spans="1:11">
      <c r="A809" s="121" t="str">
        <f t="shared" si="442"/>
        <v>JUIN</v>
      </c>
      <c r="B809" s="126" t="s">
        <v>197</v>
      </c>
      <c r="C809" s="32">
        <f t="shared" ref="C809:C812" si="443">+C787</f>
        <v>46950</v>
      </c>
      <c r="D809" s="31"/>
      <c r="E809" s="32">
        <f t="shared" si="435"/>
        <v>254000</v>
      </c>
      <c r="F809" s="32"/>
      <c r="G809" s="103"/>
      <c r="H809" s="55">
        <f t="shared" si="436"/>
        <v>37450</v>
      </c>
      <c r="I809" s="32">
        <f t="shared" si="437"/>
        <v>245500</v>
      </c>
      <c r="J809" s="30">
        <f t="shared" si="441"/>
        <v>18000</v>
      </c>
      <c r="K809" s="143" t="b">
        <f t="shared" si="439"/>
        <v>1</v>
      </c>
    </row>
    <row r="810" spans="1:11">
      <c r="A810" s="121" t="str">
        <f t="shared" si="442"/>
        <v>JUIN</v>
      </c>
      <c r="B810" s="126" t="s">
        <v>30</v>
      </c>
      <c r="C810" s="32">
        <f t="shared" si="443"/>
        <v>112050</v>
      </c>
      <c r="D810" s="31"/>
      <c r="E810" s="32">
        <f t="shared" si="435"/>
        <v>584000</v>
      </c>
      <c r="F810" s="32"/>
      <c r="G810" s="103"/>
      <c r="H810" s="55">
        <f t="shared" si="436"/>
        <v>0</v>
      </c>
      <c r="I810" s="32">
        <f t="shared" si="437"/>
        <v>434000</v>
      </c>
      <c r="J810" s="30">
        <f t="shared" si="441"/>
        <v>262050</v>
      </c>
      <c r="K810" s="143" t="b">
        <f t="shared" si="439"/>
        <v>1</v>
      </c>
    </row>
    <row r="811" spans="1:11">
      <c r="A811" s="121" t="str">
        <f>+A809</f>
        <v>JUIN</v>
      </c>
      <c r="B811" s="126" t="s">
        <v>93</v>
      </c>
      <c r="C811" s="32">
        <f t="shared" si="443"/>
        <v>2900</v>
      </c>
      <c r="D811" s="31"/>
      <c r="E811" s="32">
        <f t="shared" si="435"/>
        <v>40000</v>
      </c>
      <c r="F811" s="32"/>
      <c r="G811" s="103"/>
      <c r="H811" s="55">
        <f t="shared" si="436"/>
        <v>0</v>
      </c>
      <c r="I811" s="32">
        <f t="shared" si="437"/>
        <v>31000</v>
      </c>
      <c r="J811" s="30">
        <f t="shared" si="441"/>
        <v>11900</v>
      </c>
      <c r="K811" s="143" t="b">
        <f t="shared" si="439"/>
        <v>1</v>
      </c>
    </row>
    <row r="812" spans="1:11">
      <c r="A812" s="121" t="str">
        <f>+A810</f>
        <v>JUIN</v>
      </c>
      <c r="B812" s="126" t="s">
        <v>29</v>
      </c>
      <c r="C812" s="32">
        <f t="shared" si="443"/>
        <v>140700</v>
      </c>
      <c r="D812" s="31"/>
      <c r="E812" s="32">
        <f t="shared" si="435"/>
        <v>638000</v>
      </c>
      <c r="F812" s="32"/>
      <c r="G812" s="103"/>
      <c r="H812" s="55">
        <f t="shared" si="436"/>
        <v>50000</v>
      </c>
      <c r="I812" s="32">
        <f t="shared" si="437"/>
        <v>507650</v>
      </c>
      <c r="J812" s="30">
        <f t="shared" si="441"/>
        <v>221050</v>
      </c>
      <c r="K812" s="143" t="b">
        <f t="shared" si="439"/>
        <v>1</v>
      </c>
    </row>
    <row r="813" spans="1:11">
      <c r="A813" s="121" t="str">
        <f>+A811</f>
        <v>JUIN</v>
      </c>
      <c r="B813" s="127" t="s">
        <v>113</v>
      </c>
      <c r="C813" s="32">
        <f t="shared" ref="C813:C814" si="444">+C791</f>
        <v>2241</v>
      </c>
      <c r="D813" s="118"/>
      <c r="E813" s="32">
        <f t="shared" ref="E813:E814" si="445">+D791</f>
        <v>0</v>
      </c>
      <c r="F813" s="51"/>
      <c r="G813" s="137"/>
      <c r="H813" s="55">
        <f t="shared" ref="H813:H814" si="446">+F791</f>
        <v>0</v>
      </c>
      <c r="I813" s="32">
        <f t="shared" ref="I813:I814" si="447">+E791</f>
        <v>6200</v>
      </c>
      <c r="J813" s="30">
        <f t="shared" si="441"/>
        <v>-3959</v>
      </c>
      <c r="K813" s="143" t="b">
        <f t="shared" si="439"/>
        <v>1</v>
      </c>
    </row>
    <row r="814" spans="1:11">
      <c r="A814" s="121" t="str">
        <f>+A812</f>
        <v>JUIN</v>
      </c>
      <c r="B814" s="127" t="s">
        <v>212</v>
      </c>
      <c r="C814" s="32">
        <f t="shared" si="444"/>
        <v>10500</v>
      </c>
      <c r="D814" s="118"/>
      <c r="E814" s="32">
        <f t="shared" si="445"/>
        <v>368000</v>
      </c>
      <c r="F814" s="51"/>
      <c r="G814" s="137"/>
      <c r="H814" s="55">
        <f t="shared" si="446"/>
        <v>40000</v>
      </c>
      <c r="I814" s="32">
        <f t="shared" si="447"/>
        <v>243500</v>
      </c>
      <c r="J814" s="30">
        <f t="shared" si="441"/>
        <v>95000</v>
      </c>
      <c r="K814" s="143" t="b">
        <f t="shared" si="439"/>
        <v>1</v>
      </c>
    </row>
    <row r="815" spans="1:11">
      <c r="A815" s="34" t="s">
        <v>60</v>
      </c>
      <c r="B815" s="35"/>
      <c r="C815" s="35"/>
      <c r="D815" s="35"/>
      <c r="E815" s="35"/>
      <c r="F815" s="35"/>
      <c r="G815" s="35"/>
      <c r="H815" s="35"/>
      <c r="I815" s="35"/>
      <c r="J815" s="36"/>
      <c r="K815" s="142"/>
    </row>
    <row r="816" spans="1:11">
      <c r="A816" s="121" t="str">
        <f>+A814</f>
        <v>JUIN</v>
      </c>
      <c r="B816" s="37" t="s">
        <v>61</v>
      </c>
      <c r="C816" s="38">
        <f>+C781</f>
        <v>1700406</v>
      </c>
      <c r="D816" s="49"/>
      <c r="E816" s="49">
        <f>D781</f>
        <v>6172450</v>
      </c>
      <c r="F816" s="49"/>
      <c r="G816" s="124"/>
      <c r="H816" s="51">
        <f>+F781</f>
        <v>3589400</v>
      </c>
      <c r="I816" s="125">
        <f>+E781</f>
        <v>2587130</v>
      </c>
      <c r="J816" s="30">
        <f>+SUM(C816:G816)-(H816+I816)</f>
        <v>1696326</v>
      </c>
      <c r="K816" s="143" t="b">
        <f>J816=I781</f>
        <v>1</v>
      </c>
    </row>
    <row r="817" spans="1:16">
      <c r="A817" s="43" t="s">
        <v>62</v>
      </c>
      <c r="B817" s="24"/>
      <c r="C817" s="35"/>
      <c r="D817" s="24"/>
      <c r="E817" s="24"/>
      <c r="F817" s="24"/>
      <c r="G817" s="24"/>
      <c r="H817" s="24"/>
      <c r="I817" s="24"/>
      <c r="J817" s="36"/>
      <c r="K817" s="142"/>
    </row>
    <row r="818" spans="1:16">
      <c r="A818" s="121" t="str">
        <f>+A816</f>
        <v>JUIN</v>
      </c>
      <c r="B818" s="37" t="s">
        <v>156</v>
      </c>
      <c r="C818" s="124">
        <f>+C779</f>
        <v>8575038</v>
      </c>
      <c r="D818" s="131">
        <f>+G779</f>
        <v>0</v>
      </c>
      <c r="E818" s="49"/>
      <c r="F818" s="49"/>
      <c r="G818" s="49"/>
      <c r="H818" s="51">
        <f>+F779</f>
        <v>4000000</v>
      </c>
      <c r="I818" s="53">
        <f>+E779</f>
        <v>283345</v>
      </c>
      <c r="J818" s="30">
        <f>+SUM(C818:G818)-(H818+I818)</f>
        <v>4291693</v>
      </c>
      <c r="K818" s="143" t="b">
        <f>+J818=I779</f>
        <v>1</v>
      </c>
    </row>
    <row r="819" spans="1:16">
      <c r="A819" s="121" t="str">
        <f t="shared" ref="A819" si="448">+A818</f>
        <v>JUIN</v>
      </c>
      <c r="B819" s="37" t="s">
        <v>64</v>
      </c>
      <c r="C819" s="124">
        <f>+C780</f>
        <v>12231533</v>
      </c>
      <c r="D819" s="49">
        <f>+G780</f>
        <v>0</v>
      </c>
      <c r="E819" s="48"/>
      <c r="F819" s="48"/>
      <c r="G819" s="48"/>
      <c r="H819" s="32">
        <f>+F780</f>
        <v>2000000</v>
      </c>
      <c r="I819" s="50">
        <f>+E780</f>
        <v>5378906</v>
      </c>
      <c r="J819" s="30">
        <f>SUM(C819:G819)-(H819+I819)</f>
        <v>4852627</v>
      </c>
      <c r="K819" s="143" t="b">
        <f>+J819=I780</f>
        <v>1</v>
      </c>
    </row>
    <row r="820" spans="1:16" ht="15.75">
      <c r="C820" s="140">
        <f>SUM(C804:C819)</f>
        <v>23344946</v>
      </c>
      <c r="I820" s="139">
        <f>SUM(I804:I819)</f>
        <v>11376181</v>
      </c>
      <c r="J820" s="104">
        <f>+SUM(J804:J819)</f>
        <v>11968765</v>
      </c>
      <c r="K820" s="5" t="b">
        <f>J820=I793</f>
        <v>1</v>
      </c>
    </row>
    <row r="821" spans="1:16" ht="15.75">
      <c r="A821" s="157"/>
      <c r="B821" s="157"/>
      <c r="C821" s="158"/>
      <c r="D821" s="157"/>
      <c r="E821" s="157"/>
      <c r="F821" s="157"/>
      <c r="G821" s="157"/>
      <c r="H821" s="157"/>
      <c r="I821" s="159"/>
      <c r="J821" s="160"/>
      <c r="K821" s="157"/>
      <c r="L821" s="161"/>
      <c r="M821" s="161"/>
      <c r="N821" s="161"/>
      <c r="O821" s="161"/>
      <c r="P821" s="157"/>
    </row>
    <row r="823" spans="1:16" ht="15.75">
      <c r="A823" s="6" t="s">
        <v>36</v>
      </c>
      <c r="B823" s="6" t="s">
        <v>1</v>
      </c>
      <c r="C823" s="6">
        <v>44682</v>
      </c>
      <c r="D823" s="7" t="s">
        <v>37</v>
      </c>
      <c r="E823" s="7" t="s">
        <v>38</v>
      </c>
      <c r="F823" s="7" t="s">
        <v>39</v>
      </c>
      <c r="G823" s="7" t="s">
        <v>40</v>
      </c>
      <c r="H823" s="6">
        <v>44712</v>
      </c>
      <c r="I823" s="7" t="s">
        <v>41</v>
      </c>
      <c r="K823" s="45"/>
      <c r="L823" s="45" t="s">
        <v>42</v>
      </c>
      <c r="M823" s="45" t="s">
        <v>43</v>
      </c>
      <c r="N823" s="45" t="s">
        <v>44</v>
      </c>
      <c r="O823" s="45" t="s">
        <v>45</v>
      </c>
    </row>
    <row r="824" spans="1:16" ht="16.5">
      <c r="A824" s="58" t="str">
        <f>K824</f>
        <v>BCI</v>
      </c>
      <c r="B824" s="59" t="s">
        <v>46</v>
      </c>
      <c r="C824" s="61">
        <v>4154435</v>
      </c>
      <c r="D824" s="61">
        <f>+L824</f>
        <v>0</v>
      </c>
      <c r="E824" s="61">
        <f>+N824</f>
        <v>543345</v>
      </c>
      <c r="F824" s="61">
        <f>+M824</f>
        <v>7000000</v>
      </c>
      <c r="G824" s="61">
        <f t="shared" ref="G824:G835" si="449">+O824</f>
        <v>11963948</v>
      </c>
      <c r="H824" s="61">
        <v>8575038</v>
      </c>
      <c r="I824" s="61">
        <f>+C824+D824-E824-F824+G824</f>
        <v>8575038</v>
      </c>
      <c r="J824" s="9">
        <f>I824-H824</f>
        <v>0</v>
      </c>
      <c r="K824" s="45" t="s">
        <v>24</v>
      </c>
      <c r="L824" s="47">
        <v>0</v>
      </c>
      <c r="M824" s="47">
        <v>7000000</v>
      </c>
      <c r="N824" s="47">
        <v>543345</v>
      </c>
      <c r="O824" s="47">
        <v>11963948</v>
      </c>
    </row>
    <row r="825" spans="1:16" ht="16.5">
      <c r="A825" s="58" t="str">
        <f t="shared" ref="A825:A838" si="450">K825</f>
        <v>BCI-Sous Compte</v>
      </c>
      <c r="B825" s="59" t="s">
        <v>46</v>
      </c>
      <c r="C825" s="61">
        <v>16450956</v>
      </c>
      <c r="D825" s="61">
        <f t="shared" ref="D825:D838" si="451">+L825</f>
        <v>0</v>
      </c>
      <c r="E825" s="61">
        <f t="shared" ref="E825:E838" si="452">+N825</f>
        <v>4219423</v>
      </c>
      <c r="F825" s="61">
        <f t="shared" ref="F825:F838" si="453">+M825</f>
        <v>0</v>
      </c>
      <c r="G825" s="61">
        <f t="shared" si="449"/>
        <v>0</v>
      </c>
      <c r="H825" s="61">
        <v>12231533</v>
      </c>
      <c r="I825" s="61">
        <f>+C825+D825-E825-F825+G825</f>
        <v>12231533</v>
      </c>
      <c r="J825" s="9">
        <f t="shared" ref="J825:J832" si="454">I825-H825</f>
        <v>0</v>
      </c>
      <c r="K825" s="45" t="s">
        <v>148</v>
      </c>
      <c r="L825" s="47">
        <v>0</v>
      </c>
      <c r="M825" s="47">
        <v>0</v>
      </c>
      <c r="N825" s="47">
        <v>4219423</v>
      </c>
      <c r="O825" s="47">
        <v>0</v>
      </c>
    </row>
    <row r="826" spans="1:16" ht="16.5">
      <c r="A826" s="58" t="str">
        <f t="shared" si="450"/>
        <v>Caisse</v>
      </c>
      <c r="B826" s="59" t="s">
        <v>25</v>
      </c>
      <c r="C826" s="61">
        <v>963113</v>
      </c>
      <c r="D826" s="61">
        <f t="shared" si="451"/>
        <v>7684335</v>
      </c>
      <c r="E826" s="61">
        <f t="shared" si="452"/>
        <v>2033042</v>
      </c>
      <c r="F826" s="61">
        <f t="shared" si="453"/>
        <v>4914000</v>
      </c>
      <c r="G826" s="61">
        <f t="shared" si="449"/>
        <v>0</v>
      </c>
      <c r="H826" s="61">
        <v>1700406</v>
      </c>
      <c r="I826" s="61">
        <f>+C826+D826-E826-F826+G826</f>
        <v>1700406</v>
      </c>
      <c r="J826" s="101">
        <f t="shared" si="454"/>
        <v>0</v>
      </c>
      <c r="K826" s="45" t="s">
        <v>25</v>
      </c>
      <c r="L826" s="47">
        <v>7684335</v>
      </c>
      <c r="M826" s="47">
        <v>4914000</v>
      </c>
      <c r="N826" s="47">
        <v>2033042</v>
      </c>
      <c r="O826" s="47">
        <v>0</v>
      </c>
    </row>
    <row r="827" spans="1:16" ht="16.5">
      <c r="A827" s="58" t="str">
        <f t="shared" si="450"/>
        <v>Crépin</v>
      </c>
      <c r="B827" s="59" t="s">
        <v>154</v>
      </c>
      <c r="C827" s="61">
        <v>21850</v>
      </c>
      <c r="D827" s="61">
        <f t="shared" si="451"/>
        <v>1282000</v>
      </c>
      <c r="E827" s="61">
        <f t="shared" si="452"/>
        <v>1288100</v>
      </c>
      <c r="F827" s="61">
        <f t="shared" si="453"/>
        <v>0</v>
      </c>
      <c r="G827" s="61">
        <f t="shared" si="449"/>
        <v>0</v>
      </c>
      <c r="H827" s="61">
        <v>15750</v>
      </c>
      <c r="I827" s="61">
        <f>+C827+D827-E827-F827+G827</f>
        <v>15750</v>
      </c>
      <c r="J827" s="9">
        <f t="shared" si="454"/>
        <v>0</v>
      </c>
      <c r="K827" s="45" t="s">
        <v>47</v>
      </c>
      <c r="L827" s="47">
        <v>1282000</v>
      </c>
      <c r="M827" s="47">
        <v>0</v>
      </c>
      <c r="N827" s="47">
        <v>1288100</v>
      </c>
      <c r="O827" s="47">
        <v>0</v>
      </c>
    </row>
    <row r="828" spans="1:16" ht="16.5">
      <c r="A828" s="58" t="str">
        <f t="shared" si="450"/>
        <v>Evariste</v>
      </c>
      <c r="B828" s="59" t="s">
        <v>155</v>
      </c>
      <c r="C828" s="61">
        <v>7995</v>
      </c>
      <c r="D828" s="61">
        <f t="shared" si="451"/>
        <v>262000</v>
      </c>
      <c r="E828" s="61">
        <f t="shared" si="452"/>
        <v>261200</v>
      </c>
      <c r="F828" s="61">
        <f t="shared" si="453"/>
        <v>0</v>
      </c>
      <c r="G828" s="61">
        <f t="shared" si="449"/>
        <v>0</v>
      </c>
      <c r="H828" s="61">
        <v>8795</v>
      </c>
      <c r="I828" s="61">
        <f t="shared" ref="I828" si="455">+C828+D828-E828-F828+G828</f>
        <v>8795</v>
      </c>
      <c r="J828" s="9">
        <f t="shared" si="454"/>
        <v>0</v>
      </c>
      <c r="K828" s="45" t="s">
        <v>31</v>
      </c>
      <c r="L828" s="47">
        <v>262000</v>
      </c>
      <c r="M828" s="47">
        <v>0</v>
      </c>
      <c r="N828" s="47">
        <v>261200</v>
      </c>
      <c r="O828" s="47">
        <v>0</v>
      </c>
    </row>
    <row r="829" spans="1:16" ht="16.5">
      <c r="A829" s="58" t="str">
        <f t="shared" si="450"/>
        <v>Godfré</v>
      </c>
      <c r="B829" s="59" t="s">
        <v>154</v>
      </c>
      <c r="C829" s="61">
        <v>156335</v>
      </c>
      <c r="D829" s="61">
        <f t="shared" si="451"/>
        <v>307000</v>
      </c>
      <c r="E829" s="61">
        <f t="shared" si="452"/>
        <v>308500</v>
      </c>
      <c r="F829" s="61">
        <f t="shared" si="453"/>
        <v>154835</v>
      </c>
      <c r="G829" s="61">
        <f t="shared" si="449"/>
        <v>0</v>
      </c>
      <c r="H829" s="61">
        <v>0</v>
      </c>
      <c r="I829" s="61">
        <f>+C829+D829-E829-F829+G829</f>
        <v>0</v>
      </c>
      <c r="J829" s="9">
        <f t="shared" si="454"/>
        <v>0</v>
      </c>
      <c r="K829" s="45" t="s">
        <v>144</v>
      </c>
      <c r="L829" s="47">
        <v>307000</v>
      </c>
      <c r="M829" s="47">
        <v>154835</v>
      </c>
      <c r="N829" s="47">
        <v>308500</v>
      </c>
      <c r="O829" s="47">
        <v>0</v>
      </c>
    </row>
    <row r="830" spans="1:16" ht="16.5">
      <c r="A830" s="58" t="str">
        <f t="shared" si="450"/>
        <v>I55S</v>
      </c>
      <c r="B830" s="115" t="s">
        <v>4</v>
      </c>
      <c r="C830" s="117">
        <v>233614</v>
      </c>
      <c r="D830" s="117">
        <f t="shared" si="451"/>
        <v>0</v>
      </c>
      <c r="E830" s="117">
        <f t="shared" si="452"/>
        <v>0</v>
      </c>
      <c r="F830" s="117">
        <f t="shared" si="453"/>
        <v>0</v>
      </c>
      <c r="G830" s="117">
        <f t="shared" si="449"/>
        <v>0</v>
      </c>
      <c r="H830" s="117">
        <v>233614</v>
      </c>
      <c r="I830" s="117">
        <f>+C830+D830-E830-F830+G830</f>
        <v>233614</v>
      </c>
      <c r="J830" s="9">
        <f t="shared" si="454"/>
        <v>0</v>
      </c>
      <c r="K830" s="45" t="s">
        <v>84</v>
      </c>
      <c r="L830" s="47">
        <v>0</v>
      </c>
      <c r="M830" s="47">
        <v>0</v>
      </c>
      <c r="N830" s="47">
        <v>0</v>
      </c>
      <c r="O830" s="47">
        <v>0</v>
      </c>
    </row>
    <row r="831" spans="1:16" ht="16.5">
      <c r="A831" s="58" t="str">
        <f t="shared" si="450"/>
        <v>I73X</v>
      </c>
      <c r="B831" s="115" t="s">
        <v>4</v>
      </c>
      <c r="C831" s="117">
        <v>249769</v>
      </c>
      <c r="D831" s="117">
        <f t="shared" si="451"/>
        <v>0</v>
      </c>
      <c r="E831" s="117">
        <f t="shared" si="452"/>
        <v>0</v>
      </c>
      <c r="F831" s="117">
        <f t="shared" si="453"/>
        <v>0</v>
      </c>
      <c r="G831" s="117">
        <f t="shared" si="449"/>
        <v>0</v>
      </c>
      <c r="H831" s="117">
        <v>249769</v>
      </c>
      <c r="I831" s="117">
        <f t="shared" ref="I831:I834" si="456">+C831+D831-E831-F831+G831</f>
        <v>249769</v>
      </c>
      <c r="J831" s="9">
        <f t="shared" si="454"/>
        <v>0</v>
      </c>
      <c r="K831" s="45" t="s">
        <v>83</v>
      </c>
      <c r="L831" s="47">
        <v>0</v>
      </c>
      <c r="M831" s="47">
        <v>0</v>
      </c>
      <c r="N831" s="47">
        <v>0</v>
      </c>
      <c r="O831" s="47">
        <v>0</v>
      </c>
    </row>
    <row r="832" spans="1:16" ht="16.5">
      <c r="A832" s="58" t="str">
        <f t="shared" si="450"/>
        <v>Grace</v>
      </c>
      <c r="B832" s="97" t="s">
        <v>2</v>
      </c>
      <c r="C832" s="61">
        <v>10200</v>
      </c>
      <c r="D832" s="61">
        <f t="shared" si="451"/>
        <v>25000</v>
      </c>
      <c r="E832" s="61">
        <f t="shared" si="452"/>
        <v>20500</v>
      </c>
      <c r="F832" s="61">
        <f t="shared" si="453"/>
        <v>0</v>
      </c>
      <c r="G832" s="61">
        <f t="shared" si="449"/>
        <v>0</v>
      </c>
      <c r="H832" s="61">
        <v>14700</v>
      </c>
      <c r="I832" s="61">
        <f t="shared" si="456"/>
        <v>14700</v>
      </c>
      <c r="J832" s="9">
        <f t="shared" si="454"/>
        <v>0</v>
      </c>
      <c r="K832" s="45" t="s">
        <v>143</v>
      </c>
      <c r="L832" s="47">
        <v>25000</v>
      </c>
      <c r="M832" s="47">
        <v>0</v>
      </c>
      <c r="N832" s="47">
        <v>20500</v>
      </c>
      <c r="O832" s="47">
        <v>0</v>
      </c>
    </row>
    <row r="833" spans="1:15" ht="16.5">
      <c r="A833" s="58" t="str">
        <f t="shared" si="450"/>
        <v>Hurielle</v>
      </c>
      <c r="B833" s="59" t="s">
        <v>154</v>
      </c>
      <c r="C833" s="61">
        <v>43500</v>
      </c>
      <c r="D833" s="61">
        <f t="shared" si="451"/>
        <v>701000</v>
      </c>
      <c r="E833" s="61">
        <f t="shared" si="452"/>
        <v>697550</v>
      </c>
      <c r="F833" s="61">
        <f t="shared" si="453"/>
        <v>0</v>
      </c>
      <c r="G833" s="61">
        <f t="shared" si="449"/>
        <v>0</v>
      </c>
      <c r="H833" s="61">
        <v>46950</v>
      </c>
      <c r="I833" s="61">
        <f t="shared" si="456"/>
        <v>46950</v>
      </c>
      <c r="J833" s="9">
        <f>I833-H833</f>
        <v>0</v>
      </c>
      <c r="K833" s="45" t="s">
        <v>197</v>
      </c>
      <c r="L833" s="47">
        <v>701000</v>
      </c>
      <c r="M833" s="47">
        <v>0</v>
      </c>
      <c r="N833" s="47">
        <v>697550</v>
      </c>
      <c r="O833" s="47">
        <v>0</v>
      </c>
    </row>
    <row r="834" spans="1:15" ht="16.5">
      <c r="A834" s="58" t="str">
        <f t="shared" si="450"/>
        <v>I23C</v>
      </c>
      <c r="B834" s="97" t="s">
        <v>4</v>
      </c>
      <c r="C834" s="61">
        <v>177550</v>
      </c>
      <c r="D834" s="61">
        <f t="shared" si="451"/>
        <v>969000</v>
      </c>
      <c r="E834" s="61">
        <f t="shared" si="452"/>
        <v>814500</v>
      </c>
      <c r="F834" s="61">
        <f t="shared" si="453"/>
        <v>220000</v>
      </c>
      <c r="G834" s="61">
        <f t="shared" si="449"/>
        <v>0</v>
      </c>
      <c r="H834" s="61">
        <v>112050</v>
      </c>
      <c r="I834" s="61">
        <f t="shared" si="456"/>
        <v>112050</v>
      </c>
      <c r="J834" s="9">
        <f t="shared" ref="J834:J835" si="457">I834-H834</f>
        <v>0</v>
      </c>
      <c r="K834" s="45" t="s">
        <v>30</v>
      </c>
      <c r="L834" s="47">
        <v>969000</v>
      </c>
      <c r="M834" s="47">
        <v>220000</v>
      </c>
      <c r="N834" s="47">
        <v>814500</v>
      </c>
      <c r="O834" s="47">
        <v>0</v>
      </c>
    </row>
    <row r="835" spans="1:15" ht="16.5">
      <c r="A835" s="58" t="str">
        <f t="shared" si="450"/>
        <v>Merveille</v>
      </c>
      <c r="B835" s="59" t="s">
        <v>2</v>
      </c>
      <c r="C835" s="61">
        <v>4400</v>
      </c>
      <c r="D835" s="61">
        <f t="shared" si="451"/>
        <v>170000</v>
      </c>
      <c r="E835" s="61">
        <f t="shared" si="452"/>
        <v>161500</v>
      </c>
      <c r="F835" s="61">
        <f t="shared" si="453"/>
        <v>10000</v>
      </c>
      <c r="G835" s="61">
        <f t="shared" si="449"/>
        <v>0</v>
      </c>
      <c r="H835" s="61">
        <v>2900</v>
      </c>
      <c r="I835" s="61">
        <f>+C835+D835-E835-F835+G835</f>
        <v>2900</v>
      </c>
      <c r="J835" s="9">
        <f t="shared" si="457"/>
        <v>0</v>
      </c>
      <c r="K835" s="45" t="s">
        <v>93</v>
      </c>
      <c r="L835" s="47">
        <v>170000</v>
      </c>
      <c r="M835" s="47">
        <v>10000</v>
      </c>
      <c r="N835" s="47">
        <v>161500</v>
      </c>
      <c r="O835" s="47">
        <v>0</v>
      </c>
    </row>
    <row r="836" spans="1:15" ht="16.5">
      <c r="A836" s="58" t="str">
        <f t="shared" si="450"/>
        <v>P29</v>
      </c>
      <c r="B836" s="59" t="s">
        <v>4</v>
      </c>
      <c r="C836" s="61">
        <v>294700</v>
      </c>
      <c r="D836" s="61">
        <f t="shared" si="451"/>
        <v>671000</v>
      </c>
      <c r="E836" s="61">
        <f t="shared" si="452"/>
        <v>525000</v>
      </c>
      <c r="F836" s="61">
        <f t="shared" si="453"/>
        <v>300000</v>
      </c>
      <c r="G836" s="61">
        <f>+O836</f>
        <v>0</v>
      </c>
      <c r="H836" s="61">
        <v>140700</v>
      </c>
      <c r="I836" s="61">
        <f>+C836+D836-E836-F836+G836</f>
        <v>140700</v>
      </c>
      <c r="J836" s="9">
        <f>I836-H836</f>
        <v>0</v>
      </c>
      <c r="K836" s="45" t="s">
        <v>29</v>
      </c>
      <c r="L836" s="47">
        <v>671000</v>
      </c>
      <c r="M836" s="47">
        <v>300000</v>
      </c>
      <c r="N836" s="47">
        <v>525000</v>
      </c>
      <c r="O836" s="47">
        <v>0</v>
      </c>
    </row>
    <row r="837" spans="1:15" ht="16.5">
      <c r="A837" s="58" t="str">
        <f t="shared" si="450"/>
        <v>Paule</v>
      </c>
      <c r="B837" s="59" t="s">
        <v>154</v>
      </c>
      <c r="C837" s="61">
        <v>13500</v>
      </c>
      <c r="D837" s="61">
        <f t="shared" si="451"/>
        <v>85000</v>
      </c>
      <c r="E837" s="61">
        <f t="shared" si="452"/>
        <v>89000</v>
      </c>
      <c r="F837" s="61">
        <f t="shared" si="453"/>
        <v>9500</v>
      </c>
      <c r="G837" s="61">
        <f>+O837</f>
        <v>0</v>
      </c>
      <c r="H837" s="61">
        <v>0</v>
      </c>
      <c r="I837" s="61">
        <f>+C837+D837-E837-F837+G837</f>
        <v>0</v>
      </c>
      <c r="J837" s="9">
        <f>I837-H837</f>
        <v>0</v>
      </c>
      <c r="K837" s="45" t="s">
        <v>196</v>
      </c>
      <c r="L837" s="47">
        <v>85000</v>
      </c>
      <c r="M837" s="47">
        <v>9500</v>
      </c>
      <c r="N837" s="47">
        <v>89000</v>
      </c>
      <c r="O837" s="47">
        <v>0</v>
      </c>
    </row>
    <row r="838" spans="1:15" ht="16.5">
      <c r="A838" s="58" t="str">
        <f t="shared" si="450"/>
        <v>Tiffany</v>
      </c>
      <c r="B838" s="59" t="s">
        <v>2</v>
      </c>
      <c r="C838" s="61">
        <v>-7259</v>
      </c>
      <c r="D838" s="61">
        <f t="shared" si="451"/>
        <v>329000</v>
      </c>
      <c r="E838" s="61">
        <f t="shared" si="452"/>
        <v>93500</v>
      </c>
      <c r="F838" s="61">
        <f t="shared" si="453"/>
        <v>226000</v>
      </c>
      <c r="G838" s="61">
        <f t="shared" ref="G838" si="458">+O838</f>
        <v>0</v>
      </c>
      <c r="H838" s="61">
        <v>2241</v>
      </c>
      <c r="I838" s="61">
        <f t="shared" ref="I838" si="459">+C838+D838-E838-F838+G838</f>
        <v>2241</v>
      </c>
      <c r="J838" s="9">
        <f t="shared" ref="J838" si="460">I838-H838</f>
        <v>0</v>
      </c>
      <c r="K838" s="45" t="s">
        <v>113</v>
      </c>
      <c r="L838" s="47">
        <v>329000</v>
      </c>
      <c r="M838" s="47">
        <v>226000</v>
      </c>
      <c r="N838" s="47">
        <v>93500</v>
      </c>
      <c r="O838" s="47">
        <v>0</v>
      </c>
    </row>
    <row r="839" spans="1:15" ht="16.5">
      <c r="A839" s="58" t="str">
        <f t="shared" ref="A839" si="461">K839</f>
        <v>Yan</v>
      </c>
      <c r="B839" s="59" t="s">
        <v>154</v>
      </c>
      <c r="C839" s="61">
        <v>0</v>
      </c>
      <c r="D839" s="61">
        <f t="shared" ref="D839" si="462">+L839</f>
        <v>349000</v>
      </c>
      <c r="E839" s="61">
        <f t="shared" ref="E839" si="463">+N839</f>
        <v>338500</v>
      </c>
      <c r="F839" s="61">
        <f t="shared" ref="F839" si="464">+M839</f>
        <v>0</v>
      </c>
      <c r="G839" s="61">
        <f t="shared" ref="G839" si="465">+O839</f>
        <v>0</v>
      </c>
      <c r="H839" s="61">
        <v>10500</v>
      </c>
      <c r="I839" s="61">
        <f>+C839+D839-E839-F839+G839</f>
        <v>10500</v>
      </c>
      <c r="J839" s="9">
        <f>I839-H839</f>
        <v>0</v>
      </c>
      <c r="K839" s="45" t="s">
        <v>212</v>
      </c>
      <c r="L839" s="47">
        <v>349000</v>
      </c>
      <c r="M839" s="47">
        <v>0</v>
      </c>
      <c r="N839" s="47">
        <v>338500</v>
      </c>
      <c r="O839" s="47">
        <v>0</v>
      </c>
    </row>
    <row r="840" spans="1:15" ht="16.5">
      <c r="A840" s="10" t="s">
        <v>50</v>
      </c>
      <c r="B840" s="11"/>
      <c r="C840" s="12">
        <f t="shared" ref="C840:I840" si="466">SUM(C824:C839)</f>
        <v>22774658</v>
      </c>
      <c r="D840" s="57">
        <f t="shared" si="466"/>
        <v>12834335</v>
      </c>
      <c r="E840" s="57">
        <f t="shared" si="466"/>
        <v>11393660</v>
      </c>
      <c r="F840" s="57">
        <f t="shared" si="466"/>
        <v>12834335</v>
      </c>
      <c r="G840" s="57">
        <f t="shared" si="466"/>
        <v>11963948</v>
      </c>
      <c r="H840" s="57">
        <f t="shared" si="466"/>
        <v>23344946</v>
      </c>
      <c r="I840" s="57">
        <f t="shared" si="466"/>
        <v>23344946</v>
      </c>
      <c r="J840" s="9">
        <f>I840-H840</f>
        <v>0</v>
      </c>
      <c r="K840" s="3"/>
      <c r="L840" s="47">
        <f>+SUM(L824:L839)</f>
        <v>12834335</v>
      </c>
      <c r="M840" s="47">
        <f>+SUM(M824:M839)</f>
        <v>12834335</v>
      </c>
      <c r="N840" s="47">
        <f>+SUM(N824:N839)</f>
        <v>11393660</v>
      </c>
      <c r="O840" s="47">
        <f>+SUM(O824:O838)</f>
        <v>11963948</v>
      </c>
    </row>
    <row r="841" spans="1:15" ht="16.5">
      <c r="A841" s="10"/>
      <c r="B841" s="11"/>
      <c r="C841" s="12"/>
      <c r="D841" s="13"/>
      <c r="E841" s="12"/>
      <c r="F841" s="13"/>
      <c r="G841" s="12"/>
      <c r="H841" s="12"/>
      <c r="I841" s="133" t="b">
        <f>I840=D843</f>
        <v>1</v>
      </c>
      <c r="L841" s="5"/>
      <c r="M841" s="5"/>
      <c r="N841" s="5"/>
      <c r="O841" s="5"/>
    </row>
    <row r="842" spans="1:15" ht="16.5">
      <c r="A842" s="10" t="s">
        <v>210</v>
      </c>
      <c r="B842" s="11" t="s">
        <v>209</v>
      </c>
      <c r="C842" s="12" t="s">
        <v>208</v>
      </c>
      <c r="D842" s="12" t="s">
        <v>214</v>
      </c>
      <c r="E842" s="12" t="s">
        <v>51</v>
      </c>
      <c r="F842" s="12"/>
      <c r="G842" s="12">
        <f>+D840-F840</f>
        <v>0</v>
      </c>
      <c r="H842" s="12"/>
      <c r="I842" s="12"/>
    </row>
    <row r="843" spans="1:15" ht="16.5">
      <c r="A843" s="14">
        <f>C840</f>
        <v>22774658</v>
      </c>
      <c r="B843" s="15">
        <f>G840</f>
        <v>11963948</v>
      </c>
      <c r="C843" s="12">
        <f>E840</f>
        <v>11393660</v>
      </c>
      <c r="D843" s="12">
        <f>A843+B843-C843</f>
        <v>23344946</v>
      </c>
      <c r="E843" s="13">
        <f>I840-D843</f>
        <v>0</v>
      </c>
      <c r="F843" s="12"/>
      <c r="G843" s="12"/>
      <c r="H843" s="12"/>
      <c r="I843" s="12"/>
    </row>
    <row r="844" spans="1:15" ht="16.5">
      <c r="A844" s="14"/>
      <c r="B844" s="15"/>
      <c r="C844" s="12"/>
      <c r="D844" s="12"/>
      <c r="E844" s="13"/>
      <c r="F844" s="12"/>
      <c r="G844" s="12"/>
      <c r="H844" s="12"/>
      <c r="I844" s="12"/>
    </row>
    <row r="845" spans="1:15">
      <c r="A845" s="16" t="s">
        <v>52</v>
      </c>
      <c r="B845" s="16"/>
      <c r="C845" s="16"/>
      <c r="D845" s="17"/>
      <c r="E845" s="17"/>
      <c r="F845" s="17"/>
      <c r="G845" s="17"/>
      <c r="H845" s="17"/>
      <c r="I845" s="17"/>
    </row>
    <row r="846" spans="1:15">
      <c r="A846" s="18" t="s">
        <v>215</v>
      </c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5">
      <c r="A847" s="19"/>
      <c r="B847" s="17"/>
      <c r="C847" s="20"/>
      <c r="D847" s="20"/>
      <c r="E847" s="20"/>
      <c r="F847" s="20"/>
      <c r="G847" s="20"/>
      <c r="H847" s="17"/>
      <c r="I847" s="17"/>
    </row>
    <row r="848" spans="1:15">
      <c r="A848" s="166" t="s">
        <v>53</v>
      </c>
      <c r="B848" s="168" t="s">
        <v>54</v>
      </c>
      <c r="C848" s="170" t="s">
        <v>211</v>
      </c>
      <c r="D848" s="171" t="s">
        <v>55</v>
      </c>
      <c r="E848" s="172"/>
      <c r="F848" s="172"/>
      <c r="G848" s="173"/>
      <c r="H848" s="174" t="s">
        <v>56</v>
      </c>
      <c r="I848" s="162" t="s">
        <v>57</v>
      </c>
      <c r="J848" s="17"/>
    </row>
    <row r="849" spans="1:11" ht="25.5">
      <c r="A849" s="167"/>
      <c r="B849" s="169"/>
      <c r="C849" s="22"/>
      <c r="D849" s="21" t="s">
        <v>24</v>
      </c>
      <c r="E849" s="21" t="s">
        <v>25</v>
      </c>
      <c r="F849" s="22" t="s">
        <v>123</v>
      </c>
      <c r="G849" s="21" t="s">
        <v>58</v>
      </c>
      <c r="H849" s="175"/>
      <c r="I849" s="163"/>
      <c r="J849" s="164" t="s">
        <v>213</v>
      </c>
      <c r="K849" s="142"/>
    </row>
    <row r="850" spans="1:11">
      <c r="A850" s="23"/>
      <c r="B850" s="24" t="s">
        <v>59</v>
      </c>
      <c r="C850" s="25"/>
      <c r="D850" s="25"/>
      <c r="E850" s="25"/>
      <c r="F850" s="25"/>
      <c r="G850" s="25"/>
      <c r="H850" s="25"/>
      <c r="I850" s="26"/>
      <c r="J850" s="165"/>
      <c r="K850" s="142"/>
    </row>
    <row r="851" spans="1:11">
      <c r="A851" s="121" t="s">
        <v>131</v>
      </c>
      <c r="B851" s="126" t="s">
        <v>47</v>
      </c>
      <c r="C851" s="32">
        <f>+C827</f>
        <v>21850</v>
      </c>
      <c r="D851" s="31"/>
      <c r="E851" s="32">
        <f>+D827</f>
        <v>1282000</v>
      </c>
      <c r="F851" s="32"/>
      <c r="G851" s="32"/>
      <c r="H851" s="55">
        <f t="shared" ref="H851:H863" si="467">+F827</f>
        <v>0</v>
      </c>
      <c r="I851" s="32">
        <f t="shared" ref="I851:I863" si="468">+E827</f>
        <v>1288100</v>
      </c>
      <c r="J851" s="30">
        <f t="shared" ref="J851:J852" si="469">+SUM(C851:G851)-(H851+I851)</f>
        <v>15750</v>
      </c>
      <c r="K851" s="143" t="b">
        <f t="shared" ref="K851:K863" si="470">J851=I827</f>
        <v>1</v>
      </c>
    </row>
    <row r="852" spans="1:11">
      <c r="A852" s="121" t="str">
        <f>+A851</f>
        <v>MAI</v>
      </c>
      <c r="B852" s="126" t="s">
        <v>31</v>
      </c>
      <c r="C852" s="32">
        <f t="shared" ref="C852:C853" si="471">+C828</f>
        <v>7995</v>
      </c>
      <c r="D852" s="31"/>
      <c r="E852" s="32">
        <f t="shared" ref="E852:E853" si="472">+D828</f>
        <v>262000</v>
      </c>
      <c r="F852" s="32"/>
      <c r="G852" s="32"/>
      <c r="H852" s="55">
        <f t="shared" si="467"/>
        <v>0</v>
      </c>
      <c r="I852" s="32">
        <f t="shared" si="468"/>
        <v>261200</v>
      </c>
      <c r="J852" s="100">
        <f t="shared" si="469"/>
        <v>8795</v>
      </c>
      <c r="K852" s="143" t="b">
        <f t="shared" si="470"/>
        <v>1</v>
      </c>
    </row>
    <row r="853" spans="1:11">
      <c r="A853" s="121" t="str">
        <f t="shared" ref="A853:A858" si="473">+A852</f>
        <v>MAI</v>
      </c>
      <c r="B853" s="127" t="s">
        <v>144</v>
      </c>
      <c r="C853" s="32">
        <f t="shared" si="471"/>
        <v>156335</v>
      </c>
      <c r="D853" s="118"/>
      <c r="E853" s="32">
        <f t="shared" si="472"/>
        <v>307000</v>
      </c>
      <c r="F853" s="51"/>
      <c r="G853" s="51"/>
      <c r="H853" s="55">
        <f t="shared" si="467"/>
        <v>154835</v>
      </c>
      <c r="I853" s="32">
        <f t="shared" si="468"/>
        <v>308500</v>
      </c>
      <c r="J853" s="123">
        <f>+SUM(C853:G853)-(H853+I853)</f>
        <v>0</v>
      </c>
      <c r="K853" s="143" t="b">
        <f t="shared" si="470"/>
        <v>1</v>
      </c>
    </row>
    <row r="854" spans="1:11">
      <c r="A854" s="121" t="str">
        <f t="shared" si="473"/>
        <v>MAI</v>
      </c>
      <c r="B854" s="128" t="s">
        <v>84</v>
      </c>
      <c r="C854" s="119">
        <f>+C830</f>
        <v>233614</v>
      </c>
      <c r="D854" s="122"/>
      <c r="E854" s="119">
        <f>+D830</f>
        <v>0</v>
      </c>
      <c r="F854" s="136"/>
      <c r="G854" s="136"/>
      <c r="H854" s="154">
        <f t="shared" si="467"/>
        <v>0</v>
      </c>
      <c r="I854" s="119">
        <f t="shared" si="468"/>
        <v>0</v>
      </c>
      <c r="J854" s="120">
        <f>+SUM(C854:G854)-(H854+I854)</f>
        <v>233614</v>
      </c>
      <c r="K854" s="143" t="b">
        <f t="shared" si="470"/>
        <v>1</v>
      </c>
    </row>
    <row r="855" spans="1:11">
      <c r="A855" s="121" t="str">
        <f t="shared" si="473"/>
        <v>MAI</v>
      </c>
      <c r="B855" s="128" t="s">
        <v>83</v>
      </c>
      <c r="C855" s="119">
        <f>+C831</f>
        <v>249769</v>
      </c>
      <c r="D855" s="122"/>
      <c r="E855" s="119">
        <f>+D831</f>
        <v>0</v>
      </c>
      <c r="F855" s="136"/>
      <c r="G855" s="136"/>
      <c r="H855" s="154">
        <f t="shared" si="467"/>
        <v>0</v>
      </c>
      <c r="I855" s="119">
        <f t="shared" si="468"/>
        <v>0</v>
      </c>
      <c r="J855" s="120">
        <f t="shared" ref="J855:J863" si="474">+SUM(C855:G855)-(H855+I855)</f>
        <v>249769</v>
      </c>
      <c r="K855" s="143" t="b">
        <f t="shared" si="470"/>
        <v>1</v>
      </c>
    </row>
    <row r="856" spans="1:11">
      <c r="A856" s="121" t="str">
        <f t="shared" si="473"/>
        <v>MAI</v>
      </c>
      <c r="B856" s="126" t="s">
        <v>143</v>
      </c>
      <c r="C856" s="32">
        <f>+C832</f>
        <v>10200</v>
      </c>
      <c r="D856" s="31"/>
      <c r="E856" s="32">
        <f>+D832</f>
        <v>25000</v>
      </c>
      <c r="F856" s="32"/>
      <c r="G856" s="103"/>
      <c r="H856" s="55">
        <f t="shared" si="467"/>
        <v>0</v>
      </c>
      <c r="I856" s="32">
        <f t="shared" si="468"/>
        <v>20500</v>
      </c>
      <c r="J856" s="30">
        <f t="shared" si="474"/>
        <v>14700</v>
      </c>
      <c r="K856" s="143" t="b">
        <f t="shared" si="470"/>
        <v>1</v>
      </c>
    </row>
    <row r="857" spans="1:11">
      <c r="A857" s="121" t="str">
        <f t="shared" si="473"/>
        <v>MAI</v>
      </c>
      <c r="B857" s="126" t="s">
        <v>197</v>
      </c>
      <c r="C857" s="32">
        <f t="shared" ref="C857:C860" si="475">+C833</f>
        <v>43500</v>
      </c>
      <c r="D857" s="31"/>
      <c r="E857" s="32">
        <f t="shared" ref="E857:E863" si="476">+D833</f>
        <v>701000</v>
      </c>
      <c r="F857" s="32"/>
      <c r="G857" s="103"/>
      <c r="H857" s="55">
        <f t="shared" si="467"/>
        <v>0</v>
      </c>
      <c r="I857" s="32">
        <f t="shared" si="468"/>
        <v>697550</v>
      </c>
      <c r="J857" s="30">
        <f t="shared" si="474"/>
        <v>46950</v>
      </c>
      <c r="K857" s="143" t="b">
        <f t="shared" si="470"/>
        <v>1</v>
      </c>
    </row>
    <row r="858" spans="1:11">
      <c r="A858" s="121" t="str">
        <f t="shared" si="473"/>
        <v>MAI</v>
      </c>
      <c r="B858" s="126" t="s">
        <v>30</v>
      </c>
      <c r="C858" s="32">
        <f t="shared" si="475"/>
        <v>177550</v>
      </c>
      <c r="D858" s="31"/>
      <c r="E858" s="32">
        <f t="shared" si="476"/>
        <v>969000</v>
      </c>
      <c r="F858" s="32"/>
      <c r="G858" s="103"/>
      <c r="H858" s="55">
        <f t="shared" si="467"/>
        <v>220000</v>
      </c>
      <c r="I858" s="32">
        <f t="shared" si="468"/>
        <v>814500</v>
      </c>
      <c r="J858" s="30">
        <f t="shared" si="474"/>
        <v>112050</v>
      </c>
      <c r="K858" s="143" t="b">
        <f t="shared" si="470"/>
        <v>1</v>
      </c>
    </row>
    <row r="859" spans="1:11">
      <c r="A859" s="121" t="str">
        <f>+A857</f>
        <v>MAI</v>
      </c>
      <c r="B859" s="126" t="s">
        <v>93</v>
      </c>
      <c r="C859" s="32">
        <f t="shared" si="475"/>
        <v>4400</v>
      </c>
      <c r="D859" s="31"/>
      <c r="E859" s="32">
        <f t="shared" si="476"/>
        <v>170000</v>
      </c>
      <c r="F859" s="32"/>
      <c r="G859" s="103"/>
      <c r="H859" s="55">
        <f t="shared" si="467"/>
        <v>10000</v>
      </c>
      <c r="I859" s="32">
        <f t="shared" si="468"/>
        <v>161500</v>
      </c>
      <c r="J859" s="30">
        <f t="shared" si="474"/>
        <v>2900</v>
      </c>
      <c r="K859" s="143" t="b">
        <f t="shared" si="470"/>
        <v>1</v>
      </c>
    </row>
    <row r="860" spans="1:11">
      <c r="A860" s="121" t="str">
        <f>+A858</f>
        <v>MAI</v>
      </c>
      <c r="B860" s="126" t="s">
        <v>29</v>
      </c>
      <c r="C860" s="32">
        <f t="shared" si="475"/>
        <v>294700</v>
      </c>
      <c r="D860" s="31"/>
      <c r="E860" s="32">
        <f t="shared" si="476"/>
        <v>671000</v>
      </c>
      <c r="F860" s="32"/>
      <c r="G860" s="103"/>
      <c r="H860" s="55">
        <f t="shared" si="467"/>
        <v>300000</v>
      </c>
      <c r="I860" s="32">
        <f t="shared" si="468"/>
        <v>525000</v>
      </c>
      <c r="J860" s="30">
        <f t="shared" si="474"/>
        <v>140700</v>
      </c>
      <c r="K860" s="143" t="b">
        <f t="shared" si="470"/>
        <v>1</v>
      </c>
    </row>
    <row r="861" spans="1:11">
      <c r="A861" s="121" t="str">
        <f>+A859</f>
        <v>MAI</v>
      </c>
      <c r="B861" s="126" t="s">
        <v>196</v>
      </c>
      <c r="C861" s="32">
        <f>+C837</f>
        <v>13500</v>
      </c>
      <c r="D861" s="31"/>
      <c r="E861" s="32">
        <f t="shared" si="476"/>
        <v>85000</v>
      </c>
      <c r="F861" s="32"/>
      <c r="G861" s="103"/>
      <c r="H861" s="55">
        <f t="shared" si="467"/>
        <v>9500</v>
      </c>
      <c r="I861" s="32">
        <f t="shared" si="468"/>
        <v>89000</v>
      </c>
      <c r="J861" s="30">
        <f t="shared" si="474"/>
        <v>0</v>
      </c>
      <c r="K861" s="143" t="b">
        <f t="shared" si="470"/>
        <v>1</v>
      </c>
    </row>
    <row r="862" spans="1:11">
      <c r="A862" s="121" t="str">
        <f>+A859</f>
        <v>MAI</v>
      </c>
      <c r="B862" s="127" t="s">
        <v>113</v>
      </c>
      <c r="C862" s="32">
        <f t="shared" ref="C862:C863" si="477">+C838</f>
        <v>-7259</v>
      </c>
      <c r="D862" s="118"/>
      <c r="E862" s="32">
        <f t="shared" si="476"/>
        <v>329000</v>
      </c>
      <c r="F862" s="51"/>
      <c r="G862" s="137"/>
      <c r="H862" s="55">
        <f t="shared" si="467"/>
        <v>226000</v>
      </c>
      <c r="I862" s="32">
        <f t="shared" si="468"/>
        <v>93500</v>
      </c>
      <c r="J862" s="30">
        <f t="shared" si="474"/>
        <v>2241</v>
      </c>
      <c r="K862" s="143" t="b">
        <f t="shared" si="470"/>
        <v>1</v>
      </c>
    </row>
    <row r="863" spans="1:11">
      <c r="A863" s="121" t="str">
        <f>+A860</f>
        <v>MAI</v>
      </c>
      <c r="B863" s="127" t="s">
        <v>212</v>
      </c>
      <c r="C863" s="32">
        <f t="shared" si="477"/>
        <v>0</v>
      </c>
      <c r="D863" s="118"/>
      <c r="E863" s="32">
        <f t="shared" si="476"/>
        <v>349000</v>
      </c>
      <c r="F863" s="51"/>
      <c r="G863" s="137"/>
      <c r="H863" s="55">
        <f t="shared" si="467"/>
        <v>0</v>
      </c>
      <c r="I863" s="32">
        <f t="shared" si="468"/>
        <v>338500</v>
      </c>
      <c r="J863" s="30">
        <f t="shared" si="474"/>
        <v>10500</v>
      </c>
      <c r="K863" s="143" t="b">
        <f t="shared" si="470"/>
        <v>1</v>
      </c>
    </row>
    <row r="864" spans="1:11">
      <c r="A864" s="34" t="s">
        <v>60</v>
      </c>
      <c r="B864" s="35"/>
      <c r="C864" s="35"/>
      <c r="D864" s="35"/>
      <c r="E864" s="35"/>
      <c r="F864" s="35"/>
      <c r="G864" s="35"/>
      <c r="H864" s="35"/>
      <c r="I864" s="35"/>
      <c r="J864" s="36"/>
      <c r="K864" s="142"/>
    </row>
    <row r="865" spans="1:16">
      <c r="A865" s="121" t="str">
        <f>+A863</f>
        <v>MAI</v>
      </c>
      <c r="B865" s="37" t="s">
        <v>61</v>
      </c>
      <c r="C865" s="38">
        <f>+C826</f>
        <v>963113</v>
      </c>
      <c r="D865" s="49"/>
      <c r="E865" s="49">
        <f>D826</f>
        <v>7684335</v>
      </c>
      <c r="F865" s="49"/>
      <c r="G865" s="124"/>
      <c r="H865" s="51">
        <f>+F826</f>
        <v>4914000</v>
      </c>
      <c r="I865" s="125">
        <f>+E826</f>
        <v>2033042</v>
      </c>
      <c r="J865" s="30">
        <f>+SUM(C865:G865)-(H865+I865)</f>
        <v>1700406</v>
      </c>
      <c r="K865" s="143" t="b">
        <f>J865=I826</f>
        <v>1</v>
      </c>
    </row>
    <row r="866" spans="1:16">
      <c r="A866" s="43" t="s">
        <v>62</v>
      </c>
      <c r="B866" s="24"/>
      <c r="C866" s="35"/>
      <c r="D866" s="24"/>
      <c r="E866" s="24"/>
      <c r="F866" s="24"/>
      <c r="G866" s="24"/>
      <c r="H866" s="24"/>
      <c r="I866" s="24"/>
      <c r="J866" s="36"/>
      <c r="K866" s="142"/>
    </row>
    <row r="867" spans="1:16">
      <c r="A867" s="121" t="str">
        <f>+A865</f>
        <v>MAI</v>
      </c>
      <c r="B867" s="37" t="s">
        <v>156</v>
      </c>
      <c r="C867" s="124">
        <f>+C824</f>
        <v>4154435</v>
      </c>
      <c r="D867" s="131">
        <f>+G824</f>
        <v>11963948</v>
      </c>
      <c r="E867" s="49"/>
      <c r="F867" s="49"/>
      <c r="G867" s="49"/>
      <c r="H867" s="51">
        <f>+F824</f>
        <v>7000000</v>
      </c>
      <c r="I867" s="53">
        <f>+E824</f>
        <v>543345</v>
      </c>
      <c r="J867" s="30">
        <f>+SUM(C867:G867)-(H867+I867)</f>
        <v>8575038</v>
      </c>
      <c r="K867" s="143" t="b">
        <f>+J867=I824</f>
        <v>1</v>
      </c>
    </row>
    <row r="868" spans="1:16">
      <c r="A868" s="121" t="str">
        <f t="shared" ref="A868" si="478">+A867</f>
        <v>MAI</v>
      </c>
      <c r="B868" s="37" t="s">
        <v>64</v>
      </c>
      <c r="C868" s="124">
        <f>+C825</f>
        <v>16450956</v>
      </c>
      <c r="D868" s="49">
        <f>+G825</f>
        <v>0</v>
      </c>
      <c r="E868" s="48"/>
      <c r="F868" s="48"/>
      <c r="G868" s="48"/>
      <c r="H868" s="32">
        <f>+F825</f>
        <v>0</v>
      </c>
      <c r="I868" s="50">
        <f>+E825</f>
        <v>4219423</v>
      </c>
      <c r="J868" s="30">
        <f>SUM(C868:G868)-(H868+I868)</f>
        <v>12231533</v>
      </c>
      <c r="K868" s="143" t="b">
        <f>+J868=I825</f>
        <v>1</v>
      </c>
    </row>
    <row r="869" spans="1:16" ht="15.75">
      <c r="C869" s="140">
        <f>SUM(C851:C868)</f>
        <v>22774658</v>
      </c>
      <c r="I869" s="139">
        <f>SUM(I851:I868)</f>
        <v>11393660</v>
      </c>
      <c r="J869" s="104">
        <f>+SUM(J851:J868)</f>
        <v>23344946</v>
      </c>
      <c r="K869" s="5" t="b">
        <f>J869=I840</f>
        <v>1</v>
      </c>
    </row>
    <row r="870" spans="1:16" ht="15.75">
      <c r="A870" s="157"/>
      <c r="B870" s="157"/>
      <c r="C870" s="158"/>
      <c r="D870" s="157"/>
      <c r="E870" s="157"/>
      <c r="F870" s="157"/>
      <c r="G870" s="157"/>
      <c r="H870" s="157"/>
      <c r="I870" s="159"/>
      <c r="J870" s="160"/>
      <c r="K870" s="157"/>
      <c r="L870" s="161"/>
      <c r="M870" s="161"/>
      <c r="N870" s="161"/>
      <c r="O870" s="161"/>
      <c r="P870" s="157"/>
    </row>
    <row r="872" spans="1:16" ht="15.75">
      <c r="A872" s="6" t="s">
        <v>36</v>
      </c>
      <c r="B872" s="6" t="s">
        <v>1</v>
      </c>
      <c r="C872" s="6">
        <v>44652</v>
      </c>
      <c r="D872" s="7" t="s">
        <v>37</v>
      </c>
      <c r="E872" s="7" t="s">
        <v>38</v>
      </c>
      <c r="F872" s="7" t="s">
        <v>39</v>
      </c>
      <c r="G872" s="7" t="s">
        <v>40</v>
      </c>
      <c r="H872" s="6">
        <v>44681</v>
      </c>
      <c r="I872" s="7" t="s">
        <v>41</v>
      </c>
      <c r="K872" s="45"/>
      <c r="L872" s="45" t="s">
        <v>42</v>
      </c>
      <c r="M872" s="45" t="s">
        <v>43</v>
      </c>
      <c r="N872" s="45" t="s">
        <v>44</v>
      </c>
      <c r="O872" s="45" t="s">
        <v>45</v>
      </c>
    </row>
    <row r="873" spans="1:16" ht="16.5">
      <c r="A873" s="58" t="str">
        <f>K873</f>
        <v>BCI</v>
      </c>
      <c r="B873" s="59" t="s">
        <v>46</v>
      </c>
      <c r="C873" s="61">
        <v>9177780</v>
      </c>
      <c r="D873" s="61">
        <f>+L873</f>
        <v>0</v>
      </c>
      <c r="E873" s="61">
        <f>+N873</f>
        <v>23345</v>
      </c>
      <c r="F873" s="61">
        <f>+M873</f>
        <v>5000000</v>
      </c>
      <c r="G873" s="61">
        <f t="shared" ref="G873:G884" si="479">+O873</f>
        <v>0</v>
      </c>
      <c r="H873" s="61">
        <v>4154435</v>
      </c>
      <c r="I873" s="61">
        <f>+C873+D873-E873-F873+G873</f>
        <v>4154435</v>
      </c>
      <c r="J873" s="9">
        <f>I873-H873</f>
        <v>0</v>
      </c>
      <c r="K873" s="45" t="s">
        <v>24</v>
      </c>
      <c r="L873" s="47">
        <v>0</v>
      </c>
      <c r="M873" s="47">
        <v>5000000</v>
      </c>
      <c r="N873" s="47">
        <v>23345</v>
      </c>
      <c r="O873" s="47">
        <v>0</v>
      </c>
    </row>
    <row r="874" spans="1:16" ht="16.5">
      <c r="A874" s="58" t="str">
        <f t="shared" ref="A874:A887" si="480">K874</f>
        <v>BCI-Sous Compte</v>
      </c>
      <c r="B874" s="59" t="s">
        <v>46</v>
      </c>
      <c r="C874" s="61">
        <v>21521261</v>
      </c>
      <c r="D874" s="61">
        <f t="shared" ref="D874:D887" si="481">+L874</f>
        <v>0</v>
      </c>
      <c r="E874" s="61">
        <f t="shared" ref="E874:E887" si="482">+N874</f>
        <v>5070305</v>
      </c>
      <c r="F874" s="61">
        <f t="shared" ref="F874:F887" si="483">+M874</f>
        <v>0</v>
      </c>
      <c r="G874" s="61">
        <f t="shared" si="479"/>
        <v>0</v>
      </c>
      <c r="H874" s="61">
        <v>16450956</v>
      </c>
      <c r="I874" s="61">
        <f>+C874+D874-E874-F874+G874</f>
        <v>16450956</v>
      </c>
      <c r="J874" s="9">
        <f t="shared" ref="J874:J881" si="484">I874-H874</f>
        <v>0</v>
      </c>
      <c r="K874" s="45" t="s">
        <v>148</v>
      </c>
      <c r="L874" s="47">
        <v>0</v>
      </c>
      <c r="M874" s="47">
        <v>0</v>
      </c>
      <c r="N874" s="47">
        <v>5070305</v>
      </c>
      <c r="O874" s="47">
        <v>0</v>
      </c>
    </row>
    <row r="875" spans="1:16" ht="16.5">
      <c r="A875" s="58" t="str">
        <f t="shared" si="480"/>
        <v>Caisse</v>
      </c>
      <c r="B875" s="59" t="s">
        <v>25</v>
      </c>
      <c r="C875" s="61">
        <v>1160022</v>
      </c>
      <c r="D875" s="61">
        <f t="shared" si="481"/>
        <v>5100000</v>
      </c>
      <c r="E875" s="61">
        <f t="shared" si="482"/>
        <v>1822909</v>
      </c>
      <c r="F875" s="61">
        <f t="shared" si="483"/>
        <v>3474000</v>
      </c>
      <c r="G875" s="61">
        <f t="shared" si="479"/>
        <v>0</v>
      </c>
      <c r="H875" s="61">
        <v>963113</v>
      </c>
      <c r="I875" s="61">
        <f>+C875+D875-E875-F875+G875</f>
        <v>963113</v>
      </c>
      <c r="J875" s="101">
        <f t="shared" si="484"/>
        <v>0</v>
      </c>
      <c r="K875" s="45" t="s">
        <v>25</v>
      </c>
      <c r="L875" s="47">
        <v>5100000</v>
      </c>
      <c r="M875" s="47">
        <v>3474000</v>
      </c>
      <c r="N875" s="47">
        <v>1822909</v>
      </c>
      <c r="O875" s="47">
        <v>0</v>
      </c>
    </row>
    <row r="876" spans="1:16" ht="16.5">
      <c r="A876" s="58" t="str">
        <f t="shared" si="480"/>
        <v>Crépin</v>
      </c>
      <c r="B876" s="59" t="s">
        <v>154</v>
      </c>
      <c r="C876" s="61">
        <v>22050</v>
      </c>
      <c r="D876" s="61">
        <f t="shared" si="481"/>
        <v>462000</v>
      </c>
      <c r="E876" s="61">
        <f t="shared" si="482"/>
        <v>462200</v>
      </c>
      <c r="F876" s="61">
        <f t="shared" si="483"/>
        <v>0</v>
      </c>
      <c r="G876" s="61">
        <f t="shared" si="479"/>
        <v>0</v>
      </c>
      <c r="H876" s="61">
        <v>21850</v>
      </c>
      <c r="I876" s="61">
        <f>+C876+D876-E876-F876+G876</f>
        <v>21850</v>
      </c>
      <c r="J876" s="9">
        <f t="shared" si="484"/>
        <v>0</v>
      </c>
      <c r="K876" s="45" t="s">
        <v>47</v>
      </c>
      <c r="L876" s="47">
        <v>462000</v>
      </c>
      <c r="M876" s="47">
        <v>0</v>
      </c>
      <c r="N876" s="47">
        <v>462200</v>
      </c>
      <c r="O876" s="47">
        <v>0</v>
      </c>
    </row>
    <row r="877" spans="1:16" ht="16.5">
      <c r="A877" s="58" t="str">
        <f t="shared" si="480"/>
        <v>Evariste</v>
      </c>
      <c r="B877" s="59" t="s">
        <v>155</v>
      </c>
      <c r="C877" s="61">
        <v>13995</v>
      </c>
      <c r="D877" s="61">
        <f t="shared" si="481"/>
        <v>30000</v>
      </c>
      <c r="E877" s="61">
        <f t="shared" si="482"/>
        <v>36000</v>
      </c>
      <c r="F877" s="61">
        <f t="shared" si="483"/>
        <v>0</v>
      </c>
      <c r="G877" s="61">
        <f t="shared" si="479"/>
        <v>0</v>
      </c>
      <c r="H877" s="61">
        <v>7995</v>
      </c>
      <c r="I877" s="61">
        <f t="shared" ref="I877" si="485">+C877+D877-E877-F877+G877</f>
        <v>7995</v>
      </c>
      <c r="J877" s="9">
        <f t="shared" si="484"/>
        <v>0</v>
      </c>
      <c r="K877" s="45" t="s">
        <v>31</v>
      </c>
      <c r="L877" s="47">
        <v>30000</v>
      </c>
      <c r="M877" s="47">
        <v>0</v>
      </c>
      <c r="N877" s="47">
        <v>36000</v>
      </c>
      <c r="O877" s="47">
        <v>0</v>
      </c>
    </row>
    <row r="878" spans="1:16" ht="16.5">
      <c r="A878" s="58" t="str">
        <f t="shared" si="480"/>
        <v>Godfré</v>
      </c>
      <c r="B878" s="59" t="s">
        <v>154</v>
      </c>
      <c r="C878" s="61">
        <v>36485</v>
      </c>
      <c r="D878" s="61">
        <f t="shared" si="481"/>
        <v>486000</v>
      </c>
      <c r="E878" s="61">
        <f t="shared" si="482"/>
        <v>366150</v>
      </c>
      <c r="F878" s="61">
        <f t="shared" si="483"/>
        <v>0</v>
      </c>
      <c r="G878" s="61">
        <f t="shared" si="479"/>
        <v>0</v>
      </c>
      <c r="H878" s="61">
        <v>156335</v>
      </c>
      <c r="I878" s="61">
        <f>+C878+D878-E878-F878+G878</f>
        <v>156335</v>
      </c>
      <c r="J878" s="9">
        <f t="shared" si="484"/>
        <v>0</v>
      </c>
      <c r="K878" s="45" t="s">
        <v>144</v>
      </c>
      <c r="L878" s="47">
        <v>486000</v>
      </c>
      <c r="M878" s="47">
        <v>0</v>
      </c>
      <c r="N878" s="47">
        <v>366150</v>
      </c>
      <c r="O878" s="47">
        <v>0</v>
      </c>
    </row>
    <row r="879" spans="1:16" ht="16.5">
      <c r="A879" s="58" t="str">
        <f t="shared" si="480"/>
        <v>I55S</v>
      </c>
      <c r="B879" s="115" t="s">
        <v>4</v>
      </c>
      <c r="C879" s="117">
        <v>233614</v>
      </c>
      <c r="D879" s="117">
        <f t="shared" si="481"/>
        <v>0</v>
      </c>
      <c r="E879" s="117">
        <f t="shared" si="482"/>
        <v>0</v>
      </c>
      <c r="F879" s="117">
        <f t="shared" si="483"/>
        <v>0</v>
      </c>
      <c r="G879" s="117">
        <f t="shared" si="479"/>
        <v>0</v>
      </c>
      <c r="H879" s="117">
        <v>233614</v>
      </c>
      <c r="I879" s="117">
        <f>+C879+D879-E879-F879+G879</f>
        <v>233614</v>
      </c>
      <c r="J879" s="9">
        <f t="shared" si="484"/>
        <v>0</v>
      </c>
      <c r="K879" s="45" t="s">
        <v>84</v>
      </c>
      <c r="L879" s="47">
        <v>0</v>
      </c>
      <c r="M879" s="47">
        <v>0</v>
      </c>
      <c r="N879" s="47">
        <v>0</v>
      </c>
      <c r="O879" s="47">
        <v>0</v>
      </c>
    </row>
    <row r="880" spans="1:16" ht="16.5">
      <c r="A880" s="58" t="str">
        <f t="shared" si="480"/>
        <v>I73X</v>
      </c>
      <c r="B880" s="115" t="s">
        <v>4</v>
      </c>
      <c r="C880" s="117">
        <v>249769</v>
      </c>
      <c r="D880" s="117">
        <f t="shared" si="481"/>
        <v>0</v>
      </c>
      <c r="E880" s="117">
        <f t="shared" si="482"/>
        <v>0</v>
      </c>
      <c r="F880" s="117">
        <f t="shared" si="483"/>
        <v>0</v>
      </c>
      <c r="G880" s="117">
        <f t="shared" si="479"/>
        <v>0</v>
      </c>
      <c r="H880" s="117">
        <v>249769</v>
      </c>
      <c r="I880" s="117">
        <f t="shared" ref="I880:I883" si="486">+C880+D880-E880-F880+G880</f>
        <v>249769</v>
      </c>
      <c r="J880" s="9">
        <f t="shared" si="484"/>
        <v>0</v>
      </c>
      <c r="K880" s="45" t="s">
        <v>83</v>
      </c>
      <c r="L880" s="47">
        <v>0</v>
      </c>
      <c r="M880" s="47">
        <v>0</v>
      </c>
      <c r="N880" s="47">
        <v>0</v>
      </c>
      <c r="O880" s="47">
        <v>0</v>
      </c>
    </row>
    <row r="881" spans="1:15" ht="16.5">
      <c r="A881" s="58" t="str">
        <f t="shared" si="480"/>
        <v>Grace</v>
      </c>
      <c r="B881" s="97" t="s">
        <v>2</v>
      </c>
      <c r="C881" s="61">
        <v>10700</v>
      </c>
      <c r="D881" s="61">
        <f t="shared" si="481"/>
        <v>10000</v>
      </c>
      <c r="E881" s="61">
        <f t="shared" si="482"/>
        <v>10500</v>
      </c>
      <c r="F881" s="61">
        <f t="shared" si="483"/>
        <v>0</v>
      </c>
      <c r="G881" s="61">
        <f t="shared" si="479"/>
        <v>0</v>
      </c>
      <c r="H881" s="61">
        <v>10200</v>
      </c>
      <c r="I881" s="61">
        <f t="shared" si="486"/>
        <v>10200</v>
      </c>
      <c r="J881" s="9">
        <f t="shared" si="484"/>
        <v>0</v>
      </c>
      <c r="K881" s="45" t="s">
        <v>143</v>
      </c>
      <c r="L881" s="47">
        <v>10000</v>
      </c>
      <c r="M881" s="47">
        <v>0</v>
      </c>
      <c r="N881" s="47">
        <v>10500</v>
      </c>
      <c r="O881" s="47">
        <v>0</v>
      </c>
    </row>
    <row r="882" spans="1:15" ht="16.5">
      <c r="A882" s="58" t="str">
        <f t="shared" si="480"/>
        <v>Hurielle</v>
      </c>
      <c r="B882" s="59" t="s">
        <v>154</v>
      </c>
      <c r="C882" s="61">
        <v>52000</v>
      </c>
      <c r="D882" s="61">
        <f t="shared" si="481"/>
        <v>113000</v>
      </c>
      <c r="E882" s="61">
        <f t="shared" si="482"/>
        <v>121500</v>
      </c>
      <c r="F882" s="61">
        <f t="shared" si="483"/>
        <v>0</v>
      </c>
      <c r="G882" s="61">
        <f t="shared" si="479"/>
        <v>0</v>
      </c>
      <c r="H882" s="61">
        <v>43500</v>
      </c>
      <c r="I882" s="61">
        <f t="shared" si="486"/>
        <v>43500</v>
      </c>
      <c r="J882" s="9">
        <f>I882-H882</f>
        <v>0</v>
      </c>
      <c r="K882" s="45" t="s">
        <v>197</v>
      </c>
      <c r="L882" s="47">
        <v>113000</v>
      </c>
      <c r="M882" s="47">
        <v>0</v>
      </c>
      <c r="N882" s="47">
        <v>121500</v>
      </c>
      <c r="O882" s="47">
        <v>0</v>
      </c>
    </row>
    <row r="883" spans="1:15" ht="16.5">
      <c r="A883" s="58" t="str">
        <f t="shared" si="480"/>
        <v>I23C</v>
      </c>
      <c r="B883" s="97" t="s">
        <v>4</v>
      </c>
      <c r="C883" s="61">
        <v>116050</v>
      </c>
      <c r="D883" s="61">
        <f t="shared" si="481"/>
        <v>599000</v>
      </c>
      <c r="E883" s="61">
        <f t="shared" si="482"/>
        <v>537500</v>
      </c>
      <c r="F883" s="61">
        <f t="shared" si="483"/>
        <v>0</v>
      </c>
      <c r="G883" s="61">
        <f t="shared" si="479"/>
        <v>0</v>
      </c>
      <c r="H883" s="61">
        <v>177550</v>
      </c>
      <c r="I883" s="61">
        <f t="shared" si="486"/>
        <v>177550</v>
      </c>
      <c r="J883" s="9">
        <f t="shared" ref="J883:J884" si="487">I883-H883</f>
        <v>0</v>
      </c>
      <c r="K883" s="45" t="s">
        <v>30</v>
      </c>
      <c r="L883" s="47">
        <v>599000</v>
      </c>
      <c r="M883" s="47">
        <v>0</v>
      </c>
      <c r="N883" s="47">
        <v>537500</v>
      </c>
      <c r="O883" s="47">
        <v>0</v>
      </c>
    </row>
    <row r="884" spans="1:15" ht="16.5">
      <c r="A884" s="58" t="str">
        <f t="shared" si="480"/>
        <v>Merveille</v>
      </c>
      <c r="B884" s="59" t="s">
        <v>2</v>
      </c>
      <c r="C884" s="61">
        <v>4400</v>
      </c>
      <c r="D884" s="61">
        <f t="shared" si="481"/>
        <v>20000</v>
      </c>
      <c r="E884" s="61">
        <f t="shared" si="482"/>
        <v>20000</v>
      </c>
      <c r="F884" s="61">
        <f t="shared" si="483"/>
        <v>0</v>
      </c>
      <c r="G884" s="61">
        <f t="shared" si="479"/>
        <v>0</v>
      </c>
      <c r="H884" s="61">
        <v>4400</v>
      </c>
      <c r="I884" s="61">
        <f>+C884+D884-E884-F884+G884</f>
        <v>4400</v>
      </c>
      <c r="J884" s="9">
        <f t="shared" si="487"/>
        <v>0</v>
      </c>
      <c r="K884" s="45" t="s">
        <v>93</v>
      </c>
      <c r="L884" s="47">
        <v>20000</v>
      </c>
      <c r="M884" s="47">
        <v>0</v>
      </c>
      <c r="N884" s="47">
        <v>20000</v>
      </c>
      <c r="O884" s="47">
        <v>0</v>
      </c>
    </row>
    <row r="885" spans="1:15" ht="16.5">
      <c r="A885" s="58" t="str">
        <f t="shared" si="480"/>
        <v>P29</v>
      </c>
      <c r="B885" s="59" t="s">
        <v>4</v>
      </c>
      <c r="C885" s="61">
        <v>16200</v>
      </c>
      <c r="D885" s="61">
        <f t="shared" si="481"/>
        <v>874000</v>
      </c>
      <c r="E885" s="61">
        <f t="shared" si="482"/>
        <v>495500</v>
      </c>
      <c r="F885" s="61">
        <f t="shared" si="483"/>
        <v>100000</v>
      </c>
      <c r="G885" s="61">
        <f>+O885</f>
        <v>0</v>
      </c>
      <c r="H885" s="61">
        <v>294700</v>
      </c>
      <c r="I885" s="61">
        <f>+C885+D885-E885-F885+G885</f>
        <v>294700</v>
      </c>
      <c r="J885" s="9">
        <f>I885-H885</f>
        <v>0</v>
      </c>
      <c r="K885" s="45" t="s">
        <v>29</v>
      </c>
      <c r="L885" s="47">
        <v>874000</v>
      </c>
      <c r="M885" s="47">
        <v>100000</v>
      </c>
      <c r="N885" s="47">
        <v>495500</v>
      </c>
      <c r="O885" s="47">
        <v>0</v>
      </c>
    </row>
    <row r="886" spans="1:15" ht="16.5">
      <c r="A886" s="58" t="str">
        <f t="shared" si="480"/>
        <v>Paule</v>
      </c>
      <c r="B886" s="59" t="s">
        <v>154</v>
      </c>
      <c r="C886" s="61">
        <v>6000</v>
      </c>
      <c r="D886" s="61">
        <f t="shared" si="481"/>
        <v>80000</v>
      </c>
      <c r="E886" s="61">
        <f t="shared" si="482"/>
        <v>72500</v>
      </c>
      <c r="F886" s="61">
        <f t="shared" si="483"/>
        <v>0</v>
      </c>
      <c r="G886" s="61">
        <f>+O886</f>
        <v>0</v>
      </c>
      <c r="H886" s="61">
        <v>13500</v>
      </c>
      <c r="I886" s="61">
        <f>+C886+D886-E886-F886+G886</f>
        <v>13500</v>
      </c>
      <c r="J886" s="9">
        <f>I886-H886</f>
        <v>0</v>
      </c>
      <c r="K886" s="45" t="s">
        <v>196</v>
      </c>
      <c r="L886" s="47">
        <v>80000</v>
      </c>
      <c r="M886" s="47">
        <v>0</v>
      </c>
      <c r="N886" s="47">
        <v>72500</v>
      </c>
      <c r="O886" s="47">
        <v>0</v>
      </c>
    </row>
    <row r="887" spans="1:15" ht="16.5">
      <c r="A887" s="58" t="str">
        <f t="shared" si="480"/>
        <v>Tiffany</v>
      </c>
      <c r="B887" s="59" t="s">
        <v>2</v>
      </c>
      <c r="C887" s="61">
        <v>-790759</v>
      </c>
      <c r="D887" s="61">
        <f t="shared" si="481"/>
        <v>800000</v>
      </c>
      <c r="E887" s="61">
        <f t="shared" si="482"/>
        <v>16500</v>
      </c>
      <c r="F887" s="61">
        <f t="shared" si="483"/>
        <v>0</v>
      </c>
      <c r="G887" s="61">
        <f t="shared" ref="G887" si="488">+O887</f>
        <v>0</v>
      </c>
      <c r="H887" s="61">
        <v>-7259</v>
      </c>
      <c r="I887" s="61">
        <f t="shared" ref="I887" si="489">+C887+D887-E887-F887+G887</f>
        <v>-7259</v>
      </c>
      <c r="J887" s="9">
        <f t="shared" ref="J887" si="490">I887-H887</f>
        <v>0</v>
      </c>
      <c r="K887" s="45" t="s">
        <v>113</v>
      </c>
      <c r="L887" s="47">
        <v>800000</v>
      </c>
      <c r="M887" s="47">
        <v>0</v>
      </c>
      <c r="N887" s="47">
        <v>16500</v>
      </c>
      <c r="O887" s="47">
        <v>0</v>
      </c>
    </row>
    <row r="888" spans="1:15" ht="16.5">
      <c r="A888" s="10" t="s">
        <v>50</v>
      </c>
      <c r="B888" s="11"/>
      <c r="C888" s="12">
        <f t="shared" ref="C888:I888" si="491">SUM(C873:C887)</f>
        <v>31829567</v>
      </c>
      <c r="D888" s="57">
        <f t="shared" si="491"/>
        <v>8574000</v>
      </c>
      <c r="E888" s="57">
        <f t="shared" si="491"/>
        <v>9054909</v>
      </c>
      <c r="F888" s="57">
        <f t="shared" si="491"/>
        <v>8574000</v>
      </c>
      <c r="G888" s="57">
        <f t="shared" si="491"/>
        <v>0</v>
      </c>
      <c r="H888" s="57">
        <f t="shared" si="491"/>
        <v>22774658</v>
      </c>
      <c r="I888" s="57">
        <f t="shared" si="491"/>
        <v>22774658</v>
      </c>
      <c r="J888" s="9">
        <f>I888-H888</f>
        <v>0</v>
      </c>
      <c r="K888" s="3"/>
      <c r="L888" s="47">
        <f>+SUM(L873:L887)</f>
        <v>8574000</v>
      </c>
      <c r="M888" s="47">
        <f>+SUM(M873:M887)</f>
        <v>8574000</v>
      </c>
      <c r="N888" s="47">
        <f>+SUM(N873:N887)</f>
        <v>9054909</v>
      </c>
      <c r="O888" s="47">
        <f>+SUM(O873:O887)</f>
        <v>0</v>
      </c>
    </row>
    <row r="889" spans="1:15" ht="16.5">
      <c r="A889" s="10"/>
      <c r="B889" s="11"/>
      <c r="C889" s="12"/>
      <c r="D889" s="13"/>
      <c r="E889" s="12"/>
      <c r="F889" s="13"/>
      <c r="G889" s="12"/>
      <c r="H889" s="12"/>
      <c r="I889" s="133" t="b">
        <f>I888=D891</f>
        <v>1</v>
      </c>
      <c r="L889" s="5"/>
      <c r="M889" s="5"/>
      <c r="N889" s="5"/>
      <c r="O889" s="5"/>
    </row>
    <row r="890" spans="1:15" ht="16.5">
      <c r="A890" s="10" t="s">
        <v>201</v>
      </c>
      <c r="B890" s="11" t="s">
        <v>202</v>
      </c>
      <c r="C890" s="12" t="s">
        <v>203</v>
      </c>
      <c r="D890" s="12" t="s">
        <v>204</v>
      </c>
      <c r="E890" s="12" t="s">
        <v>51</v>
      </c>
      <c r="F890" s="12"/>
      <c r="G890" s="12">
        <f>+D888-F888</f>
        <v>0</v>
      </c>
      <c r="H890" s="12"/>
      <c r="I890" s="12"/>
    </row>
    <row r="891" spans="1:15" ht="16.5">
      <c r="A891" s="14">
        <f>C888</f>
        <v>31829567</v>
      </c>
      <c r="B891" s="15">
        <f>G888</f>
        <v>0</v>
      </c>
      <c r="C891" s="12">
        <f>E888</f>
        <v>9054909</v>
      </c>
      <c r="D891" s="12">
        <f>A891+B891-C891</f>
        <v>22774658</v>
      </c>
      <c r="E891" s="13">
        <f>I888-D891</f>
        <v>0</v>
      </c>
      <c r="F891" s="12"/>
      <c r="G891" s="12"/>
      <c r="H891" s="12"/>
      <c r="I891" s="12"/>
    </row>
    <row r="892" spans="1:15" ht="16.5">
      <c r="A892" s="14"/>
      <c r="B892" s="15"/>
      <c r="C892" s="12"/>
      <c r="D892" s="12"/>
      <c r="E892" s="13"/>
      <c r="F892" s="12"/>
      <c r="G892" s="12"/>
      <c r="H892" s="12"/>
      <c r="I892" s="12"/>
    </row>
    <row r="893" spans="1:15">
      <c r="A893" s="16" t="s">
        <v>52</v>
      </c>
      <c r="B893" s="16"/>
      <c r="C893" s="16"/>
      <c r="D893" s="17"/>
      <c r="E893" s="17"/>
      <c r="F893" s="17"/>
      <c r="G893" s="17"/>
      <c r="H893" s="17"/>
      <c r="I893" s="17"/>
    </row>
    <row r="894" spans="1:15">
      <c r="A894" s="18" t="s">
        <v>205</v>
      </c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5">
      <c r="A895" s="19"/>
      <c r="B895" s="17"/>
      <c r="C895" s="20"/>
      <c r="D895" s="20"/>
      <c r="E895" s="20"/>
      <c r="F895" s="20"/>
      <c r="G895" s="20"/>
      <c r="H895" s="17"/>
      <c r="I895" s="17"/>
    </row>
    <row r="896" spans="1:15">
      <c r="A896" s="166" t="s">
        <v>53</v>
      </c>
      <c r="B896" s="168" t="s">
        <v>54</v>
      </c>
      <c r="C896" s="170" t="s">
        <v>206</v>
      </c>
      <c r="D896" s="171" t="s">
        <v>55</v>
      </c>
      <c r="E896" s="172"/>
      <c r="F896" s="172"/>
      <c r="G896" s="173"/>
      <c r="H896" s="174" t="s">
        <v>56</v>
      </c>
      <c r="I896" s="162" t="s">
        <v>57</v>
      </c>
      <c r="J896" s="17"/>
    </row>
    <row r="897" spans="1:11" ht="25.5">
      <c r="A897" s="167"/>
      <c r="B897" s="169"/>
      <c r="C897" s="22"/>
      <c r="D897" s="21" t="s">
        <v>24</v>
      </c>
      <c r="E897" s="21" t="s">
        <v>25</v>
      </c>
      <c r="F897" s="22" t="s">
        <v>123</v>
      </c>
      <c r="G897" s="21" t="s">
        <v>58</v>
      </c>
      <c r="H897" s="175"/>
      <c r="I897" s="163"/>
      <c r="J897" s="164" t="s">
        <v>207</v>
      </c>
      <c r="K897" s="142"/>
    </row>
    <row r="898" spans="1:11">
      <c r="A898" s="23"/>
      <c r="B898" s="24" t="s">
        <v>59</v>
      </c>
      <c r="C898" s="25"/>
      <c r="D898" s="25"/>
      <c r="E898" s="25"/>
      <c r="F898" s="25"/>
      <c r="G898" s="25"/>
      <c r="H898" s="25"/>
      <c r="I898" s="26"/>
      <c r="J898" s="165"/>
      <c r="K898" s="142"/>
    </row>
    <row r="899" spans="1:11">
      <c r="A899" s="121" t="s">
        <v>127</v>
      </c>
      <c r="B899" s="126" t="s">
        <v>47</v>
      </c>
      <c r="C899" s="32">
        <f>+C876</f>
        <v>22050</v>
      </c>
      <c r="D899" s="31"/>
      <c r="E899" s="32">
        <f>+D876</f>
        <v>462000</v>
      </c>
      <c r="F899" s="32"/>
      <c r="G899" s="32"/>
      <c r="H899" s="55">
        <f t="shared" ref="H899:H910" si="492">+F876</f>
        <v>0</v>
      </c>
      <c r="I899" s="32">
        <f t="shared" ref="I899:I910" si="493">+E876</f>
        <v>462200</v>
      </c>
      <c r="J899" s="30">
        <f t="shared" ref="J899:J900" si="494">+SUM(C899:G899)-(H899+I899)</f>
        <v>21850</v>
      </c>
      <c r="K899" s="143" t="b">
        <f t="shared" ref="K899:K910" si="495">J899=I876</f>
        <v>1</v>
      </c>
    </row>
    <row r="900" spans="1:11">
      <c r="A900" s="121" t="str">
        <f>+A899</f>
        <v>AVRIL</v>
      </c>
      <c r="B900" s="126" t="s">
        <v>31</v>
      </c>
      <c r="C900" s="32">
        <f t="shared" ref="C900:C901" si="496">+C877</f>
        <v>13995</v>
      </c>
      <c r="D900" s="31"/>
      <c r="E900" s="32">
        <f t="shared" ref="E900:E901" si="497">+D877</f>
        <v>30000</v>
      </c>
      <c r="F900" s="32"/>
      <c r="G900" s="32"/>
      <c r="H900" s="55">
        <f t="shared" si="492"/>
        <v>0</v>
      </c>
      <c r="I900" s="32">
        <f t="shared" si="493"/>
        <v>36000</v>
      </c>
      <c r="J900" s="100">
        <f t="shared" si="494"/>
        <v>7995</v>
      </c>
      <c r="K900" s="143" t="b">
        <f t="shared" si="495"/>
        <v>1</v>
      </c>
    </row>
    <row r="901" spans="1:11">
      <c r="A901" s="121" t="str">
        <f t="shared" ref="A901:A906" si="498">+A900</f>
        <v>AVRIL</v>
      </c>
      <c r="B901" s="127" t="s">
        <v>144</v>
      </c>
      <c r="C901" s="32">
        <f t="shared" si="496"/>
        <v>36485</v>
      </c>
      <c r="D901" s="118"/>
      <c r="E901" s="32">
        <f t="shared" si="497"/>
        <v>486000</v>
      </c>
      <c r="F901" s="51"/>
      <c r="G901" s="51"/>
      <c r="H901" s="55">
        <f t="shared" si="492"/>
        <v>0</v>
      </c>
      <c r="I901" s="32">
        <f t="shared" si="493"/>
        <v>366150</v>
      </c>
      <c r="J901" s="123">
        <f>+SUM(C901:G901)-(H901+I901)</f>
        <v>156335</v>
      </c>
      <c r="K901" s="143" t="b">
        <f t="shared" si="495"/>
        <v>1</v>
      </c>
    </row>
    <row r="902" spans="1:11">
      <c r="A902" s="121" t="str">
        <f t="shared" si="498"/>
        <v>AVRIL</v>
      </c>
      <c r="B902" s="128" t="s">
        <v>84</v>
      </c>
      <c r="C902" s="119">
        <f>+C879</f>
        <v>233614</v>
      </c>
      <c r="D902" s="122"/>
      <c r="E902" s="119">
        <f>+D879</f>
        <v>0</v>
      </c>
      <c r="F902" s="136"/>
      <c r="G902" s="136"/>
      <c r="H902" s="154">
        <f t="shared" si="492"/>
        <v>0</v>
      </c>
      <c r="I902" s="119">
        <f t="shared" si="493"/>
        <v>0</v>
      </c>
      <c r="J902" s="120">
        <f>+SUM(C902:G902)-(H902+I902)</f>
        <v>233614</v>
      </c>
      <c r="K902" s="143" t="b">
        <f t="shared" si="495"/>
        <v>1</v>
      </c>
    </row>
    <row r="903" spans="1:11">
      <c r="A903" s="121" t="str">
        <f t="shared" si="498"/>
        <v>AVRIL</v>
      </c>
      <c r="B903" s="128" t="s">
        <v>83</v>
      </c>
      <c r="C903" s="119">
        <f>+C880</f>
        <v>249769</v>
      </c>
      <c r="D903" s="122"/>
      <c r="E903" s="119">
        <f>+D880</f>
        <v>0</v>
      </c>
      <c r="F903" s="136"/>
      <c r="G903" s="136"/>
      <c r="H903" s="154">
        <f t="shared" si="492"/>
        <v>0</v>
      </c>
      <c r="I903" s="119">
        <f t="shared" si="493"/>
        <v>0</v>
      </c>
      <c r="J903" s="120">
        <f t="shared" ref="J903:J910" si="499">+SUM(C903:G903)-(H903+I903)</f>
        <v>249769</v>
      </c>
      <c r="K903" s="143" t="b">
        <f t="shared" si="495"/>
        <v>1</v>
      </c>
    </row>
    <row r="904" spans="1:11">
      <c r="A904" s="121" t="str">
        <f t="shared" si="498"/>
        <v>AVRIL</v>
      </c>
      <c r="B904" s="126" t="s">
        <v>143</v>
      </c>
      <c r="C904" s="32">
        <f>+C881</f>
        <v>10700</v>
      </c>
      <c r="D904" s="31"/>
      <c r="E904" s="32">
        <f>+D881</f>
        <v>10000</v>
      </c>
      <c r="F904" s="32"/>
      <c r="G904" s="103"/>
      <c r="H904" s="55">
        <f t="shared" si="492"/>
        <v>0</v>
      </c>
      <c r="I904" s="32">
        <f t="shared" si="493"/>
        <v>10500</v>
      </c>
      <c r="J904" s="30">
        <f t="shared" si="499"/>
        <v>10200</v>
      </c>
      <c r="K904" s="143" t="b">
        <f t="shared" si="495"/>
        <v>1</v>
      </c>
    </row>
    <row r="905" spans="1:11">
      <c r="A905" s="121" t="str">
        <f t="shared" si="498"/>
        <v>AVRIL</v>
      </c>
      <c r="B905" s="126" t="s">
        <v>197</v>
      </c>
      <c r="C905" s="32">
        <f t="shared" ref="C905:C908" si="500">+C882</f>
        <v>52000</v>
      </c>
      <c r="D905" s="31"/>
      <c r="E905" s="32">
        <f t="shared" ref="E905:E910" si="501">+D882</f>
        <v>113000</v>
      </c>
      <c r="F905" s="32"/>
      <c r="G905" s="103"/>
      <c r="H905" s="55">
        <f t="shared" si="492"/>
        <v>0</v>
      </c>
      <c r="I905" s="32">
        <f t="shared" si="493"/>
        <v>121500</v>
      </c>
      <c r="J905" s="30">
        <f t="shared" si="499"/>
        <v>43500</v>
      </c>
      <c r="K905" s="143" t="b">
        <f t="shared" si="495"/>
        <v>1</v>
      </c>
    </row>
    <row r="906" spans="1:11">
      <c r="A906" s="121" t="str">
        <f t="shared" si="498"/>
        <v>AVRIL</v>
      </c>
      <c r="B906" s="126" t="s">
        <v>30</v>
      </c>
      <c r="C906" s="32">
        <f t="shared" si="500"/>
        <v>116050</v>
      </c>
      <c r="D906" s="31"/>
      <c r="E906" s="32">
        <f t="shared" si="501"/>
        <v>599000</v>
      </c>
      <c r="F906" s="32"/>
      <c r="G906" s="103"/>
      <c r="H906" s="55">
        <f t="shared" si="492"/>
        <v>0</v>
      </c>
      <c r="I906" s="32">
        <f t="shared" si="493"/>
        <v>537500</v>
      </c>
      <c r="J906" s="30">
        <f t="shared" si="499"/>
        <v>177550</v>
      </c>
      <c r="K906" s="143" t="b">
        <f t="shared" si="495"/>
        <v>1</v>
      </c>
    </row>
    <row r="907" spans="1:11">
      <c r="A907" s="121" t="str">
        <f>+A905</f>
        <v>AVRIL</v>
      </c>
      <c r="B907" s="126" t="s">
        <v>93</v>
      </c>
      <c r="C907" s="32">
        <f t="shared" si="500"/>
        <v>4400</v>
      </c>
      <c r="D907" s="31"/>
      <c r="E907" s="32">
        <f t="shared" si="501"/>
        <v>20000</v>
      </c>
      <c r="F907" s="32"/>
      <c r="G907" s="103"/>
      <c r="H907" s="55">
        <f t="shared" si="492"/>
        <v>0</v>
      </c>
      <c r="I907" s="32">
        <f t="shared" si="493"/>
        <v>20000</v>
      </c>
      <c r="J907" s="30">
        <f t="shared" si="499"/>
        <v>4400</v>
      </c>
      <c r="K907" s="143" t="b">
        <f t="shared" si="495"/>
        <v>1</v>
      </c>
    </row>
    <row r="908" spans="1:11">
      <c r="A908" s="121" t="str">
        <f>+A906</f>
        <v>AVRIL</v>
      </c>
      <c r="B908" s="126" t="s">
        <v>29</v>
      </c>
      <c r="C908" s="32">
        <f t="shared" si="500"/>
        <v>16200</v>
      </c>
      <c r="D908" s="31"/>
      <c r="E908" s="32">
        <f t="shared" si="501"/>
        <v>874000</v>
      </c>
      <c r="F908" s="32"/>
      <c r="G908" s="103"/>
      <c r="H908" s="55">
        <f t="shared" si="492"/>
        <v>100000</v>
      </c>
      <c r="I908" s="32">
        <f t="shared" si="493"/>
        <v>495500</v>
      </c>
      <c r="J908" s="30">
        <f t="shared" si="499"/>
        <v>294700</v>
      </c>
      <c r="K908" s="143" t="b">
        <f t="shared" si="495"/>
        <v>1</v>
      </c>
    </row>
    <row r="909" spans="1:11">
      <c r="A909" s="121" t="str">
        <f>+A907</f>
        <v>AVRIL</v>
      </c>
      <c r="B909" s="126" t="s">
        <v>196</v>
      </c>
      <c r="C909" s="32">
        <f>+C886</f>
        <v>6000</v>
      </c>
      <c r="D909" s="31"/>
      <c r="E909" s="32">
        <f t="shared" si="501"/>
        <v>80000</v>
      </c>
      <c r="F909" s="32"/>
      <c r="G909" s="103"/>
      <c r="H909" s="55">
        <f t="shared" si="492"/>
        <v>0</v>
      </c>
      <c r="I909" s="32">
        <f t="shared" si="493"/>
        <v>72500</v>
      </c>
      <c r="J909" s="30">
        <f t="shared" si="499"/>
        <v>13500</v>
      </c>
      <c r="K909" s="143" t="b">
        <f t="shared" si="495"/>
        <v>1</v>
      </c>
    </row>
    <row r="910" spans="1:11">
      <c r="A910" s="121" t="str">
        <f>+A908</f>
        <v>AVRIL</v>
      </c>
      <c r="B910" s="127" t="s">
        <v>113</v>
      </c>
      <c r="C910" s="32">
        <f t="shared" ref="C910" si="502">+C887</f>
        <v>-790759</v>
      </c>
      <c r="D910" s="118"/>
      <c r="E910" s="32">
        <f t="shared" si="501"/>
        <v>800000</v>
      </c>
      <c r="F910" s="51"/>
      <c r="G910" s="137"/>
      <c r="H910" s="55">
        <f t="shared" si="492"/>
        <v>0</v>
      </c>
      <c r="I910" s="32">
        <f t="shared" si="493"/>
        <v>16500</v>
      </c>
      <c r="J910" s="30">
        <f t="shared" si="499"/>
        <v>-7259</v>
      </c>
      <c r="K910" s="143" t="b">
        <f t="shared" si="495"/>
        <v>1</v>
      </c>
    </row>
    <row r="911" spans="1:11">
      <c r="A911" s="34" t="s">
        <v>60</v>
      </c>
      <c r="B911" s="35"/>
      <c r="C911" s="35"/>
      <c r="D911" s="35"/>
      <c r="E911" s="35"/>
      <c r="F911" s="35"/>
      <c r="G911" s="35"/>
      <c r="H911" s="35"/>
      <c r="I911" s="35"/>
      <c r="J911" s="36"/>
      <c r="K911" s="142"/>
    </row>
    <row r="912" spans="1:11">
      <c r="A912" s="121" t="str">
        <f>+A910</f>
        <v>AVRIL</v>
      </c>
      <c r="B912" s="37" t="s">
        <v>61</v>
      </c>
      <c r="C912" s="38">
        <f>+C875</f>
        <v>1160022</v>
      </c>
      <c r="D912" s="49"/>
      <c r="E912" s="49">
        <f>D875</f>
        <v>5100000</v>
      </c>
      <c r="F912" s="49"/>
      <c r="G912" s="124"/>
      <c r="H912" s="51">
        <f>+F875</f>
        <v>3474000</v>
      </c>
      <c r="I912" s="125">
        <f>+E875</f>
        <v>1822909</v>
      </c>
      <c r="J912" s="30">
        <f>+SUM(C912:G912)-(H912+I912)</f>
        <v>963113</v>
      </c>
      <c r="K912" s="143" t="b">
        <f>J912=I875</f>
        <v>1</v>
      </c>
    </row>
    <row r="913" spans="1:16">
      <c r="A913" s="43" t="s">
        <v>62</v>
      </c>
      <c r="B913" s="24"/>
      <c r="C913" s="35"/>
      <c r="D913" s="24"/>
      <c r="E913" s="24"/>
      <c r="F913" s="24"/>
      <c r="G913" s="24"/>
      <c r="H913" s="24"/>
      <c r="I913" s="24"/>
      <c r="J913" s="36"/>
      <c r="K913" s="142"/>
    </row>
    <row r="914" spans="1:16">
      <c r="A914" s="121" t="str">
        <f>+A912</f>
        <v>AVRIL</v>
      </c>
      <c r="B914" s="37" t="s">
        <v>156</v>
      </c>
      <c r="C914" s="124">
        <f>+C873</f>
        <v>9177780</v>
      </c>
      <c r="D914" s="131">
        <f>+G873</f>
        <v>0</v>
      </c>
      <c r="E914" s="49"/>
      <c r="F914" s="49"/>
      <c r="G914" s="49"/>
      <c r="H914" s="51">
        <f>+F873</f>
        <v>5000000</v>
      </c>
      <c r="I914" s="53">
        <f>+E873</f>
        <v>23345</v>
      </c>
      <c r="J914" s="30">
        <f>+SUM(C914:G914)-(H914+I914)</f>
        <v>4154435</v>
      </c>
      <c r="K914" s="143" t="b">
        <f>+J914=I873</f>
        <v>1</v>
      </c>
    </row>
    <row r="915" spans="1:16">
      <c r="A915" s="121" t="str">
        <f t="shared" ref="A915" si="503">+A914</f>
        <v>AVRIL</v>
      </c>
      <c r="B915" s="37" t="s">
        <v>64</v>
      </c>
      <c r="C915" s="124">
        <f>+C874</f>
        <v>21521261</v>
      </c>
      <c r="D915" s="49">
        <f>+G874</f>
        <v>0</v>
      </c>
      <c r="E915" s="48"/>
      <c r="F915" s="48"/>
      <c r="G915" s="48"/>
      <c r="H915" s="32">
        <f>+F874</f>
        <v>0</v>
      </c>
      <c r="I915" s="50">
        <f>+E874</f>
        <v>5070305</v>
      </c>
      <c r="J915" s="30">
        <f>SUM(C915:G915)-(H915+I915)</f>
        <v>16450956</v>
      </c>
      <c r="K915" s="143" t="b">
        <f>+J915=I874</f>
        <v>1</v>
      </c>
    </row>
    <row r="916" spans="1:16" ht="15.75">
      <c r="C916" s="140">
        <f>SUM(C899:C915)</f>
        <v>31829567</v>
      </c>
      <c r="I916" s="139">
        <f>SUM(I899:I915)</f>
        <v>9054909</v>
      </c>
      <c r="J916" s="104">
        <f>+SUM(J899:J915)</f>
        <v>22774658</v>
      </c>
      <c r="K916" s="5" t="b">
        <f>J916=I888</f>
        <v>1</v>
      </c>
    </row>
    <row r="917" spans="1:16" ht="15.75">
      <c r="A917" s="157"/>
      <c r="B917" s="157"/>
      <c r="C917" s="158"/>
      <c r="D917" s="157"/>
      <c r="E917" s="157"/>
      <c r="F917" s="157"/>
      <c r="G917" s="157"/>
      <c r="H917" s="157"/>
      <c r="I917" s="159"/>
      <c r="J917" s="160"/>
      <c r="K917" s="157"/>
      <c r="L917" s="161"/>
      <c r="M917" s="161"/>
      <c r="N917" s="161"/>
      <c r="O917" s="161"/>
      <c r="P917" s="157"/>
    </row>
    <row r="920" spans="1:16" ht="15.75">
      <c r="A920" s="6" t="s">
        <v>36</v>
      </c>
      <c r="B920" s="6" t="s">
        <v>1</v>
      </c>
      <c r="C920" s="6">
        <v>44621</v>
      </c>
      <c r="D920" s="7" t="s">
        <v>37</v>
      </c>
      <c r="E920" s="7" t="s">
        <v>38</v>
      </c>
      <c r="F920" s="7" t="s">
        <v>39</v>
      </c>
      <c r="G920" s="7" t="s">
        <v>40</v>
      </c>
      <c r="H920" s="6">
        <v>44651</v>
      </c>
      <c r="I920" s="7" t="s">
        <v>41</v>
      </c>
      <c r="K920" s="45"/>
      <c r="L920" s="45" t="s">
        <v>42</v>
      </c>
      <c r="M920" s="45" t="s">
        <v>43</v>
      </c>
      <c r="N920" s="45" t="s">
        <v>44</v>
      </c>
      <c r="O920" s="45" t="s">
        <v>45</v>
      </c>
    </row>
    <row r="921" spans="1:16" ht="16.5">
      <c r="A921" s="58" t="str">
        <f>K921</f>
        <v>BCI</v>
      </c>
      <c r="B921" s="59" t="s">
        <v>46</v>
      </c>
      <c r="C921" s="61">
        <v>888683</v>
      </c>
      <c r="D921" s="61">
        <f>+L921</f>
        <v>0</v>
      </c>
      <c r="E921" s="61">
        <f>+N921</f>
        <v>543345</v>
      </c>
      <c r="F921" s="61">
        <f>+M921</f>
        <v>2600000</v>
      </c>
      <c r="G921" s="61">
        <f t="shared" ref="G921:G932" si="504">+O921</f>
        <v>11432442</v>
      </c>
      <c r="H921" s="61">
        <v>9177780</v>
      </c>
      <c r="I921" s="61">
        <f>+C921+D921-E921-F921+G921</f>
        <v>9177780</v>
      </c>
      <c r="J921" s="9">
        <f>I921-H921</f>
        <v>0</v>
      </c>
      <c r="K921" s="45" t="s">
        <v>24</v>
      </c>
      <c r="L921" s="47">
        <v>0</v>
      </c>
      <c r="M921" s="47">
        <v>2600000</v>
      </c>
      <c r="N921" s="47">
        <v>543345</v>
      </c>
      <c r="O921" s="47">
        <v>11432442</v>
      </c>
    </row>
    <row r="922" spans="1:16" ht="16.5">
      <c r="A922" s="58" t="str">
        <f t="shared" ref="A922:A935" si="505">K922</f>
        <v>BCI-Sous Compte</v>
      </c>
      <c r="B922" s="59" t="s">
        <v>46</v>
      </c>
      <c r="C922" s="61">
        <v>882502</v>
      </c>
      <c r="D922" s="61">
        <f t="shared" ref="D922:D935" si="506">+L922</f>
        <v>0</v>
      </c>
      <c r="E922" s="61">
        <f t="shared" ref="E922:E935" si="507">+N922</f>
        <v>6117606</v>
      </c>
      <c r="F922" s="61">
        <f t="shared" ref="F922:F935" si="508">+M922</f>
        <v>1600000</v>
      </c>
      <c r="G922" s="61">
        <f t="shared" si="504"/>
        <v>28356365</v>
      </c>
      <c r="H922" s="61">
        <v>21521261</v>
      </c>
      <c r="I922" s="61">
        <f>+C922+D922-E922-F922+G922</f>
        <v>21521261</v>
      </c>
      <c r="J922" s="9">
        <f t="shared" ref="J922:J929" si="509">I922-H922</f>
        <v>0</v>
      </c>
      <c r="K922" s="45" t="s">
        <v>148</v>
      </c>
      <c r="L922" s="47">
        <v>0</v>
      </c>
      <c r="M922" s="47">
        <v>1600000</v>
      </c>
      <c r="N922" s="47">
        <v>6117606</v>
      </c>
      <c r="O922" s="47">
        <v>28356365</v>
      </c>
    </row>
    <row r="923" spans="1:16" ht="16.5">
      <c r="A923" s="58" t="str">
        <f t="shared" si="505"/>
        <v>Caisse</v>
      </c>
      <c r="B923" s="59" t="s">
        <v>25</v>
      </c>
      <c r="C923" s="61">
        <v>797106</v>
      </c>
      <c r="D923" s="61">
        <f t="shared" si="506"/>
        <v>4270000</v>
      </c>
      <c r="E923" s="61">
        <f t="shared" si="507"/>
        <v>2099084</v>
      </c>
      <c r="F923" s="61">
        <f t="shared" si="508"/>
        <v>1808000</v>
      </c>
      <c r="G923" s="61">
        <f t="shared" si="504"/>
        <v>0</v>
      </c>
      <c r="H923" s="61">
        <v>1160022</v>
      </c>
      <c r="I923" s="61">
        <f>+C923+D923-E923-F923+G923</f>
        <v>1160022</v>
      </c>
      <c r="J923" s="101">
        <f t="shared" si="509"/>
        <v>0</v>
      </c>
      <c r="K923" s="45" t="s">
        <v>25</v>
      </c>
      <c r="L923" s="47">
        <v>4270000</v>
      </c>
      <c r="M923" s="47">
        <v>1808000</v>
      </c>
      <c r="N923" s="47">
        <v>2099084</v>
      </c>
      <c r="O923" s="47">
        <v>0</v>
      </c>
    </row>
    <row r="924" spans="1:16" ht="16.5">
      <c r="A924" s="58" t="str">
        <f t="shared" si="505"/>
        <v>Crépin</v>
      </c>
      <c r="B924" s="59" t="s">
        <v>154</v>
      </c>
      <c r="C924" s="61">
        <v>56050</v>
      </c>
      <c r="D924" s="61">
        <f t="shared" si="506"/>
        <v>0</v>
      </c>
      <c r="E924" s="61">
        <f t="shared" si="507"/>
        <v>4000</v>
      </c>
      <c r="F924" s="61">
        <f t="shared" si="508"/>
        <v>30000</v>
      </c>
      <c r="G924" s="61">
        <f t="shared" si="504"/>
        <v>0</v>
      </c>
      <c r="H924" s="61">
        <v>22050</v>
      </c>
      <c r="I924" s="61">
        <f>+C924+D924-E924-F924+G924</f>
        <v>22050</v>
      </c>
      <c r="J924" s="9">
        <f t="shared" si="509"/>
        <v>0</v>
      </c>
      <c r="K924" s="45" t="s">
        <v>47</v>
      </c>
      <c r="L924" s="47">
        <v>0</v>
      </c>
      <c r="M924" s="47">
        <v>30000</v>
      </c>
      <c r="N924" s="47">
        <v>4000</v>
      </c>
      <c r="O924" s="47">
        <v>0</v>
      </c>
    </row>
    <row r="925" spans="1:16" ht="16.5">
      <c r="A925" s="58" t="str">
        <f t="shared" si="505"/>
        <v>Evariste</v>
      </c>
      <c r="B925" s="59" t="s">
        <v>155</v>
      </c>
      <c r="C925" s="61">
        <v>21495</v>
      </c>
      <c r="D925" s="61">
        <f t="shared" si="506"/>
        <v>139000</v>
      </c>
      <c r="E925" s="61">
        <f t="shared" si="507"/>
        <v>146500</v>
      </c>
      <c r="F925" s="61">
        <f t="shared" si="508"/>
        <v>0</v>
      </c>
      <c r="G925" s="61">
        <f t="shared" si="504"/>
        <v>0</v>
      </c>
      <c r="H925" s="61">
        <v>13995</v>
      </c>
      <c r="I925" s="61">
        <f t="shared" ref="I925" si="510">+C925+D925-E925-F925+G925</f>
        <v>13995</v>
      </c>
      <c r="J925" s="9">
        <f t="shared" si="509"/>
        <v>0</v>
      </c>
      <c r="K925" s="45" t="s">
        <v>31</v>
      </c>
      <c r="L925" s="47">
        <v>139000</v>
      </c>
      <c r="M925" s="47">
        <v>0</v>
      </c>
      <c r="N925" s="47">
        <v>146500</v>
      </c>
      <c r="O925" s="47">
        <v>0</v>
      </c>
    </row>
    <row r="926" spans="1:16" ht="16.5">
      <c r="A926" s="58" t="str">
        <f t="shared" si="505"/>
        <v>Godfré</v>
      </c>
      <c r="B926" s="59" t="s">
        <v>154</v>
      </c>
      <c r="C926" s="61">
        <v>113185</v>
      </c>
      <c r="D926" s="61">
        <f t="shared" si="506"/>
        <v>188000</v>
      </c>
      <c r="E926" s="61">
        <f t="shared" si="507"/>
        <v>224700</v>
      </c>
      <c r="F926" s="61">
        <f t="shared" si="508"/>
        <v>40000</v>
      </c>
      <c r="G926" s="61">
        <f t="shared" si="504"/>
        <v>0</v>
      </c>
      <c r="H926" s="61">
        <v>36485</v>
      </c>
      <c r="I926" s="61">
        <f>+C926+D926-E926-F926+G926</f>
        <v>36485</v>
      </c>
      <c r="J926" s="9">
        <f t="shared" si="509"/>
        <v>0</v>
      </c>
      <c r="K926" s="45" t="s">
        <v>144</v>
      </c>
      <c r="L926" s="47">
        <v>188000</v>
      </c>
      <c r="M926" s="47">
        <v>40000</v>
      </c>
      <c r="N926" s="47">
        <v>224700</v>
      </c>
      <c r="O926" s="47">
        <v>0</v>
      </c>
    </row>
    <row r="927" spans="1:16" ht="16.5">
      <c r="A927" s="58" t="str">
        <f t="shared" si="505"/>
        <v>I55S</v>
      </c>
      <c r="B927" s="115" t="s">
        <v>4</v>
      </c>
      <c r="C927" s="117">
        <v>233614</v>
      </c>
      <c r="D927" s="117">
        <f t="shared" si="506"/>
        <v>0</v>
      </c>
      <c r="E927" s="117">
        <f t="shared" si="507"/>
        <v>0</v>
      </c>
      <c r="F927" s="117">
        <f t="shared" si="508"/>
        <v>0</v>
      </c>
      <c r="G927" s="117">
        <f t="shared" si="504"/>
        <v>0</v>
      </c>
      <c r="H927" s="117">
        <v>233614</v>
      </c>
      <c r="I927" s="117">
        <f>+C927+D927-E927-F927+G927</f>
        <v>233614</v>
      </c>
      <c r="J927" s="9">
        <f t="shared" si="509"/>
        <v>0</v>
      </c>
      <c r="K927" s="45" t="s">
        <v>84</v>
      </c>
      <c r="L927" s="47">
        <v>0</v>
      </c>
      <c r="M927" s="47">
        <v>0</v>
      </c>
      <c r="N927" s="47">
        <v>0</v>
      </c>
      <c r="O927" s="47">
        <v>0</v>
      </c>
    </row>
    <row r="928" spans="1:16" ht="16.5">
      <c r="A928" s="58" t="str">
        <f t="shared" si="505"/>
        <v>I73X</v>
      </c>
      <c r="B928" s="115" t="s">
        <v>4</v>
      </c>
      <c r="C928" s="117">
        <v>249769</v>
      </c>
      <c r="D928" s="117">
        <f t="shared" si="506"/>
        <v>0</v>
      </c>
      <c r="E928" s="117">
        <f t="shared" si="507"/>
        <v>0</v>
      </c>
      <c r="F928" s="117">
        <f t="shared" si="508"/>
        <v>0</v>
      </c>
      <c r="G928" s="117">
        <f t="shared" si="504"/>
        <v>0</v>
      </c>
      <c r="H928" s="117">
        <v>249769</v>
      </c>
      <c r="I928" s="117">
        <f t="shared" ref="I928:I931" si="511">+C928+D928-E928-F928+G928</f>
        <v>249769</v>
      </c>
      <c r="J928" s="9">
        <f t="shared" si="509"/>
        <v>0</v>
      </c>
      <c r="K928" s="45" t="s">
        <v>83</v>
      </c>
      <c r="L928" s="47">
        <v>0</v>
      </c>
      <c r="M928" s="47">
        <v>0</v>
      </c>
      <c r="N928" s="47">
        <v>0</v>
      </c>
      <c r="O928" s="47">
        <v>0</v>
      </c>
    </row>
    <row r="929" spans="1:15" ht="16.5">
      <c r="A929" s="58" t="str">
        <f t="shared" si="505"/>
        <v>Grace</v>
      </c>
      <c r="B929" s="97" t="s">
        <v>2</v>
      </c>
      <c r="C929" s="61">
        <v>20700</v>
      </c>
      <c r="D929" s="61">
        <f t="shared" si="506"/>
        <v>0</v>
      </c>
      <c r="E929" s="61">
        <f t="shared" si="507"/>
        <v>10000</v>
      </c>
      <c r="F929" s="61">
        <f t="shared" si="508"/>
        <v>0</v>
      </c>
      <c r="G929" s="61">
        <f t="shared" si="504"/>
        <v>0</v>
      </c>
      <c r="H929" s="61">
        <v>10700</v>
      </c>
      <c r="I929" s="61">
        <f t="shared" si="511"/>
        <v>10700</v>
      </c>
      <c r="J929" s="9">
        <f t="shared" si="509"/>
        <v>0</v>
      </c>
      <c r="K929" s="45" t="s">
        <v>143</v>
      </c>
      <c r="L929" s="47">
        <v>0</v>
      </c>
      <c r="M929" s="47">
        <v>0</v>
      </c>
      <c r="N929" s="47">
        <v>10000</v>
      </c>
      <c r="O929" s="47">
        <v>0</v>
      </c>
    </row>
    <row r="930" spans="1:15" ht="16.5">
      <c r="A930" s="58" t="str">
        <f t="shared" si="505"/>
        <v>Hurielle</v>
      </c>
      <c r="B930" s="59" t="s">
        <v>154</v>
      </c>
      <c r="C930" s="61">
        <v>0</v>
      </c>
      <c r="D930" s="61">
        <f t="shared" si="506"/>
        <v>135000</v>
      </c>
      <c r="E930" s="61">
        <f t="shared" si="507"/>
        <v>83000</v>
      </c>
      <c r="F930" s="61">
        <f t="shared" si="508"/>
        <v>0</v>
      </c>
      <c r="G930" s="61">
        <f t="shared" si="504"/>
        <v>0</v>
      </c>
      <c r="H930" s="61">
        <v>52000</v>
      </c>
      <c r="I930" s="61">
        <f t="shared" si="511"/>
        <v>52000</v>
      </c>
      <c r="J930" s="9">
        <f>I930-H930</f>
        <v>0</v>
      </c>
      <c r="K930" s="45" t="s">
        <v>197</v>
      </c>
      <c r="L930" s="47">
        <v>135000</v>
      </c>
      <c r="M930" s="47">
        <v>0</v>
      </c>
      <c r="N930" s="47">
        <v>83000</v>
      </c>
      <c r="O930" s="47">
        <v>0</v>
      </c>
    </row>
    <row r="931" spans="1:15" ht="16.5">
      <c r="A931" s="58" t="str">
        <f t="shared" si="505"/>
        <v>I23C</v>
      </c>
      <c r="B931" s="97" t="s">
        <v>4</v>
      </c>
      <c r="C931" s="61">
        <v>15550</v>
      </c>
      <c r="D931" s="61">
        <f t="shared" si="506"/>
        <v>747000</v>
      </c>
      <c r="E931" s="61">
        <f t="shared" si="507"/>
        <v>646500</v>
      </c>
      <c r="F931" s="61">
        <f t="shared" si="508"/>
        <v>0</v>
      </c>
      <c r="G931" s="61">
        <f t="shared" si="504"/>
        <v>0</v>
      </c>
      <c r="H931" s="61">
        <v>116050</v>
      </c>
      <c r="I931" s="61">
        <f t="shared" si="511"/>
        <v>116050</v>
      </c>
      <c r="J931" s="9">
        <f t="shared" ref="J931:J932" si="512">I931-H931</f>
        <v>0</v>
      </c>
      <c r="K931" s="45" t="s">
        <v>30</v>
      </c>
      <c r="L931" s="47">
        <v>747000</v>
      </c>
      <c r="M931" s="47">
        <v>0</v>
      </c>
      <c r="N931" s="47">
        <v>646500</v>
      </c>
      <c r="O931" s="47">
        <v>0</v>
      </c>
    </row>
    <row r="932" spans="1:15" ht="16.5">
      <c r="A932" s="58" t="str">
        <f t="shared" si="505"/>
        <v>Merveille</v>
      </c>
      <c r="B932" s="59" t="s">
        <v>2</v>
      </c>
      <c r="C932" s="61">
        <v>4800</v>
      </c>
      <c r="D932" s="61">
        <f t="shared" si="506"/>
        <v>20000</v>
      </c>
      <c r="E932" s="61">
        <f t="shared" si="507"/>
        <v>20400</v>
      </c>
      <c r="F932" s="61">
        <f t="shared" si="508"/>
        <v>0</v>
      </c>
      <c r="G932" s="61">
        <f t="shared" si="504"/>
        <v>0</v>
      </c>
      <c r="H932" s="61">
        <v>4400</v>
      </c>
      <c r="I932" s="61">
        <f>+C932+D932-E932-F932+G932</f>
        <v>4400</v>
      </c>
      <c r="J932" s="9">
        <f t="shared" si="512"/>
        <v>0</v>
      </c>
      <c r="K932" s="45" t="s">
        <v>93</v>
      </c>
      <c r="L932" s="47">
        <v>20000</v>
      </c>
      <c r="M932" s="47">
        <v>0</v>
      </c>
      <c r="N932" s="47">
        <v>20400</v>
      </c>
      <c r="O932" s="47"/>
    </row>
    <row r="933" spans="1:15" ht="16.5">
      <c r="A933" s="58" t="str">
        <f t="shared" si="505"/>
        <v>P29</v>
      </c>
      <c r="B933" s="59" t="s">
        <v>4</v>
      </c>
      <c r="C933" s="61">
        <v>136200</v>
      </c>
      <c r="D933" s="61">
        <f t="shared" si="506"/>
        <v>380000</v>
      </c>
      <c r="E933" s="61">
        <f t="shared" si="507"/>
        <v>500000</v>
      </c>
      <c r="F933" s="61">
        <f t="shared" si="508"/>
        <v>0</v>
      </c>
      <c r="G933" s="61">
        <f>+O933</f>
        <v>0</v>
      </c>
      <c r="H933" s="61">
        <v>16200</v>
      </c>
      <c r="I933" s="61">
        <f>+C933+D933-E933-F933+G933</f>
        <v>16200</v>
      </c>
      <c r="J933" s="9">
        <f>I933-H933</f>
        <v>0</v>
      </c>
      <c r="K933" s="45" t="s">
        <v>29</v>
      </c>
      <c r="L933" s="47">
        <v>380000</v>
      </c>
      <c r="M933" s="47">
        <v>0</v>
      </c>
      <c r="N933" s="47">
        <v>500000</v>
      </c>
      <c r="O933" s="47">
        <v>0</v>
      </c>
    </row>
    <row r="934" spans="1:15" ht="16.5">
      <c r="A934" s="58" t="str">
        <f t="shared" si="505"/>
        <v>Paule</v>
      </c>
      <c r="B934" s="59" t="s">
        <v>154</v>
      </c>
      <c r="C934" s="61">
        <v>0</v>
      </c>
      <c r="D934" s="61">
        <f t="shared" si="506"/>
        <v>129000</v>
      </c>
      <c r="E934" s="61">
        <f t="shared" si="507"/>
        <v>123000</v>
      </c>
      <c r="F934" s="61">
        <f t="shared" si="508"/>
        <v>0</v>
      </c>
      <c r="G934" s="61">
        <f>+O934</f>
        <v>0</v>
      </c>
      <c r="H934" s="61">
        <v>6000</v>
      </c>
      <c r="I934" s="61">
        <f>+C934+D934-E934-F934+G934</f>
        <v>6000</v>
      </c>
      <c r="J934" s="9">
        <f>I934-H934</f>
        <v>0</v>
      </c>
      <c r="K934" s="45" t="s">
        <v>196</v>
      </c>
      <c r="L934" s="47">
        <v>129000</v>
      </c>
      <c r="M934" s="47">
        <v>0</v>
      </c>
      <c r="N934" s="47">
        <v>123000</v>
      </c>
      <c r="O934" s="47">
        <v>0</v>
      </c>
    </row>
    <row r="935" spans="1:15" ht="16.5">
      <c r="A935" s="58" t="str">
        <f t="shared" si="505"/>
        <v>Tiffany</v>
      </c>
      <c r="B935" s="59" t="s">
        <v>2</v>
      </c>
      <c r="C935" s="61">
        <v>-36737</v>
      </c>
      <c r="D935" s="61">
        <f t="shared" si="506"/>
        <v>70000</v>
      </c>
      <c r="E935" s="61">
        <f t="shared" si="507"/>
        <v>824022</v>
      </c>
      <c r="F935" s="61">
        <f t="shared" si="508"/>
        <v>0</v>
      </c>
      <c r="G935" s="61">
        <f t="shared" ref="G935" si="513">+O935</f>
        <v>0</v>
      </c>
      <c r="H935" s="61">
        <v>-790759</v>
      </c>
      <c r="I935" s="61">
        <f t="shared" ref="I935" si="514">+C935+D935-E935-F935+G935</f>
        <v>-790759</v>
      </c>
      <c r="J935" s="9">
        <f t="shared" ref="J935" si="515">I935-H935</f>
        <v>0</v>
      </c>
      <c r="K935" s="45" t="s">
        <v>113</v>
      </c>
      <c r="L935" s="47">
        <v>70000</v>
      </c>
      <c r="M935" s="47">
        <v>0</v>
      </c>
      <c r="N935" s="47">
        <v>824022</v>
      </c>
      <c r="O935" s="47">
        <v>0</v>
      </c>
    </row>
    <row r="936" spans="1:15" ht="16.5">
      <c r="A936" s="10" t="s">
        <v>50</v>
      </c>
      <c r="B936" s="11"/>
      <c r="C936" s="12">
        <f t="shared" ref="C936:I936" si="516">SUM(C921:C935)</f>
        <v>3382917</v>
      </c>
      <c r="D936" s="57">
        <f t="shared" si="516"/>
        <v>6078000</v>
      </c>
      <c r="E936" s="57">
        <f t="shared" si="516"/>
        <v>11342157</v>
      </c>
      <c r="F936" s="57">
        <f t="shared" si="516"/>
        <v>6078000</v>
      </c>
      <c r="G936" s="57">
        <f t="shared" si="516"/>
        <v>39788807</v>
      </c>
      <c r="H936" s="57">
        <f t="shared" si="516"/>
        <v>31829567</v>
      </c>
      <c r="I936" s="57">
        <f t="shared" si="516"/>
        <v>31829567</v>
      </c>
      <c r="J936" s="9">
        <f>I936-H936</f>
        <v>0</v>
      </c>
      <c r="K936" s="3"/>
      <c r="L936" s="47">
        <f>+SUM(L921:L935)</f>
        <v>6078000</v>
      </c>
      <c r="M936" s="47">
        <f>+SUM(M921:M935)</f>
        <v>6078000</v>
      </c>
      <c r="N936" s="47">
        <f>+SUM(N921:N935)</f>
        <v>11342157</v>
      </c>
      <c r="O936" s="47">
        <f>+SUM(O921:O935)</f>
        <v>39788807</v>
      </c>
    </row>
    <row r="937" spans="1:15" ht="16.5">
      <c r="A937" s="10"/>
      <c r="B937" s="11"/>
      <c r="C937" s="12"/>
      <c r="D937" s="13"/>
      <c r="E937" s="12"/>
      <c r="F937" s="13"/>
      <c r="G937" s="12"/>
      <c r="H937" s="12"/>
      <c r="I937" s="133" t="b">
        <f>I936=D939</f>
        <v>1</v>
      </c>
      <c r="L937" s="5"/>
      <c r="M937" s="5"/>
      <c r="N937" s="5"/>
      <c r="O937" s="5"/>
    </row>
    <row r="938" spans="1:15" ht="16.5">
      <c r="A938" s="10" t="s">
        <v>189</v>
      </c>
      <c r="B938" s="11" t="s">
        <v>190</v>
      </c>
      <c r="C938" s="12" t="s">
        <v>194</v>
      </c>
      <c r="D938" s="12" t="s">
        <v>191</v>
      </c>
      <c r="E938" s="12" t="s">
        <v>51</v>
      </c>
      <c r="F938" s="12"/>
      <c r="G938" s="12">
        <f>+D936-F936</f>
        <v>0</v>
      </c>
      <c r="H938" s="12"/>
      <c r="I938" s="12"/>
    </row>
    <row r="939" spans="1:15" ht="16.5">
      <c r="A939" s="14">
        <f>C936</f>
        <v>3382917</v>
      </c>
      <c r="B939" s="15">
        <f>G936</f>
        <v>39788807</v>
      </c>
      <c r="C939" s="12">
        <f>E936</f>
        <v>11342157</v>
      </c>
      <c r="D939" s="12">
        <f>A939+B939-C939</f>
        <v>31829567</v>
      </c>
      <c r="E939" s="13">
        <f>I936-D939</f>
        <v>0</v>
      </c>
      <c r="F939" s="12"/>
      <c r="G939" s="12"/>
      <c r="H939" s="12"/>
      <c r="I939" s="12"/>
    </row>
    <row r="940" spans="1:15" ht="16.5">
      <c r="A940" s="14"/>
      <c r="B940" s="15"/>
      <c r="C940" s="12"/>
      <c r="D940" s="12"/>
      <c r="E940" s="13"/>
      <c r="F940" s="12"/>
      <c r="G940" s="12"/>
      <c r="H940" s="12"/>
      <c r="I940" s="12"/>
    </row>
    <row r="941" spans="1:15">
      <c r="A941" s="16" t="s">
        <v>52</v>
      </c>
      <c r="B941" s="16"/>
      <c r="C941" s="16"/>
      <c r="D941" s="17"/>
      <c r="E941" s="17"/>
      <c r="F941" s="17"/>
      <c r="G941" s="17"/>
      <c r="H941" s="17"/>
      <c r="I941" s="17"/>
    </row>
    <row r="942" spans="1:15">
      <c r="A942" s="18" t="s">
        <v>192</v>
      </c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5">
      <c r="A943" s="19"/>
      <c r="B943" s="17"/>
      <c r="C943" s="20"/>
      <c r="D943" s="20"/>
      <c r="E943" s="20"/>
      <c r="F943" s="20"/>
      <c r="G943" s="20"/>
      <c r="H943" s="17"/>
      <c r="I943" s="17"/>
    </row>
    <row r="944" spans="1:15">
      <c r="A944" s="166" t="s">
        <v>53</v>
      </c>
      <c r="B944" s="168" t="s">
        <v>54</v>
      </c>
      <c r="C944" s="170" t="s">
        <v>193</v>
      </c>
      <c r="D944" s="171" t="s">
        <v>55</v>
      </c>
      <c r="E944" s="172"/>
      <c r="F944" s="172"/>
      <c r="G944" s="173"/>
      <c r="H944" s="174" t="s">
        <v>56</v>
      </c>
      <c r="I944" s="162" t="s">
        <v>57</v>
      </c>
      <c r="J944" s="17"/>
    </row>
    <row r="945" spans="1:11" ht="25.5">
      <c r="A945" s="167"/>
      <c r="B945" s="169"/>
      <c r="C945" s="22"/>
      <c r="D945" s="21" t="s">
        <v>24</v>
      </c>
      <c r="E945" s="21" t="s">
        <v>25</v>
      </c>
      <c r="F945" s="22" t="s">
        <v>123</v>
      </c>
      <c r="G945" s="21" t="s">
        <v>58</v>
      </c>
      <c r="H945" s="175"/>
      <c r="I945" s="163"/>
      <c r="J945" s="164" t="s">
        <v>188</v>
      </c>
      <c r="K945" s="142"/>
    </row>
    <row r="946" spans="1:11">
      <c r="A946" s="23"/>
      <c r="B946" s="24" t="s">
        <v>59</v>
      </c>
      <c r="C946" s="25"/>
      <c r="D946" s="25"/>
      <c r="E946" s="25"/>
      <c r="F946" s="25"/>
      <c r="G946" s="25"/>
      <c r="H946" s="25"/>
      <c r="I946" s="26"/>
      <c r="J946" s="165"/>
      <c r="K946" s="142"/>
    </row>
    <row r="947" spans="1:11">
      <c r="A947" s="121" t="s">
        <v>120</v>
      </c>
      <c r="B947" s="126" t="s">
        <v>47</v>
      </c>
      <c r="C947" s="32">
        <f>+C924</f>
        <v>56050</v>
      </c>
      <c r="D947" s="31"/>
      <c r="E947" s="32">
        <f>+D924</f>
        <v>0</v>
      </c>
      <c r="F947" s="32"/>
      <c r="G947" s="32"/>
      <c r="H947" s="55">
        <f t="shared" ref="H947:H957" si="517">+F924</f>
        <v>30000</v>
      </c>
      <c r="I947" s="32">
        <f t="shared" ref="I947:I957" si="518">+E924</f>
        <v>4000</v>
      </c>
      <c r="J947" s="30">
        <f t="shared" ref="J947:J948" si="519">+SUM(C947:G947)-(H947+I947)</f>
        <v>22050</v>
      </c>
      <c r="K947" s="143" t="b">
        <f t="shared" ref="K947:K957" si="520">J947=I924</f>
        <v>1</v>
      </c>
    </row>
    <row r="948" spans="1:11">
      <c r="A948" s="121" t="str">
        <f>+A947</f>
        <v>MARS</v>
      </c>
      <c r="B948" s="126" t="s">
        <v>31</v>
      </c>
      <c r="C948" s="32">
        <f t="shared" ref="C948:C949" si="521">+C925</f>
        <v>21495</v>
      </c>
      <c r="D948" s="31"/>
      <c r="E948" s="32">
        <f t="shared" ref="E948:E949" si="522">+D925</f>
        <v>139000</v>
      </c>
      <c r="F948" s="32"/>
      <c r="G948" s="32"/>
      <c r="H948" s="55">
        <f t="shared" si="517"/>
        <v>0</v>
      </c>
      <c r="I948" s="32">
        <f t="shared" si="518"/>
        <v>146500</v>
      </c>
      <c r="J948" s="100">
        <f t="shared" si="519"/>
        <v>13995</v>
      </c>
      <c r="K948" s="143" t="b">
        <f t="shared" si="520"/>
        <v>1</v>
      </c>
    </row>
    <row r="949" spans="1:11">
      <c r="A949" s="121" t="str">
        <f t="shared" ref="A949:A954" si="523">+A948</f>
        <v>MARS</v>
      </c>
      <c r="B949" s="127" t="s">
        <v>144</v>
      </c>
      <c r="C949" s="32">
        <f t="shared" si="521"/>
        <v>113185</v>
      </c>
      <c r="D949" s="118"/>
      <c r="E949" s="32">
        <f t="shared" si="522"/>
        <v>188000</v>
      </c>
      <c r="F949" s="51"/>
      <c r="G949" s="51"/>
      <c r="H949" s="55">
        <f t="shared" si="517"/>
        <v>40000</v>
      </c>
      <c r="I949" s="32">
        <f t="shared" si="518"/>
        <v>224700</v>
      </c>
      <c r="J949" s="123">
        <f>+SUM(C949:G949)-(H949+I949)</f>
        <v>36485</v>
      </c>
      <c r="K949" s="143" t="b">
        <f t="shared" si="520"/>
        <v>1</v>
      </c>
    </row>
    <row r="950" spans="1:11">
      <c r="A950" s="121" t="str">
        <f t="shared" si="523"/>
        <v>MARS</v>
      </c>
      <c r="B950" s="128" t="s">
        <v>84</v>
      </c>
      <c r="C950" s="119">
        <f>+C927</f>
        <v>233614</v>
      </c>
      <c r="D950" s="122"/>
      <c r="E950" s="119">
        <f>+D927</f>
        <v>0</v>
      </c>
      <c r="F950" s="136"/>
      <c r="G950" s="136"/>
      <c r="H950" s="154">
        <f t="shared" si="517"/>
        <v>0</v>
      </c>
      <c r="I950" s="119">
        <f t="shared" si="518"/>
        <v>0</v>
      </c>
      <c r="J950" s="120">
        <f>+SUM(C950:G950)-(H950+I950)</f>
        <v>233614</v>
      </c>
      <c r="K950" s="143" t="b">
        <f t="shared" si="520"/>
        <v>1</v>
      </c>
    </row>
    <row r="951" spans="1:11">
      <c r="A951" s="121" t="str">
        <f t="shared" si="523"/>
        <v>MARS</v>
      </c>
      <c r="B951" s="128" t="s">
        <v>83</v>
      </c>
      <c r="C951" s="119">
        <f>+C928</f>
        <v>249769</v>
      </c>
      <c r="D951" s="122"/>
      <c r="E951" s="119">
        <f>+D928</f>
        <v>0</v>
      </c>
      <c r="F951" s="136"/>
      <c r="G951" s="136"/>
      <c r="H951" s="154">
        <f t="shared" si="517"/>
        <v>0</v>
      </c>
      <c r="I951" s="119">
        <f t="shared" si="518"/>
        <v>0</v>
      </c>
      <c r="J951" s="120">
        <f t="shared" ref="J951:J958" si="524">+SUM(C951:G951)-(H951+I951)</f>
        <v>249769</v>
      </c>
      <c r="K951" s="143" t="b">
        <f t="shared" si="520"/>
        <v>1</v>
      </c>
    </row>
    <row r="952" spans="1:11">
      <c r="A952" s="121" t="str">
        <f t="shared" si="523"/>
        <v>MARS</v>
      </c>
      <c r="B952" s="126" t="s">
        <v>143</v>
      </c>
      <c r="C952" s="32">
        <f>+C929</f>
        <v>20700</v>
      </c>
      <c r="D952" s="31"/>
      <c r="E952" s="32">
        <f>+D929</f>
        <v>0</v>
      </c>
      <c r="F952" s="32"/>
      <c r="G952" s="103"/>
      <c r="H952" s="55">
        <f t="shared" si="517"/>
        <v>0</v>
      </c>
      <c r="I952" s="32">
        <f t="shared" si="518"/>
        <v>10000</v>
      </c>
      <c r="J952" s="30">
        <f t="shared" si="524"/>
        <v>10700</v>
      </c>
      <c r="K952" s="143" t="b">
        <f t="shared" si="520"/>
        <v>1</v>
      </c>
    </row>
    <row r="953" spans="1:11">
      <c r="A953" s="121" t="str">
        <f t="shared" si="523"/>
        <v>MARS</v>
      </c>
      <c r="B953" s="126" t="s">
        <v>197</v>
      </c>
      <c r="C953" s="32">
        <f t="shared" ref="C953:C956" si="525">+C930</f>
        <v>0</v>
      </c>
      <c r="D953" s="31"/>
      <c r="E953" s="32">
        <f t="shared" ref="E953:E958" si="526">+D930</f>
        <v>135000</v>
      </c>
      <c r="F953" s="32"/>
      <c r="G953" s="103"/>
      <c r="H953" s="55">
        <f t="shared" si="517"/>
        <v>0</v>
      </c>
      <c r="I953" s="32">
        <f t="shared" si="518"/>
        <v>83000</v>
      </c>
      <c r="J953" s="30">
        <f t="shared" si="524"/>
        <v>52000</v>
      </c>
      <c r="K953" s="143" t="b">
        <f t="shared" si="520"/>
        <v>1</v>
      </c>
    </row>
    <row r="954" spans="1:11">
      <c r="A954" s="121" t="str">
        <f t="shared" si="523"/>
        <v>MARS</v>
      </c>
      <c r="B954" s="126" t="s">
        <v>30</v>
      </c>
      <c r="C954" s="32">
        <f t="shared" si="525"/>
        <v>15550</v>
      </c>
      <c r="D954" s="31"/>
      <c r="E954" s="32">
        <f t="shared" si="526"/>
        <v>747000</v>
      </c>
      <c r="F954" s="32"/>
      <c r="G954" s="103"/>
      <c r="H954" s="55">
        <f t="shared" si="517"/>
        <v>0</v>
      </c>
      <c r="I954" s="32">
        <f t="shared" si="518"/>
        <v>646500</v>
      </c>
      <c r="J954" s="30">
        <f t="shared" si="524"/>
        <v>116050</v>
      </c>
      <c r="K954" s="143" t="b">
        <f t="shared" si="520"/>
        <v>1</v>
      </c>
    </row>
    <row r="955" spans="1:11">
      <c r="A955" s="121" t="str">
        <f>+A953</f>
        <v>MARS</v>
      </c>
      <c r="B955" s="126" t="s">
        <v>93</v>
      </c>
      <c r="C955" s="32">
        <f t="shared" si="525"/>
        <v>4800</v>
      </c>
      <c r="D955" s="31"/>
      <c r="E955" s="32">
        <f t="shared" si="526"/>
        <v>20000</v>
      </c>
      <c r="F955" s="32"/>
      <c r="G955" s="103"/>
      <c r="H955" s="55">
        <f t="shared" si="517"/>
        <v>0</v>
      </c>
      <c r="I955" s="32">
        <f t="shared" si="518"/>
        <v>20400</v>
      </c>
      <c r="J955" s="30">
        <f t="shared" si="524"/>
        <v>4400</v>
      </c>
      <c r="K955" s="143" t="b">
        <f t="shared" si="520"/>
        <v>1</v>
      </c>
    </row>
    <row r="956" spans="1:11">
      <c r="A956" s="121" t="str">
        <f>+A954</f>
        <v>MARS</v>
      </c>
      <c r="B956" s="126" t="s">
        <v>29</v>
      </c>
      <c r="C956" s="32">
        <f t="shared" si="525"/>
        <v>136200</v>
      </c>
      <c r="D956" s="31"/>
      <c r="E956" s="32">
        <f t="shared" si="526"/>
        <v>380000</v>
      </c>
      <c r="F956" s="32"/>
      <c r="G956" s="103"/>
      <c r="H956" s="55">
        <f t="shared" si="517"/>
        <v>0</v>
      </c>
      <c r="I956" s="32">
        <f t="shared" si="518"/>
        <v>500000</v>
      </c>
      <c r="J956" s="30">
        <f t="shared" si="524"/>
        <v>16200</v>
      </c>
      <c r="K956" s="143" t="b">
        <f t="shared" si="520"/>
        <v>1</v>
      </c>
    </row>
    <row r="957" spans="1:11">
      <c r="A957" s="121" t="str">
        <f>+A955</f>
        <v>MARS</v>
      </c>
      <c r="B957" s="126" t="s">
        <v>196</v>
      </c>
      <c r="C957" s="32">
        <f>+C934</f>
        <v>0</v>
      </c>
      <c r="D957" s="31"/>
      <c r="E957" s="32">
        <f t="shared" si="526"/>
        <v>129000</v>
      </c>
      <c r="F957" s="32"/>
      <c r="G957" s="103"/>
      <c r="H957" s="55">
        <f t="shared" si="517"/>
        <v>0</v>
      </c>
      <c r="I957" s="32">
        <f t="shared" si="518"/>
        <v>123000</v>
      </c>
      <c r="J957" s="30">
        <f t="shared" ref="J957" si="527">+SUM(C957:G957)-(H957+I957)</f>
        <v>6000</v>
      </c>
      <c r="K957" s="143" t="b">
        <f t="shared" si="520"/>
        <v>1</v>
      </c>
    </row>
    <row r="958" spans="1:11">
      <c r="A958" s="121" t="str">
        <f>+A956</f>
        <v>MARS</v>
      </c>
      <c r="B958" s="127" t="s">
        <v>113</v>
      </c>
      <c r="C958" s="32">
        <f t="shared" ref="C958" si="528">+C935</f>
        <v>-36737</v>
      </c>
      <c r="D958" s="118"/>
      <c r="E958" s="32">
        <f t="shared" si="526"/>
        <v>70000</v>
      </c>
      <c r="F958" s="51"/>
      <c r="G958" s="137"/>
      <c r="H958" s="55">
        <f t="shared" ref="H958" si="529">+F935</f>
        <v>0</v>
      </c>
      <c r="I958" s="32">
        <f t="shared" ref="I958" si="530">+E935</f>
        <v>824022</v>
      </c>
      <c r="J958" s="30">
        <f t="shared" si="524"/>
        <v>-790759</v>
      </c>
      <c r="K958" s="143" t="b">
        <f t="shared" ref="K958" si="531">J958=I935</f>
        <v>1</v>
      </c>
    </row>
    <row r="959" spans="1:11">
      <c r="A959" s="34" t="s">
        <v>60</v>
      </c>
      <c r="B959" s="35"/>
      <c r="C959" s="35"/>
      <c r="D959" s="35"/>
      <c r="E959" s="35"/>
      <c r="F959" s="35"/>
      <c r="G959" s="35"/>
      <c r="H959" s="35"/>
      <c r="I959" s="35"/>
      <c r="J959" s="36"/>
      <c r="K959" s="142"/>
    </row>
    <row r="960" spans="1:11">
      <c r="A960" s="121" t="str">
        <f>+A958</f>
        <v>MARS</v>
      </c>
      <c r="B960" s="37" t="s">
        <v>61</v>
      </c>
      <c r="C960" s="38">
        <f>+C923</f>
        <v>797106</v>
      </c>
      <c r="D960" s="49"/>
      <c r="E960" s="49">
        <f>D923</f>
        <v>4270000</v>
      </c>
      <c r="F960" s="49"/>
      <c r="G960" s="124"/>
      <c r="H960" s="51">
        <f>+F923</f>
        <v>1808000</v>
      </c>
      <c r="I960" s="125">
        <f>+E923</f>
        <v>2099084</v>
      </c>
      <c r="J960" s="30">
        <f>+SUM(C960:G960)-(H960+I960)</f>
        <v>1160022</v>
      </c>
      <c r="K960" s="143" t="b">
        <f>J960=I923</f>
        <v>1</v>
      </c>
    </row>
    <row r="961" spans="1:16">
      <c r="A961" s="43" t="s">
        <v>62</v>
      </c>
      <c r="B961" s="24"/>
      <c r="C961" s="35"/>
      <c r="D961" s="24"/>
      <c r="E961" s="24"/>
      <c r="F961" s="24"/>
      <c r="G961" s="24"/>
      <c r="H961" s="24"/>
      <c r="I961" s="24"/>
      <c r="J961" s="36"/>
      <c r="K961" s="142"/>
    </row>
    <row r="962" spans="1:16">
      <c r="A962" s="121" t="str">
        <f>+A960</f>
        <v>MARS</v>
      </c>
      <c r="B962" s="37" t="s">
        <v>156</v>
      </c>
      <c r="C962" s="124">
        <f>+C921</f>
        <v>888683</v>
      </c>
      <c r="D962" s="131">
        <f>+G921</f>
        <v>11432442</v>
      </c>
      <c r="E962" s="49"/>
      <c r="F962" s="49"/>
      <c r="G962" s="49"/>
      <c r="H962" s="51">
        <f>+F921</f>
        <v>2600000</v>
      </c>
      <c r="I962" s="53">
        <f>+E921</f>
        <v>543345</v>
      </c>
      <c r="J962" s="30">
        <f>+SUM(C962:G962)-(H962+I962)</f>
        <v>9177780</v>
      </c>
      <c r="K962" s="143" t="b">
        <f>+J962=I921</f>
        <v>1</v>
      </c>
    </row>
    <row r="963" spans="1:16">
      <c r="A963" s="121" t="str">
        <f t="shared" ref="A963" si="532">+A962</f>
        <v>MARS</v>
      </c>
      <c r="B963" s="37" t="s">
        <v>64</v>
      </c>
      <c r="C963" s="124">
        <f>+C922</f>
        <v>882502</v>
      </c>
      <c r="D963" s="49">
        <f>+G922</f>
        <v>28356365</v>
      </c>
      <c r="E963" s="48"/>
      <c r="F963" s="48"/>
      <c r="G963" s="48"/>
      <c r="H963" s="32">
        <f>+F922</f>
        <v>1600000</v>
      </c>
      <c r="I963" s="50">
        <f>+E922</f>
        <v>6117606</v>
      </c>
      <c r="J963" s="30">
        <f>SUM(C963:G963)-(H963+I963)</f>
        <v>21521261</v>
      </c>
      <c r="K963" s="143" t="b">
        <f>+J963=I922</f>
        <v>1</v>
      </c>
    </row>
    <row r="964" spans="1:16" ht="15.75">
      <c r="C964" s="140">
        <f>SUM(C947:C963)</f>
        <v>3382917</v>
      </c>
      <c r="I964" s="139">
        <f>SUM(I947:I963)</f>
        <v>11342157</v>
      </c>
      <c r="J964" s="104">
        <f>+SUM(J947:J963)</f>
        <v>31829567</v>
      </c>
      <c r="K964" s="5" t="b">
        <f>J964=I936</f>
        <v>1</v>
      </c>
    </row>
    <row r="965" spans="1:16" ht="15.75">
      <c r="A965" s="157"/>
      <c r="B965" s="157"/>
      <c r="C965" s="158"/>
      <c r="D965" s="157"/>
      <c r="E965" s="157"/>
      <c r="F965" s="157"/>
      <c r="G965" s="157"/>
      <c r="H965" s="157"/>
      <c r="I965" s="159"/>
      <c r="J965" s="160"/>
      <c r="K965" s="157"/>
      <c r="L965" s="161"/>
      <c r="M965" s="161"/>
      <c r="N965" s="161"/>
      <c r="O965" s="161"/>
      <c r="P965" s="157"/>
    </row>
    <row r="969" spans="1:16" ht="15.75">
      <c r="A969" s="6" t="s">
        <v>36</v>
      </c>
      <c r="B969" s="6" t="s">
        <v>1</v>
      </c>
      <c r="C969" s="6">
        <v>44593</v>
      </c>
      <c r="D969" s="7" t="s">
        <v>37</v>
      </c>
      <c r="E969" s="7" t="s">
        <v>38</v>
      </c>
      <c r="F969" s="7" t="s">
        <v>39</v>
      </c>
      <c r="G969" s="7" t="s">
        <v>40</v>
      </c>
      <c r="H969" s="6">
        <v>44620</v>
      </c>
      <c r="I969" s="7" t="s">
        <v>41</v>
      </c>
      <c r="K969" s="45"/>
      <c r="L969" s="45" t="s">
        <v>42</v>
      </c>
      <c r="M969" s="45" t="s">
        <v>43</v>
      </c>
      <c r="N969" s="45" t="s">
        <v>44</v>
      </c>
      <c r="O969" s="45" t="s">
        <v>45</v>
      </c>
    </row>
    <row r="970" spans="1:16" ht="16.5">
      <c r="A970" s="58" t="str">
        <f>+K970</f>
        <v>B52</v>
      </c>
      <c r="B970" s="59" t="s">
        <v>4</v>
      </c>
      <c r="C970" s="61">
        <v>500</v>
      </c>
      <c r="D970" s="61">
        <f t="shared" ref="D970:D983" si="533">+L970</f>
        <v>50000</v>
      </c>
      <c r="E970" s="61">
        <f>+N970</f>
        <v>50500</v>
      </c>
      <c r="F970" s="61">
        <f>+M970</f>
        <v>0</v>
      </c>
      <c r="G970" s="61">
        <f t="shared" ref="G970:G981" si="534">+O970</f>
        <v>0</v>
      </c>
      <c r="H970" s="61">
        <v>0</v>
      </c>
      <c r="I970" s="61">
        <f>+C970+D970-E970-F970+G970</f>
        <v>0</v>
      </c>
      <c r="J970" s="9">
        <f>I970-H970</f>
        <v>0</v>
      </c>
      <c r="K970" s="45" t="s">
        <v>162</v>
      </c>
      <c r="L970" s="47">
        <v>50000</v>
      </c>
      <c r="M970" s="47">
        <v>0</v>
      </c>
      <c r="N970" s="47">
        <v>50500</v>
      </c>
      <c r="O970" s="47">
        <v>0</v>
      </c>
    </row>
    <row r="971" spans="1:16" ht="16.5">
      <c r="A971" s="58" t="str">
        <f>+K971</f>
        <v>BCI</v>
      </c>
      <c r="B971" s="59" t="s">
        <v>46</v>
      </c>
      <c r="C971" s="61">
        <v>2172028</v>
      </c>
      <c r="D971" s="61">
        <f t="shared" si="533"/>
        <v>0</v>
      </c>
      <c r="E971" s="61">
        <f>+N971</f>
        <v>283345</v>
      </c>
      <c r="F971" s="61">
        <f>+M971</f>
        <v>1000000</v>
      </c>
      <c r="G971" s="61">
        <f t="shared" si="534"/>
        <v>0</v>
      </c>
      <c r="H971" s="61">
        <v>888683</v>
      </c>
      <c r="I971" s="61">
        <f>+C971+D971-E971-F971+G971</f>
        <v>888683</v>
      </c>
      <c r="J971" s="9">
        <f t="shared" ref="J971:J978" si="535">I971-H971</f>
        <v>0</v>
      </c>
      <c r="K971" s="45" t="s">
        <v>24</v>
      </c>
      <c r="L971" s="47">
        <v>0</v>
      </c>
      <c r="M971" s="47">
        <v>1000000</v>
      </c>
      <c r="N971" s="47">
        <v>283345</v>
      </c>
      <c r="O971" s="47">
        <v>0</v>
      </c>
    </row>
    <row r="972" spans="1:16" ht="16.5">
      <c r="A972" s="58" t="str">
        <f t="shared" ref="A972:A974" si="536">+K972</f>
        <v>BCI-Sous Compte</v>
      </c>
      <c r="B972" s="59" t="s">
        <v>46</v>
      </c>
      <c r="C972" s="61">
        <v>14143094</v>
      </c>
      <c r="D972" s="61">
        <f t="shared" si="533"/>
        <v>0</v>
      </c>
      <c r="E972" s="61">
        <f>+N972</f>
        <v>4260592</v>
      </c>
      <c r="F972" s="61">
        <f>+M972</f>
        <v>9000000</v>
      </c>
      <c r="G972" s="61">
        <f t="shared" si="534"/>
        <v>0</v>
      </c>
      <c r="H972" s="61">
        <v>882502</v>
      </c>
      <c r="I972" s="61">
        <f>+C972+D972-E972-F972+G972</f>
        <v>882502</v>
      </c>
      <c r="J972" s="101">
        <f t="shared" si="535"/>
        <v>0</v>
      </c>
      <c r="K972" s="45" t="s">
        <v>148</v>
      </c>
      <c r="L972" s="47">
        <v>0</v>
      </c>
      <c r="M972" s="47">
        <v>9000000</v>
      </c>
      <c r="N972" s="47">
        <v>4260592</v>
      </c>
      <c r="O972" s="47">
        <v>0</v>
      </c>
    </row>
    <row r="973" spans="1:16" ht="16.5">
      <c r="A973" s="58" t="str">
        <f t="shared" si="536"/>
        <v>Caisse</v>
      </c>
      <c r="B973" s="59" t="s">
        <v>25</v>
      </c>
      <c r="C973" s="61">
        <v>580885</v>
      </c>
      <c r="D973" s="61">
        <f t="shared" si="533"/>
        <v>10511000</v>
      </c>
      <c r="E973" s="61">
        <f t="shared" ref="E973" si="537">+N973</f>
        <v>2520779</v>
      </c>
      <c r="F973" s="61">
        <f t="shared" ref="F973:F981" si="538">+M973</f>
        <v>7774000</v>
      </c>
      <c r="G973" s="61">
        <f t="shared" si="534"/>
        <v>0</v>
      </c>
      <c r="H973" s="61">
        <v>797106</v>
      </c>
      <c r="I973" s="61">
        <f>+C973+D973-E973-F973+G973</f>
        <v>797106</v>
      </c>
      <c r="J973" s="9">
        <f t="shared" si="535"/>
        <v>0</v>
      </c>
      <c r="K973" s="45" t="s">
        <v>25</v>
      </c>
      <c r="L973" s="47">
        <v>10511000</v>
      </c>
      <c r="M973" s="47">
        <v>7774000</v>
      </c>
      <c r="N973" s="47">
        <v>2520779</v>
      </c>
      <c r="O973" s="47">
        <v>0</v>
      </c>
    </row>
    <row r="974" spans="1:16" ht="16.5">
      <c r="A974" s="58" t="str">
        <f t="shared" si="536"/>
        <v>Crépin</v>
      </c>
      <c r="B974" s="59" t="s">
        <v>154</v>
      </c>
      <c r="C974" s="61">
        <v>9000</v>
      </c>
      <c r="D974" s="61">
        <f t="shared" si="533"/>
        <v>2509000</v>
      </c>
      <c r="E974" s="61">
        <f>+N974</f>
        <v>2021950</v>
      </c>
      <c r="F974" s="61">
        <f t="shared" si="538"/>
        <v>440000</v>
      </c>
      <c r="G974" s="61">
        <f t="shared" si="534"/>
        <v>0</v>
      </c>
      <c r="H974" s="61">
        <v>56050</v>
      </c>
      <c r="I974" s="61">
        <f t="shared" ref="I974" si="539">+C974+D974-E974-F974+G974</f>
        <v>56050</v>
      </c>
      <c r="J974" s="9">
        <f t="shared" si="535"/>
        <v>0</v>
      </c>
      <c r="K974" s="45" t="s">
        <v>47</v>
      </c>
      <c r="L974" s="47">
        <v>2509000</v>
      </c>
      <c r="M974" s="47">
        <v>440000</v>
      </c>
      <c r="N974" s="47">
        <v>2021950</v>
      </c>
      <c r="O974" s="47">
        <v>0</v>
      </c>
    </row>
    <row r="975" spans="1:16" ht="16.5">
      <c r="A975" s="58" t="str">
        <f>K975</f>
        <v>Evariste</v>
      </c>
      <c r="B975" s="59" t="s">
        <v>155</v>
      </c>
      <c r="C975" s="61">
        <v>8645</v>
      </c>
      <c r="D975" s="61">
        <f t="shared" si="533"/>
        <v>614000</v>
      </c>
      <c r="E975" s="61">
        <f t="shared" ref="E975" si="540">+N975</f>
        <v>601150</v>
      </c>
      <c r="F975" s="61">
        <f t="shared" si="538"/>
        <v>0</v>
      </c>
      <c r="G975" s="61">
        <f t="shared" si="534"/>
        <v>0</v>
      </c>
      <c r="H975" s="61">
        <v>21495</v>
      </c>
      <c r="I975" s="61">
        <f>+C975+D975-E975-F975+G975</f>
        <v>21495</v>
      </c>
      <c r="J975" s="9">
        <f t="shared" si="535"/>
        <v>0</v>
      </c>
      <c r="K975" s="45" t="s">
        <v>31</v>
      </c>
      <c r="L975" s="47">
        <v>614000</v>
      </c>
      <c r="M975" s="47">
        <v>0</v>
      </c>
      <c r="N975" s="47">
        <v>601150</v>
      </c>
      <c r="O975" s="47">
        <v>0</v>
      </c>
    </row>
    <row r="976" spans="1:16" ht="16.5">
      <c r="A976" s="114" t="str">
        <f t="shared" ref="A976:A983" si="541">+K976</f>
        <v>I55S</v>
      </c>
      <c r="B976" s="115" t="s">
        <v>4</v>
      </c>
      <c r="C976" s="117">
        <v>233614</v>
      </c>
      <c r="D976" s="117">
        <f t="shared" si="533"/>
        <v>0</v>
      </c>
      <c r="E976" s="117">
        <f>+N976</f>
        <v>0</v>
      </c>
      <c r="F976" s="117">
        <f t="shared" si="538"/>
        <v>0</v>
      </c>
      <c r="G976" s="117">
        <f t="shared" si="534"/>
        <v>0</v>
      </c>
      <c r="H976" s="117">
        <v>233614</v>
      </c>
      <c r="I976" s="117">
        <f>+C976+D976-E976-F976+G976</f>
        <v>233614</v>
      </c>
      <c r="J976" s="9">
        <f t="shared" si="535"/>
        <v>0</v>
      </c>
      <c r="K976" s="45" t="s">
        <v>84</v>
      </c>
      <c r="L976" s="47">
        <v>0</v>
      </c>
      <c r="M976" s="47">
        <v>0</v>
      </c>
      <c r="N976" s="47">
        <v>0</v>
      </c>
      <c r="O976" s="47">
        <v>0</v>
      </c>
    </row>
    <row r="977" spans="1:15" ht="16.5">
      <c r="A977" s="114" t="str">
        <f t="shared" si="541"/>
        <v>I73X</v>
      </c>
      <c r="B977" s="115" t="s">
        <v>4</v>
      </c>
      <c r="C977" s="117">
        <v>249769</v>
      </c>
      <c r="D977" s="117">
        <f t="shared" si="533"/>
        <v>0</v>
      </c>
      <c r="E977" s="117">
        <f>+N977</f>
        <v>0</v>
      </c>
      <c r="F977" s="117">
        <f t="shared" si="538"/>
        <v>0</v>
      </c>
      <c r="G977" s="117">
        <f t="shared" si="534"/>
        <v>0</v>
      </c>
      <c r="H977" s="117">
        <v>249769</v>
      </c>
      <c r="I977" s="117">
        <f t="shared" ref="I977:I980" si="542">+C977+D977-E977-F977+G977</f>
        <v>249769</v>
      </c>
      <c r="J977" s="9">
        <f t="shared" si="535"/>
        <v>0</v>
      </c>
      <c r="K977" s="45" t="s">
        <v>83</v>
      </c>
      <c r="L977" s="47">
        <v>0</v>
      </c>
      <c r="M977" s="47">
        <v>0</v>
      </c>
      <c r="N977" s="47">
        <v>0</v>
      </c>
      <c r="O977" s="47">
        <v>0</v>
      </c>
    </row>
    <row r="978" spans="1:15" ht="16.5">
      <c r="A978" s="58" t="str">
        <f t="shared" si="541"/>
        <v>Godfré</v>
      </c>
      <c r="B978" s="97" t="s">
        <v>154</v>
      </c>
      <c r="C978" s="61">
        <v>79935</v>
      </c>
      <c r="D978" s="61">
        <f t="shared" si="533"/>
        <v>1202000</v>
      </c>
      <c r="E978" s="153">
        <f t="shared" ref="E978" si="543">+N978</f>
        <v>1118750</v>
      </c>
      <c r="F978" s="61">
        <f t="shared" si="538"/>
        <v>50000</v>
      </c>
      <c r="G978" s="61">
        <f t="shared" si="534"/>
        <v>0</v>
      </c>
      <c r="H978" s="61">
        <v>113185</v>
      </c>
      <c r="I978" s="61">
        <f t="shared" si="542"/>
        <v>113185</v>
      </c>
      <c r="J978" s="9">
        <f t="shared" si="535"/>
        <v>0</v>
      </c>
      <c r="K978" s="45" t="s">
        <v>144</v>
      </c>
      <c r="L978" s="47">
        <v>1202000</v>
      </c>
      <c r="M978" s="47">
        <v>50000</v>
      </c>
      <c r="N978" s="47">
        <v>1118750</v>
      </c>
      <c r="O978" s="47">
        <v>0</v>
      </c>
    </row>
    <row r="979" spans="1:15" ht="16.5">
      <c r="A979" s="58" t="str">
        <f t="shared" si="541"/>
        <v>Grace</v>
      </c>
      <c r="B979" s="59" t="s">
        <v>2</v>
      </c>
      <c r="C979" s="61">
        <v>19800</v>
      </c>
      <c r="D979" s="61">
        <f t="shared" si="533"/>
        <v>3247000</v>
      </c>
      <c r="E979" s="153">
        <f>+N979</f>
        <v>1165100</v>
      </c>
      <c r="F979" s="61">
        <f t="shared" si="538"/>
        <v>2081000</v>
      </c>
      <c r="G979" s="61">
        <f t="shared" si="534"/>
        <v>0</v>
      </c>
      <c r="H979" s="61">
        <v>20700</v>
      </c>
      <c r="I979" s="61">
        <f t="shared" si="542"/>
        <v>20700</v>
      </c>
      <c r="J979" s="9">
        <f>I979-H979</f>
        <v>0</v>
      </c>
      <c r="K979" s="45" t="s">
        <v>143</v>
      </c>
      <c r="L979" s="47">
        <v>3247000</v>
      </c>
      <c r="M979" s="47">
        <v>2081000</v>
      </c>
      <c r="N979" s="47">
        <v>1165100</v>
      </c>
      <c r="O979" s="47">
        <v>0</v>
      </c>
    </row>
    <row r="980" spans="1:15" ht="16.5">
      <c r="A980" s="58" t="str">
        <f t="shared" si="541"/>
        <v>I23C</v>
      </c>
      <c r="B980" s="97" t="s">
        <v>4</v>
      </c>
      <c r="C980" s="61">
        <v>30550</v>
      </c>
      <c r="D980" s="61">
        <f t="shared" si="533"/>
        <v>1493000</v>
      </c>
      <c r="E980" s="153">
        <f t="shared" ref="E980:E983" si="544">+N980</f>
        <v>1238000</v>
      </c>
      <c r="F980" s="61">
        <f t="shared" si="538"/>
        <v>270000</v>
      </c>
      <c r="G980" s="61">
        <f t="shared" si="534"/>
        <v>0</v>
      </c>
      <c r="H980" s="61">
        <v>15550</v>
      </c>
      <c r="I980" s="61">
        <f t="shared" si="542"/>
        <v>15550</v>
      </c>
      <c r="J980" s="9">
        <f t="shared" ref="J980:J981" si="545">I980-H980</f>
        <v>0</v>
      </c>
      <c r="K980" s="45" t="s">
        <v>30</v>
      </c>
      <c r="L980" s="47">
        <v>1493000</v>
      </c>
      <c r="M980" s="47">
        <v>270000</v>
      </c>
      <c r="N980" s="47">
        <v>1238000</v>
      </c>
      <c r="O980" s="47">
        <v>0</v>
      </c>
    </row>
    <row r="981" spans="1:15" ht="16.5">
      <c r="A981" s="58" t="str">
        <f t="shared" si="541"/>
        <v>Merveille</v>
      </c>
      <c r="B981" s="59" t="s">
        <v>2</v>
      </c>
      <c r="C981" s="61">
        <v>13000</v>
      </c>
      <c r="D981" s="61">
        <f t="shared" si="533"/>
        <v>50000</v>
      </c>
      <c r="E981" s="153">
        <f t="shared" si="544"/>
        <v>58200</v>
      </c>
      <c r="F981" s="61">
        <f t="shared" si="538"/>
        <v>0</v>
      </c>
      <c r="G981" s="61">
        <f t="shared" si="534"/>
        <v>0</v>
      </c>
      <c r="H981" s="61">
        <v>4800</v>
      </c>
      <c r="I981" s="61">
        <f>+C981+D981-E981-F981+G981</f>
        <v>4800</v>
      </c>
      <c r="J981" s="9">
        <f t="shared" si="545"/>
        <v>0</v>
      </c>
      <c r="K981" s="45" t="s">
        <v>93</v>
      </c>
      <c r="L981" s="47">
        <v>50000</v>
      </c>
      <c r="M981" s="47">
        <v>0</v>
      </c>
      <c r="N981" s="47">
        <v>58200</v>
      </c>
      <c r="O981" s="47"/>
    </row>
    <row r="982" spans="1:15" ht="16.5">
      <c r="A982" s="58" t="str">
        <f t="shared" si="541"/>
        <v>P29</v>
      </c>
      <c r="B982" s="59" t="s">
        <v>4</v>
      </c>
      <c r="C982" s="61">
        <v>55700</v>
      </c>
      <c r="D982" s="61">
        <f t="shared" si="533"/>
        <v>1029000</v>
      </c>
      <c r="E982" s="153">
        <f t="shared" si="544"/>
        <v>648500</v>
      </c>
      <c r="F982" s="61">
        <f>+M982</f>
        <v>300000</v>
      </c>
      <c r="G982" s="61">
        <f>+O982</f>
        <v>0</v>
      </c>
      <c r="H982" s="61">
        <v>136200</v>
      </c>
      <c r="I982" s="61">
        <f>+C982+D982-E982-F982+G982</f>
        <v>136200</v>
      </c>
      <c r="J982" s="9">
        <f>I982-H982</f>
        <v>0</v>
      </c>
      <c r="K982" s="45" t="s">
        <v>29</v>
      </c>
      <c r="L982" s="47">
        <v>1029000</v>
      </c>
      <c r="M982" s="47">
        <v>300000</v>
      </c>
      <c r="N982" s="47">
        <v>648500</v>
      </c>
      <c r="O982" s="47">
        <v>0</v>
      </c>
    </row>
    <row r="983" spans="1:15" ht="16.5">
      <c r="A983" s="58" t="str">
        <f t="shared" si="541"/>
        <v>Tiffany</v>
      </c>
      <c r="B983" s="59" t="s">
        <v>2</v>
      </c>
      <c r="C983" s="61">
        <v>-36237</v>
      </c>
      <c r="D983" s="61">
        <f t="shared" si="533"/>
        <v>210000</v>
      </c>
      <c r="E983" s="153">
        <f t="shared" si="544"/>
        <v>210500</v>
      </c>
      <c r="F983" s="61">
        <f t="shared" ref="F983" si="546">+M983</f>
        <v>0</v>
      </c>
      <c r="G983" s="61">
        <f t="shared" ref="G983" si="547">+O983</f>
        <v>0</v>
      </c>
      <c r="H983" s="61">
        <v>-36737</v>
      </c>
      <c r="I983" s="61">
        <f t="shared" ref="I983" si="548">+C983+D983-E983-F983+G983</f>
        <v>-36737</v>
      </c>
      <c r="J983" s="9">
        <f t="shared" ref="J983" si="549">I983-H983</f>
        <v>0</v>
      </c>
      <c r="K983" s="45" t="s">
        <v>113</v>
      </c>
      <c r="L983" s="47">
        <v>210000</v>
      </c>
      <c r="M983" s="47">
        <v>0</v>
      </c>
      <c r="N983" s="47">
        <v>210500</v>
      </c>
      <c r="O983" s="47">
        <v>0</v>
      </c>
    </row>
    <row r="984" spans="1:15" ht="16.5">
      <c r="A984" s="10" t="s">
        <v>50</v>
      </c>
      <c r="B984" s="11"/>
      <c r="C984" s="12">
        <f t="shared" ref="C984:I984" si="550">SUM(C970:C983)</f>
        <v>17560283</v>
      </c>
      <c r="D984" s="57">
        <f t="shared" si="550"/>
        <v>20915000</v>
      </c>
      <c r="E984" s="57">
        <f t="shared" si="550"/>
        <v>14177366</v>
      </c>
      <c r="F984" s="57">
        <f t="shared" si="550"/>
        <v>20915000</v>
      </c>
      <c r="G984" s="57">
        <f t="shared" si="550"/>
        <v>0</v>
      </c>
      <c r="H984" s="57">
        <f t="shared" si="550"/>
        <v>3382917</v>
      </c>
      <c r="I984" s="57">
        <f t="shared" si="550"/>
        <v>3382917</v>
      </c>
      <c r="J984" s="9">
        <f>I984-H984</f>
        <v>0</v>
      </c>
      <c r="K984" s="3"/>
      <c r="L984" s="47">
        <f>+SUM(L970:L983)</f>
        <v>20915000</v>
      </c>
      <c r="M984" s="47">
        <f>+SUM(M970:M983)</f>
        <v>20915000</v>
      </c>
      <c r="N984" s="47">
        <f>+SUM(N970:N983)</f>
        <v>14177366</v>
      </c>
      <c r="O984" s="47">
        <f>+SUM(O970:O983)</f>
        <v>0</v>
      </c>
    </row>
    <row r="985" spans="1:15" ht="16.5">
      <c r="A985" s="10"/>
      <c r="B985" s="11"/>
      <c r="C985" s="12"/>
      <c r="D985" s="13"/>
      <c r="E985" s="12"/>
      <c r="F985" s="13"/>
      <c r="G985" s="12"/>
      <c r="H985" s="12"/>
      <c r="I985" s="133" t="b">
        <f>I984=D987</f>
        <v>1</v>
      </c>
      <c r="L985" s="5"/>
      <c r="M985" s="5"/>
      <c r="N985" s="5"/>
      <c r="O985" s="5"/>
    </row>
    <row r="986" spans="1:15" ht="16.5">
      <c r="A986" s="10" t="s">
        <v>182</v>
      </c>
      <c r="B986" s="11" t="s">
        <v>183</v>
      </c>
      <c r="C986" s="12" t="s">
        <v>184</v>
      </c>
      <c r="D986" s="12" t="s">
        <v>195</v>
      </c>
      <c r="E986" s="12" t="s">
        <v>51</v>
      </c>
      <c r="F986" s="12"/>
      <c r="G986" s="12">
        <f>+D984-F984</f>
        <v>0</v>
      </c>
      <c r="H986" s="12"/>
      <c r="I986" s="12"/>
    </row>
    <row r="987" spans="1:15" ht="16.5">
      <c r="A987" s="14">
        <f>C984</f>
        <v>17560283</v>
      </c>
      <c r="B987" s="15">
        <f>G984</f>
        <v>0</v>
      </c>
      <c r="C987" s="12">
        <f>E984</f>
        <v>14177366</v>
      </c>
      <c r="D987" s="12">
        <f>A987+B987-C987</f>
        <v>3382917</v>
      </c>
      <c r="E987" s="13">
        <f>I984-D987</f>
        <v>0</v>
      </c>
      <c r="F987" s="12"/>
      <c r="G987" s="12"/>
      <c r="H987" s="12"/>
      <c r="I987" s="12"/>
    </row>
    <row r="988" spans="1:15" ht="16.5">
      <c r="A988" s="14"/>
      <c r="B988" s="15"/>
      <c r="C988" s="12"/>
      <c r="D988" s="12"/>
      <c r="E988" s="13"/>
      <c r="F988" s="12"/>
      <c r="G988" s="12"/>
      <c r="H988" s="12"/>
      <c r="I988" s="12"/>
    </row>
    <row r="989" spans="1:15">
      <c r="A989" s="16" t="s">
        <v>52</v>
      </c>
      <c r="B989" s="16"/>
      <c r="C989" s="16"/>
      <c r="D989" s="17"/>
      <c r="E989" s="17"/>
      <c r="F989" s="17"/>
      <c r="G989" s="17"/>
      <c r="H989" s="17"/>
      <c r="I989" s="17"/>
    </row>
    <row r="990" spans="1:15">
      <c r="A990" s="18" t="s">
        <v>186</v>
      </c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5">
      <c r="A991" s="19"/>
      <c r="B991" s="17"/>
      <c r="C991" s="20"/>
      <c r="D991" s="20"/>
      <c r="E991" s="20"/>
      <c r="F991" s="20"/>
      <c r="G991" s="20"/>
      <c r="H991" s="17"/>
      <c r="I991" s="17"/>
    </row>
    <row r="992" spans="1:15">
      <c r="A992" s="166" t="s">
        <v>53</v>
      </c>
      <c r="B992" s="168" t="s">
        <v>54</v>
      </c>
      <c r="C992" s="170" t="s">
        <v>185</v>
      </c>
      <c r="D992" s="171" t="s">
        <v>55</v>
      </c>
      <c r="E992" s="172"/>
      <c r="F992" s="172"/>
      <c r="G992" s="173"/>
      <c r="H992" s="174" t="s">
        <v>56</v>
      </c>
      <c r="I992" s="162" t="s">
        <v>57</v>
      </c>
      <c r="J992" s="17"/>
    </row>
    <row r="993" spans="1:11" ht="25.5">
      <c r="A993" s="167"/>
      <c r="B993" s="169"/>
      <c r="C993" s="22"/>
      <c r="D993" s="21" t="s">
        <v>24</v>
      </c>
      <c r="E993" s="21" t="s">
        <v>25</v>
      </c>
      <c r="F993" s="22" t="s">
        <v>123</v>
      </c>
      <c r="G993" s="21" t="s">
        <v>58</v>
      </c>
      <c r="H993" s="175"/>
      <c r="I993" s="163"/>
      <c r="J993" s="164" t="s">
        <v>187</v>
      </c>
      <c r="K993" s="142"/>
    </row>
    <row r="994" spans="1:11">
      <c r="A994" s="23"/>
      <c r="B994" s="24" t="s">
        <v>59</v>
      </c>
      <c r="C994" s="25"/>
      <c r="D994" s="25"/>
      <c r="E994" s="25"/>
      <c r="F994" s="25"/>
      <c r="G994" s="25"/>
      <c r="H994" s="25"/>
      <c r="I994" s="26"/>
      <c r="J994" s="165"/>
      <c r="K994" s="142"/>
    </row>
    <row r="995" spans="1:11">
      <c r="A995" s="121" t="s">
        <v>115</v>
      </c>
      <c r="B995" s="126" t="s">
        <v>162</v>
      </c>
      <c r="C995" s="32">
        <f>+C970</f>
        <v>500</v>
      </c>
      <c r="D995" s="31"/>
      <c r="E995" s="32">
        <f>+D970</f>
        <v>50000</v>
      </c>
      <c r="F995" s="32"/>
      <c r="G995" s="32"/>
      <c r="H995" s="55">
        <f>+F970</f>
        <v>0</v>
      </c>
      <c r="I995" s="32">
        <f>+E970</f>
        <v>50500</v>
      </c>
      <c r="J995" s="30">
        <f t="shared" ref="J995:J996" si="551">+SUM(C995:G995)-(H995+I995)</f>
        <v>0</v>
      </c>
      <c r="K995" s="143" t="b">
        <f>J995=I970</f>
        <v>1</v>
      </c>
    </row>
    <row r="996" spans="1:11">
      <c r="A996" s="121" t="str">
        <f>+A995</f>
        <v>FEVRIER</v>
      </c>
      <c r="B996" s="126" t="s">
        <v>47</v>
      </c>
      <c r="C996" s="32">
        <f>+C974</f>
        <v>9000</v>
      </c>
      <c r="D996" s="31"/>
      <c r="E996" s="32">
        <f>+D974</f>
        <v>2509000</v>
      </c>
      <c r="F996" s="32"/>
      <c r="G996" s="32"/>
      <c r="H996" s="55">
        <f>+F974</f>
        <v>440000</v>
      </c>
      <c r="I996" s="32">
        <f>+E974</f>
        <v>2021950</v>
      </c>
      <c r="J996" s="100">
        <f t="shared" si="551"/>
        <v>56050</v>
      </c>
      <c r="K996" s="143" t="b">
        <f t="shared" ref="K996:K1005" si="552">J996=I974</f>
        <v>1</v>
      </c>
    </row>
    <row r="997" spans="1:11">
      <c r="A997" s="121" t="str">
        <f t="shared" ref="A997:A1005" si="553">+A996</f>
        <v>FEVRIER</v>
      </c>
      <c r="B997" s="127" t="s">
        <v>31</v>
      </c>
      <c r="C997" s="32">
        <f>+C975</f>
        <v>8645</v>
      </c>
      <c r="D997" s="118"/>
      <c r="E997" s="32">
        <f>+D975</f>
        <v>614000</v>
      </c>
      <c r="F997" s="51"/>
      <c r="G997" s="51"/>
      <c r="H997" s="55">
        <f>+F975</f>
        <v>0</v>
      </c>
      <c r="I997" s="32">
        <f>+E975</f>
        <v>601150</v>
      </c>
      <c r="J997" s="123">
        <f>+SUM(C997:G997)-(H997+I997)</f>
        <v>21495</v>
      </c>
      <c r="K997" s="143" t="b">
        <f t="shared" si="552"/>
        <v>1</v>
      </c>
    </row>
    <row r="998" spans="1:11">
      <c r="A998" s="121" t="str">
        <f t="shared" si="553"/>
        <v>FEVRIER</v>
      </c>
      <c r="B998" s="128" t="s">
        <v>84</v>
      </c>
      <c r="C998" s="119">
        <f>+C976</f>
        <v>233614</v>
      </c>
      <c r="D998" s="122"/>
      <c r="E998" s="119">
        <f>+D976</f>
        <v>0</v>
      </c>
      <c r="F998" s="136"/>
      <c r="G998" s="136"/>
      <c r="H998" s="154">
        <f>+F976</f>
        <v>0</v>
      </c>
      <c r="I998" s="119">
        <f>+E976</f>
        <v>0</v>
      </c>
      <c r="J998" s="120">
        <f>+SUM(C998:G998)-(H998+I998)</f>
        <v>233614</v>
      </c>
      <c r="K998" s="143" t="b">
        <f t="shared" si="552"/>
        <v>1</v>
      </c>
    </row>
    <row r="999" spans="1:11">
      <c r="A999" s="121" t="str">
        <f t="shared" si="553"/>
        <v>FEVRIER</v>
      </c>
      <c r="B999" s="128" t="s">
        <v>83</v>
      </c>
      <c r="C999" s="119">
        <f>+C977</f>
        <v>249769</v>
      </c>
      <c r="D999" s="122"/>
      <c r="E999" s="119">
        <f>+D977</f>
        <v>0</v>
      </c>
      <c r="F999" s="136"/>
      <c r="G999" s="136"/>
      <c r="H999" s="154">
        <f>+F977</f>
        <v>0</v>
      </c>
      <c r="I999" s="119">
        <f>+E977</f>
        <v>0</v>
      </c>
      <c r="J999" s="120">
        <f t="shared" ref="J999:J1005" si="554">+SUM(C999:G999)-(H999+I999)</f>
        <v>249769</v>
      </c>
      <c r="K999" s="143" t="b">
        <f t="shared" si="552"/>
        <v>1</v>
      </c>
    </row>
    <row r="1000" spans="1:11">
      <c r="A1000" s="121" t="str">
        <f t="shared" si="553"/>
        <v>FEVRIER</v>
      </c>
      <c r="B1000" s="126" t="s">
        <v>144</v>
      </c>
      <c r="C1000" s="32">
        <f>+C978</f>
        <v>79935</v>
      </c>
      <c r="D1000" s="31"/>
      <c r="E1000" s="32">
        <f>+D978</f>
        <v>1202000</v>
      </c>
      <c r="F1000" s="32"/>
      <c r="G1000" s="103"/>
      <c r="H1000" s="55">
        <f>+F978</f>
        <v>50000</v>
      </c>
      <c r="I1000" s="32">
        <f>+E978</f>
        <v>1118750</v>
      </c>
      <c r="J1000" s="30">
        <f t="shared" si="554"/>
        <v>113185</v>
      </c>
      <c r="K1000" s="143" t="b">
        <f t="shared" si="552"/>
        <v>1</v>
      </c>
    </row>
    <row r="1001" spans="1:11">
      <c r="A1001" s="121" t="str">
        <f t="shared" si="553"/>
        <v>FEVRIER</v>
      </c>
      <c r="B1001" s="126" t="s">
        <v>143</v>
      </c>
      <c r="C1001" s="32">
        <f t="shared" ref="C1001:C1005" si="555">+C979</f>
        <v>19800</v>
      </c>
      <c r="D1001" s="31"/>
      <c r="E1001" s="32">
        <f t="shared" ref="E1001:E1005" si="556">+D979</f>
        <v>3247000</v>
      </c>
      <c r="F1001" s="32"/>
      <c r="G1001" s="103"/>
      <c r="H1001" s="55">
        <f t="shared" ref="H1001:H1005" si="557">+F979</f>
        <v>2081000</v>
      </c>
      <c r="I1001" s="32">
        <f t="shared" ref="I1001:I1005" si="558">+E979</f>
        <v>1165100</v>
      </c>
      <c r="J1001" s="30">
        <f t="shared" si="554"/>
        <v>20700</v>
      </c>
      <c r="K1001" s="143" t="b">
        <f t="shared" si="552"/>
        <v>1</v>
      </c>
    </row>
    <row r="1002" spans="1:11">
      <c r="A1002" s="121" t="str">
        <f t="shared" si="553"/>
        <v>FEVRIER</v>
      </c>
      <c r="B1002" s="126" t="s">
        <v>30</v>
      </c>
      <c r="C1002" s="32">
        <f t="shared" si="555"/>
        <v>30550</v>
      </c>
      <c r="D1002" s="31"/>
      <c r="E1002" s="32">
        <f t="shared" si="556"/>
        <v>1493000</v>
      </c>
      <c r="F1002" s="32"/>
      <c r="G1002" s="103"/>
      <c r="H1002" s="55">
        <f t="shared" si="557"/>
        <v>270000</v>
      </c>
      <c r="I1002" s="32">
        <f t="shared" si="558"/>
        <v>1238000</v>
      </c>
      <c r="J1002" s="30">
        <f t="shared" si="554"/>
        <v>15550</v>
      </c>
      <c r="K1002" s="143" t="b">
        <f t="shared" si="552"/>
        <v>1</v>
      </c>
    </row>
    <row r="1003" spans="1:11">
      <c r="A1003" s="121" t="str">
        <f>+A1001</f>
        <v>FEVRIER</v>
      </c>
      <c r="B1003" s="126" t="s">
        <v>93</v>
      </c>
      <c r="C1003" s="32">
        <f t="shared" si="555"/>
        <v>13000</v>
      </c>
      <c r="D1003" s="31"/>
      <c r="E1003" s="32">
        <f t="shared" si="556"/>
        <v>50000</v>
      </c>
      <c r="F1003" s="32"/>
      <c r="G1003" s="103"/>
      <c r="H1003" s="55">
        <f t="shared" si="557"/>
        <v>0</v>
      </c>
      <c r="I1003" s="32">
        <f t="shared" si="558"/>
        <v>58200</v>
      </c>
      <c r="J1003" s="30">
        <f t="shared" si="554"/>
        <v>4800</v>
      </c>
      <c r="K1003" s="143" t="b">
        <f t="shared" si="552"/>
        <v>1</v>
      </c>
    </row>
    <row r="1004" spans="1:11">
      <c r="A1004" s="121" t="str">
        <f>+A1002</f>
        <v>FEVRIER</v>
      </c>
      <c r="B1004" s="126" t="s">
        <v>29</v>
      </c>
      <c r="C1004" s="32">
        <f t="shared" si="555"/>
        <v>55700</v>
      </c>
      <c r="D1004" s="31"/>
      <c r="E1004" s="32">
        <f t="shared" si="556"/>
        <v>1029000</v>
      </c>
      <c r="F1004" s="32"/>
      <c r="G1004" s="103"/>
      <c r="H1004" s="55">
        <f t="shared" si="557"/>
        <v>300000</v>
      </c>
      <c r="I1004" s="32">
        <f t="shared" si="558"/>
        <v>648500</v>
      </c>
      <c r="J1004" s="30">
        <f t="shared" si="554"/>
        <v>136200</v>
      </c>
      <c r="K1004" s="143" t="b">
        <f t="shared" si="552"/>
        <v>1</v>
      </c>
    </row>
    <row r="1005" spans="1:11">
      <c r="A1005" s="121" t="str">
        <f t="shared" si="553"/>
        <v>FEVRIER</v>
      </c>
      <c r="B1005" s="127" t="s">
        <v>113</v>
      </c>
      <c r="C1005" s="32">
        <f t="shared" si="555"/>
        <v>-36237</v>
      </c>
      <c r="D1005" s="118"/>
      <c r="E1005" s="32">
        <f t="shared" si="556"/>
        <v>210000</v>
      </c>
      <c r="F1005" s="51"/>
      <c r="G1005" s="137"/>
      <c r="H1005" s="55">
        <f t="shared" si="557"/>
        <v>0</v>
      </c>
      <c r="I1005" s="32">
        <f t="shared" si="558"/>
        <v>210500</v>
      </c>
      <c r="J1005" s="30">
        <f t="shared" si="554"/>
        <v>-36737</v>
      </c>
      <c r="K1005" s="143" t="b">
        <f t="shared" si="552"/>
        <v>1</v>
      </c>
    </row>
    <row r="1006" spans="1:11">
      <c r="A1006" s="34" t="s">
        <v>60</v>
      </c>
      <c r="B1006" s="35"/>
      <c r="C1006" s="35"/>
      <c r="D1006" s="35"/>
      <c r="E1006" s="35"/>
      <c r="F1006" s="35"/>
      <c r="G1006" s="35"/>
      <c r="H1006" s="35"/>
      <c r="I1006" s="35"/>
      <c r="J1006" s="36"/>
      <c r="K1006" s="142"/>
    </row>
    <row r="1007" spans="1:11">
      <c r="A1007" s="121" t="str">
        <f>+A1005</f>
        <v>FEVRIER</v>
      </c>
      <c r="B1007" s="37" t="s">
        <v>61</v>
      </c>
      <c r="C1007" s="38">
        <f>+C973</f>
        <v>580885</v>
      </c>
      <c r="D1007" s="49"/>
      <c r="E1007" s="49">
        <f>D973</f>
        <v>10511000</v>
      </c>
      <c r="F1007" s="49"/>
      <c r="G1007" s="124"/>
      <c r="H1007" s="51">
        <f>+F973</f>
        <v>7774000</v>
      </c>
      <c r="I1007" s="125">
        <f>+E973</f>
        <v>2520779</v>
      </c>
      <c r="J1007" s="30">
        <f>+SUM(C1007:G1007)-(H1007+I1007)</f>
        <v>797106</v>
      </c>
      <c r="K1007" s="143" t="b">
        <f>J1007=I973</f>
        <v>1</v>
      </c>
    </row>
    <row r="1008" spans="1:11">
      <c r="A1008" s="43" t="s">
        <v>62</v>
      </c>
      <c r="B1008" s="24"/>
      <c r="C1008" s="35"/>
      <c r="D1008" s="24"/>
      <c r="E1008" s="24"/>
      <c r="F1008" s="24"/>
      <c r="G1008" s="24"/>
      <c r="H1008" s="24"/>
      <c r="I1008" s="24"/>
      <c r="J1008" s="36"/>
      <c r="K1008" s="142"/>
    </row>
    <row r="1009" spans="1:16">
      <c r="A1009" s="121" t="str">
        <f>+A1007</f>
        <v>FEVRIER</v>
      </c>
      <c r="B1009" s="37" t="s">
        <v>156</v>
      </c>
      <c r="C1009" s="124">
        <f>+C971</f>
        <v>2172028</v>
      </c>
      <c r="D1009" s="131">
        <f>+G971</f>
        <v>0</v>
      </c>
      <c r="E1009" s="49"/>
      <c r="F1009" s="49"/>
      <c r="G1009" s="49"/>
      <c r="H1009" s="51">
        <f>+F971</f>
        <v>1000000</v>
      </c>
      <c r="I1009" s="53">
        <f>+E971</f>
        <v>283345</v>
      </c>
      <c r="J1009" s="30">
        <f>+SUM(C1009:G1009)-(H1009+I1009)</f>
        <v>888683</v>
      </c>
      <c r="K1009" s="143" t="b">
        <f>+J1009=I971</f>
        <v>1</v>
      </c>
    </row>
    <row r="1010" spans="1:16">
      <c r="A1010" s="121" t="str">
        <f t="shared" ref="A1010" si="559">+A1009</f>
        <v>FEVRIER</v>
      </c>
      <c r="B1010" s="37" t="s">
        <v>64</v>
      </c>
      <c r="C1010" s="124">
        <f>+C972</f>
        <v>14143094</v>
      </c>
      <c r="D1010" s="49">
        <f>+G972</f>
        <v>0</v>
      </c>
      <c r="E1010" s="48"/>
      <c r="F1010" s="48"/>
      <c r="G1010" s="48"/>
      <c r="H1010" s="32">
        <f>+F972</f>
        <v>9000000</v>
      </c>
      <c r="I1010" s="50">
        <f>+E972</f>
        <v>4260592</v>
      </c>
      <c r="J1010" s="30">
        <f>SUM(C1010:G1010)-(H1010+I1010)</f>
        <v>882502</v>
      </c>
      <c r="K1010" s="143" t="b">
        <f>+J1010=I972</f>
        <v>1</v>
      </c>
    </row>
    <row r="1011" spans="1:16" ht="15.75">
      <c r="C1011" s="140">
        <f>SUM(C995:C1010)</f>
        <v>17560283</v>
      </c>
      <c r="I1011" s="139">
        <f>SUM(I995:I1010)</f>
        <v>14177366</v>
      </c>
      <c r="J1011" s="104">
        <f>+SUM(J995:J1010)</f>
        <v>3382917</v>
      </c>
      <c r="K1011" s="5" t="b">
        <f>J1011=I984</f>
        <v>1</v>
      </c>
    </row>
    <row r="1012" spans="1:16" ht="15.75">
      <c r="A1012" s="157"/>
      <c r="B1012" s="157"/>
      <c r="C1012" s="158"/>
      <c r="D1012" s="157"/>
      <c r="E1012" s="157"/>
      <c r="F1012" s="157"/>
      <c r="G1012" s="157"/>
      <c r="H1012" s="157"/>
      <c r="I1012" s="159"/>
      <c r="J1012" s="160"/>
      <c r="K1012" s="157"/>
      <c r="L1012" s="161"/>
      <c r="M1012" s="161"/>
      <c r="N1012" s="161"/>
      <c r="O1012" s="161"/>
      <c r="P1012" s="157"/>
    </row>
    <row r="1013" spans="1:16" ht="15.75">
      <c r="A1013" s="157"/>
      <c r="B1013" s="157"/>
      <c r="C1013" s="158"/>
      <c r="D1013" s="157"/>
      <c r="E1013" s="157"/>
      <c r="F1013" s="157"/>
      <c r="G1013" s="157"/>
      <c r="H1013" s="157"/>
      <c r="I1013" s="159"/>
      <c r="J1013" s="160"/>
      <c r="K1013" s="157"/>
      <c r="L1013" s="161"/>
      <c r="M1013" s="161"/>
      <c r="N1013" s="161"/>
      <c r="O1013" s="161"/>
      <c r="P1013" s="157"/>
    </row>
    <row r="1015" spans="1:16" ht="15.75">
      <c r="A1015" s="6" t="s">
        <v>36</v>
      </c>
      <c r="B1015" s="6" t="s">
        <v>1</v>
      </c>
      <c r="C1015" s="6">
        <v>44562</v>
      </c>
      <c r="D1015" s="7" t="s">
        <v>37</v>
      </c>
      <c r="E1015" s="7" t="s">
        <v>38</v>
      </c>
      <c r="F1015" s="7" t="s">
        <v>39</v>
      </c>
      <c r="G1015" s="7" t="s">
        <v>40</v>
      </c>
      <c r="H1015" s="6">
        <v>44592</v>
      </c>
      <c r="I1015" s="7" t="s">
        <v>41</v>
      </c>
      <c r="K1015" s="45"/>
      <c r="L1015" s="45" t="s">
        <v>42</v>
      </c>
      <c r="M1015" s="45" t="s">
        <v>43</v>
      </c>
      <c r="N1015" s="45" t="s">
        <v>44</v>
      </c>
      <c r="O1015" s="45" t="s">
        <v>45</v>
      </c>
    </row>
    <row r="1016" spans="1:16" ht="16.5">
      <c r="A1016" s="58" t="str">
        <f>+K1016</f>
        <v>B52</v>
      </c>
      <c r="B1016" s="59" t="s">
        <v>4</v>
      </c>
      <c r="C1016" s="60">
        <v>9500</v>
      </c>
      <c r="D1016" s="61">
        <f t="shared" ref="D1016:D1029" si="560">+L1016</f>
        <v>567000</v>
      </c>
      <c r="E1016" s="61">
        <f>+N1016</f>
        <v>576000</v>
      </c>
      <c r="F1016" s="61">
        <f>+M1016</f>
        <v>0</v>
      </c>
      <c r="G1016" s="61">
        <f t="shared" ref="G1016:G1027" si="561">+O1016</f>
        <v>0</v>
      </c>
      <c r="H1016" s="61">
        <v>500</v>
      </c>
      <c r="I1016" s="61">
        <f>+C1016+D1016-E1016-F1016+G1016</f>
        <v>500</v>
      </c>
      <c r="J1016" s="9">
        <f>I1016-H1016</f>
        <v>0</v>
      </c>
      <c r="K1016" s="45" t="s">
        <v>162</v>
      </c>
      <c r="L1016" s="47">
        <v>567000</v>
      </c>
      <c r="M1016" s="47">
        <v>0</v>
      </c>
      <c r="N1016" s="47">
        <v>576000</v>
      </c>
      <c r="O1016" s="47">
        <v>0</v>
      </c>
    </row>
    <row r="1017" spans="1:16" ht="16.5">
      <c r="A1017" s="58" t="str">
        <f>+K1017</f>
        <v>BCI</v>
      </c>
      <c r="B1017" s="59" t="s">
        <v>46</v>
      </c>
      <c r="C1017" s="60">
        <v>3455373</v>
      </c>
      <c r="D1017" s="61">
        <f t="shared" si="560"/>
        <v>0</v>
      </c>
      <c r="E1017" s="61">
        <f>+N1017</f>
        <v>283345</v>
      </c>
      <c r="F1017" s="61">
        <f>+M1017</f>
        <v>1000000</v>
      </c>
      <c r="G1017" s="61">
        <f t="shared" si="561"/>
        <v>0</v>
      </c>
      <c r="H1017" s="61">
        <v>2172028</v>
      </c>
      <c r="I1017" s="61">
        <f>+C1017+D1017-E1017-F1017+G1017</f>
        <v>2172028</v>
      </c>
      <c r="J1017" s="9">
        <f t="shared" ref="J1017:J1024" si="562">I1017-H1017</f>
        <v>0</v>
      </c>
      <c r="K1017" s="45" t="s">
        <v>24</v>
      </c>
      <c r="L1017" s="47">
        <v>0</v>
      </c>
      <c r="M1017" s="47">
        <v>1000000</v>
      </c>
      <c r="N1017" s="47">
        <v>283345</v>
      </c>
      <c r="O1017" s="47">
        <v>0</v>
      </c>
    </row>
    <row r="1018" spans="1:16" ht="16.5">
      <c r="A1018" s="58" t="str">
        <f t="shared" ref="A1018:A1020" si="563">+K1018</f>
        <v>BCI-Sous Compte</v>
      </c>
      <c r="B1018" s="59" t="s">
        <v>46</v>
      </c>
      <c r="C1018" s="60">
        <v>4841615</v>
      </c>
      <c r="D1018" s="61">
        <f t="shared" si="560"/>
        <v>0</v>
      </c>
      <c r="E1018" s="61">
        <f>+N1018</f>
        <v>6223724</v>
      </c>
      <c r="F1018" s="61">
        <f>+M1018</f>
        <v>2000000</v>
      </c>
      <c r="G1018" s="61">
        <f t="shared" si="561"/>
        <v>17525203</v>
      </c>
      <c r="H1018" s="61">
        <v>14143094</v>
      </c>
      <c r="I1018" s="61">
        <f>+C1018+D1018-E1018-F1018+G1018</f>
        <v>14143094</v>
      </c>
      <c r="J1018" s="101">
        <f t="shared" si="562"/>
        <v>0</v>
      </c>
      <c r="K1018" s="45" t="s">
        <v>148</v>
      </c>
      <c r="L1018" s="47">
        <v>0</v>
      </c>
      <c r="M1018" s="47">
        <v>2000000</v>
      </c>
      <c r="N1018" s="47">
        <v>6223724</v>
      </c>
      <c r="O1018" s="47">
        <v>17525203</v>
      </c>
    </row>
    <row r="1019" spans="1:16" ht="16.5">
      <c r="A1019" s="58" t="str">
        <f t="shared" si="563"/>
        <v>Caisse</v>
      </c>
      <c r="B1019" s="59" t="s">
        <v>25</v>
      </c>
      <c r="C1019" s="60">
        <v>1042520</v>
      </c>
      <c r="D1019" s="61">
        <f t="shared" si="560"/>
        <v>3035000</v>
      </c>
      <c r="E1019" s="61">
        <f t="shared" ref="E1019" si="564">+N1019</f>
        <v>966635</v>
      </c>
      <c r="F1019" s="61">
        <f t="shared" ref="F1019:F1027" si="565">+M1019</f>
        <v>2530000</v>
      </c>
      <c r="G1019" s="61">
        <f t="shared" si="561"/>
        <v>0</v>
      </c>
      <c r="H1019" s="61">
        <v>580885</v>
      </c>
      <c r="I1019" s="61">
        <f>+C1019+D1019-E1019-F1019+G1019</f>
        <v>580885</v>
      </c>
      <c r="J1019" s="9">
        <f t="shared" si="562"/>
        <v>0</v>
      </c>
      <c r="K1019" s="45" t="s">
        <v>25</v>
      </c>
      <c r="L1019" s="47">
        <v>3035000</v>
      </c>
      <c r="M1019" s="47">
        <v>2530000</v>
      </c>
      <c r="N1019" s="47">
        <v>966635</v>
      </c>
      <c r="O1019" s="47">
        <v>0</v>
      </c>
    </row>
    <row r="1020" spans="1:16" ht="16.5">
      <c r="A1020" s="58" t="str">
        <f t="shared" si="563"/>
        <v>Crépin</v>
      </c>
      <c r="B1020" s="59" t="s">
        <v>154</v>
      </c>
      <c r="C1020" s="60">
        <v>-37100</v>
      </c>
      <c r="D1020" s="61">
        <f t="shared" si="560"/>
        <v>256000</v>
      </c>
      <c r="E1020" s="61">
        <f>+N1020</f>
        <v>189900</v>
      </c>
      <c r="F1020" s="61">
        <f t="shared" si="565"/>
        <v>20000</v>
      </c>
      <c r="G1020" s="61">
        <f t="shared" si="561"/>
        <v>0</v>
      </c>
      <c r="H1020" s="61">
        <v>9000</v>
      </c>
      <c r="I1020" s="61">
        <f t="shared" ref="I1020" si="566">+C1020+D1020-E1020-F1020+G1020</f>
        <v>9000</v>
      </c>
      <c r="J1020" s="9">
        <f t="shared" si="562"/>
        <v>0</v>
      </c>
      <c r="K1020" s="45" t="s">
        <v>47</v>
      </c>
      <c r="L1020" s="47">
        <v>256000</v>
      </c>
      <c r="M1020" s="47">
        <v>20000</v>
      </c>
      <c r="N1020" s="47">
        <v>189900</v>
      </c>
      <c r="O1020" s="47">
        <v>0</v>
      </c>
    </row>
    <row r="1021" spans="1:16" ht="16.5">
      <c r="A1021" s="58" t="str">
        <f>K1021</f>
        <v>Evariste</v>
      </c>
      <c r="B1021" s="59" t="s">
        <v>155</v>
      </c>
      <c r="C1021" s="60">
        <v>8645</v>
      </c>
      <c r="D1021" s="61">
        <f t="shared" si="560"/>
        <v>0</v>
      </c>
      <c r="E1021" s="61">
        <f t="shared" ref="E1021" si="567">+N1021</f>
        <v>0</v>
      </c>
      <c r="F1021" s="61">
        <f t="shared" si="565"/>
        <v>0</v>
      </c>
      <c r="G1021" s="61">
        <f t="shared" si="561"/>
        <v>0</v>
      </c>
      <c r="H1021" s="61">
        <v>8645</v>
      </c>
      <c r="I1021" s="61">
        <f>+C1021+D1021-E1021-F1021+G1021</f>
        <v>8645</v>
      </c>
      <c r="J1021" s="9">
        <f t="shared" si="562"/>
        <v>0</v>
      </c>
      <c r="K1021" s="45" t="s">
        <v>31</v>
      </c>
      <c r="L1021" s="47">
        <v>0</v>
      </c>
      <c r="M1021" s="47">
        <v>0</v>
      </c>
      <c r="N1021" s="47">
        <v>0</v>
      </c>
      <c r="O1021" s="47">
        <v>0</v>
      </c>
    </row>
    <row r="1022" spans="1:16" ht="16.5">
      <c r="A1022" s="114" t="str">
        <f t="shared" ref="A1022:A1029" si="568">+K1022</f>
        <v>I55S</v>
      </c>
      <c r="B1022" s="115" t="s">
        <v>4</v>
      </c>
      <c r="C1022" s="116">
        <v>233614</v>
      </c>
      <c r="D1022" s="117">
        <f t="shared" si="560"/>
        <v>0</v>
      </c>
      <c r="E1022" s="117">
        <f>+N1022</f>
        <v>0</v>
      </c>
      <c r="F1022" s="117">
        <f t="shared" si="565"/>
        <v>0</v>
      </c>
      <c r="G1022" s="117">
        <f t="shared" si="561"/>
        <v>0</v>
      </c>
      <c r="H1022" s="117">
        <v>233614</v>
      </c>
      <c r="I1022" s="117">
        <f>+C1022+D1022-E1022-F1022+G1022</f>
        <v>233614</v>
      </c>
      <c r="J1022" s="9">
        <f t="shared" si="562"/>
        <v>0</v>
      </c>
      <c r="K1022" s="45" t="s">
        <v>84</v>
      </c>
      <c r="L1022" s="47">
        <v>0</v>
      </c>
      <c r="M1022" s="47">
        <v>0</v>
      </c>
      <c r="N1022" s="47">
        <v>0</v>
      </c>
      <c r="O1022" s="47">
        <v>0</v>
      </c>
    </row>
    <row r="1023" spans="1:16" ht="16.5">
      <c r="A1023" s="114" t="str">
        <f t="shared" si="568"/>
        <v>I73X</v>
      </c>
      <c r="B1023" s="115" t="s">
        <v>4</v>
      </c>
      <c r="C1023" s="116">
        <v>249769</v>
      </c>
      <c r="D1023" s="117">
        <f t="shared" si="560"/>
        <v>0</v>
      </c>
      <c r="E1023" s="117">
        <f>+N1023</f>
        <v>0</v>
      </c>
      <c r="F1023" s="117">
        <f t="shared" si="565"/>
        <v>0</v>
      </c>
      <c r="G1023" s="117">
        <f t="shared" si="561"/>
        <v>0</v>
      </c>
      <c r="H1023" s="117">
        <v>249769</v>
      </c>
      <c r="I1023" s="117">
        <f t="shared" ref="I1023:I1026" si="569">+C1023+D1023-E1023-F1023+G1023</f>
        <v>249769</v>
      </c>
      <c r="J1023" s="9">
        <f t="shared" si="562"/>
        <v>0</v>
      </c>
      <c r="K1023" s="45" t="s">
        <v>83</v>
      </c>
      <c r="L1023" s="47">
        <v>0</v>
      </c>
      <c r="M1023" s="47">
        <v>0</v>
      </c>
      <c r="N1023" s="47">
        <v>0</v>
      </c>
      <c r="O1023" s="47">
        <v>0</v>
      </c>
    </row>
    <row r="1024" spans="1:16" ht="16.5">
      <c r="A1024" s="58" t="str">
        <f t="shared" si="568"/>
        <v>Godfré</v>
      </c>
      <c r="B1024" s="97" t="s">
        <v>154</v>
      </c>
      <c r="C1024" s="60">
        <v>34935</v>
      </c>
      <c r="D1024" s="61">
        <f t="shared" si="560"/>
        <v>365000</v>
      </c>
      <c r="E1024" s="153">
        <f t="shared" ref="E1024" si="570">+N1024</f>
        <v>320000</v>
      </c>
      <c r="F1024" s="61">
        <f t="shared" si="565"/>
        <v>0</v>
      </c>
      <c r="G1024" s="61">
        <f t="shared" si="561"/>
        <v>0</v>
      </c>
      <c r="H1024" s="61">
        <v>79935</v>
      </c>
      <c r="I1024" s="61">
        <f t="shared" si="569"/>
        <v>79935</v>
      </c>
      <c r="J1024" s="9">
        <f t="shared" si="562"/>
        <v>0</v>
      </c>
      <c r="K1024" s="45" t="s">
        <v>144</v>
      </c>
      <c r="L1024" s="47">
        <v>365000</v>
      </c>
      <c r="M1024" s="47"/>
      <c r="N1024" s="47">
        <v>320000</v>
      </c>
      <c r="O1024" s="47">
        <v>0</v>
      </c>
    </row>
    <row r="1025" spans="1:15" ht="16.5">
      <c r="A1025" s="58" t="str">
        <f t="shared" si="568"/>
        <v>Grace</v>
      </c>
      <c r="B1025" s="59" t="s">
        <v>2</v>
      </c>
      <c r="C1025" s="60">
        <v>44200</v>
      </c>
      <c r="D1025" s="61">
        <f t="shared" si="560"/>
        <v>0</v>
      </c>
      <c r="E1025" s="153">
        <f>+N1025</f>
        <v>9400</v>
      </c>
      <c r="F1025" s="61">
        <f t="shared" si="565"/>
        <v>15000</v>
      </c>
      <c r="G1025" s="61">
        <f t="shared" si="561"/>
        <v>0</v>
      </c>
      <c r="H1025" s="61">
        <v>19800</v>
      </c>
      <c r="I1025" s="61">
        <f t="shared" si="569"/>
        <v>19800</v>
      </c>
      <c r="J1025" s="9">
        <f>I1025-H1025</f>
        <v>0</v>
      </c>
      <c r="K1025" s="45" t="s">
        <v>143</v>
      </c>
      <c r="L1025" s="47">
        <v>0</v>
      </c>
      <c r="M1025" s="47">
        <v>15000</v>
      </c>
      <c r="N1025" s="47">
        <v>9400</v>
      </c>
      <c r="O1025" s="47">
        <v>0</v>
      </c>
    </row>
    <row r="1026" spans="1:15" ht="16.5">
      <c r="A1026" s="58" t="str">
        <f t="shared" si="568"/>
        <v>I23C</v>
      </c>
      <c r="B1026" s="97" t="s">
        <v>4</v>
      </c>
      <c r="C1026" s="60">
        <v>12050</v>
      </c>
      <c r="D1026" s="61">
        <f t="shared" si="560"/>
        <v>492000</v>
      </c>
      <c r="E1026" s="153">
        <f t="shared" ref="E1026:E1029" si="571">+N1026</f>
        <v>473500</v>
      </c>
      <c r="F1026" s="61">
        <f t="shared" si="565"/>
        <v>0</v>
      </c>
      <c r="G1026" s="61">
        <f t="shared" si="561"/>
        <v>0</v>
      </c>
      <c r="H1026" s="61">
        <v>30550</v>
      </c>
      <c r="I1026" s="61">
        <f t="shared" si="569"/>
        <v>30550</v>
      </c>
      <c r="J1026" s="9">
        <f t="shared" ref="J1026:J1027" si="572">I1026-H1026</f>
        <v>0</v>
      </c>
      <c r="K1026" s="45" t="s">
        <v>30</v>
      </c>
      <c r="L1026" s="47">
        <v>492000</v>
      </c>
      <c r="M1026" s="47">
        <v>0</v>
      </c>
      <c r="N1026" s="47">
        <v>473500</v>
      </c>
      <c r="O1026" s="47">
        <v>0</v>
      </c>
    </row>
    <row r="1027" spans="1:15" ht="16.5">
      <c r="A1027" s="58" t="str">
        <f t="shared" si="568"/>
        <v>Merveille</v>
      </c>
      <c r="B1027" s="59" t="s">
        <v>2</v>
      </c>
      <c r="C1027" s="60">
        <v>5500</v>
      </c>
      <c r="D1027" s="61">
        <f t="shared" si="560"/>
        <v>20000</v>
      </c>
      <c r="E1027" s="153">
        <f t="shared" si="571"/>
        <v>12500</v>
      </c>
      <c r="F1027" s="61">
        <f t="shared" si="565"/>
        <v>0</v>
      </c>
      <c r="G1027" s="61">
        <f t="shared" si="561"/>
        <v>0</v>
      </c>
      <c r="H1027" s="61">
        <v>13000</v>
      </c>
      <c r="I1027" s="61">
        <f>+C1027+D1027-E1027-F1027+G1027</f>
        <v>13000</v>
      </c>
      <c r="J1027" s="9">
        <f t="shared" si="572"/>
        <v>0</v>
      </c>
      <c r="K1027" s="45" t="s">
        <v>93</v>
      </c>
      <c r="L1027" s="47">
        <v>20000</v>
      </c>
      <c r="M1027" s="47">
        <v>0</v>
      </c>
      <c r="N1027" s="47">
        <v>12500</v>
      </c>
      <c r="O1027" s="47"/>
    </row>
    <row r="1028" spans="1:15" ht="16.5">
      <c r="A1028" s="58" t="str">
        <f t="shared" si="568"/>
        <v>P29</v>
      </c>
      <c r="B1028" s="59" t="s">
        <v>4</v>
      </c>
      <c r="C1028" s="60">
        <v>58200</v>
      </c>
      <c r="D1028" s="61">
        <f t="shared" si="560"/>
        <v>530000</v>
      </c>
      <c r="E1028" s="153">
        <f t="shared" si="571"/>
        <v>532500</v>
      </c>
      <c r="F1028" s="61">
        <f>+M1028</f>
        <v>0</v>
      </c>
      <c r="G1028" s="61">
        <f>+O1028</f>
        <v>0</v>
      </c>
      <c r="H1028" s="61">
        <v>55700</v>
      </c>
      <c r="I1028" s="61">
        <f>+C1028+D1028-E1028-F1028+G1028</f>
        <v>55700</v>
      </c>
      <c r="J1028" s="9">
        <f>I1028-H1028</f>
        <v>0</v>
      </c>
      <c r="K1028" s="45" t="s">
        <v>29</v>
      </c>
      <c r="L1028" s="47">
        <v>530000</v>
      </c>
      <c r="M1028" s="47">
        <v>0</v>
      </c>
      <c r="N1028" s="47">
        <v>532500</v>
      </c>
      <c r="O1028" s="47">
        <v>0</v>
      </c>
    </row>
    <row r="1029" spans="1:15" ht="16.5">
      <c r="A1029" s="58" t="str">
        <f t="shared" si="568"/>
        <v>Tiffany</v>
      </c>
      <c r="B1029" s="59" t="s">
        <v>2</v>
      </c>
      <c r="C1029" s="60">
        <v>263673</v>
      </c>
      <c r="D1029" s="61">
        <f t="shared" si="560"/>
        <v>300000</v>
      </c>
      <c r="E1029" s="153">
        <f t="shared" si="571"/>
        <v>599910</v>
      </c>
      <c r="F1029" s="61">
        <f t="shared" ref="F1029" si="573">+M1029</f>
        <v>0</v>
      </c>
      <c r="G1029" s="61">
        <f t="shared" ref="G1029" si="574">+O1029</f>
        <v>0</v>
      </c>
      <c r="H1029" s="61">
        <v>-36237</v>
      </c>
      <c r="I1029" s="61">
        <f t="shared" ref="I1029" si="575">+C1029+D1029-E1029-F1029+G1029</f>
        <v>-36237</v>
      </c>
      <c r="J1029" s="9">
        <f t="shared" ref="J1029" si="576">I1029-H1029</f>
        <v>0</v>
      </c>
      <c r="K1029" s="45" t="s">
        <v>113</v>
      </c>
      <c r="L1029" s="47">
        <v>300000</v>
      </c>
      <c r="M1029" s="47">
        <v>0</v>
      </c>
      <c r="N1029" s="47">
        <v>599910</v>
      </c>
      <c r="O1029" s="47">
        <v>0</v>
      </c>
    </row>
    <row r="1030" spans="1:15" ht="16.5">
      <c r="A1030" s="10" t="s">
        <v>50</v>
      </c>
      <c r="B1030" s="11"/>
      <c r="C1030" s="12">
        <f t="shared" ref="C1030:I1030" si="577">SUM(C1016:C1029)</f>
        <v>10222494</v>
      </c>
      <c r="D1030" s="57">
        <f t="shared" si="577"/>
        <v>5565000</v>
      </c>
      <c r="E1030" s="57">
        <f t="shared" si="577"/>
        <v>10187414</v>
      </c>
      <c r="F1030" s="57">
        <f t="shared" si="577"/>
        <v>5565000</v>
      </c>
      <c r="G1030" s="57">
        <f t="shared" si="577"/>
        <v>17525203</v>
      </c>
      <c r="H1030" s="57">
        <f t="shared" si="577"/>
        <v>17560283</v>
      </c>
      <c r="I1030" s="57">
        <f t="shared" si="577"/>
        <v>17560283</v>
      </c>
      <c r="J1030" s="9">
        <f>I1030-H1030</f>
        <v>0</v>
      </c>
      <c r="K1030" s="3"/>
      <c r="L1030" s="47">
        <f>+SUM(L1016:L1029)</f>
        <v>5565000</v>
      </c>
      <c r="M1030" s="47">
        <f>+SUM(M1016:M1029)</f>
        <v>5565000</v>
      </c>
      <c r="N1030" s="47">
        <f>+SUM(N1016:N1029)</f>
        <v>10187414</v>
      </c>
      <c r="O1030" s="47">
        <f>+SUM(O1016:O1029)</f>
        <v>17525203</v>
      </c>
    </row>
    <row r="1031" spans="1:15" ht="16.5">
      <c r="A1031" s="10"/>
      <c r="B1031" s="11"/>
      <c r="C1031" s="12"/>
      <c r="D1031" s="13"/>
      <c r="E1031" s="12"/>
      <c r="F1031" s="13"/>
      <c r="G1031" s="12"/>
      <c r="H1031" s="12"/>
      <c r="I1031" s="133" t="b">
        <f>I1030=D1033</f>
        <v>1</v>
      </c>
      <c r="L1031" s="5"/>
      <c r="M1031" s="5"/>
      <c r="N1031" s="5"/>
      <c r="O1031" s="5"/>
    </row>
    <row r="1032" spans="1:15" ht="16.5">
      <c r="A1032" s="10" t="s">
        <v>175</v>
      </c>
      <c r="B1032" s="11" t="s">
        <v>177</v>
      </c>
      <c r="C1032" s="12" t="s">
        <v>176</v>
      </c>
      <c r="D1032" s="12" t="s">
        <v>178</v>
      </c>
      <c r="E1032" s="12" t="s">
        <v>51</v>
      </c>
      <c r="F1032" s="12"/>
      <c r="G1032" s="12">
        <f>+D1030-F1030</f>
        <v>0</v>
      </c>
      <c r="H1032" s="12"/>
      <c r="I1032" s="12"/>
      <c r="L1032" s="5"/>
      <c r="M1032" s="5"/>
      <c r="N1032" s="5"/>
      <c r="O1032" s="5"/>
    </row>
    <row r="1033" spans="1:15" ht="16.5">
      <c r="A1033" s="14">
        <f>C1030</f>
        <v>10222494</v>
      </c>
      <c r="B1033" s="15">
        <f>G1030</f>
        <v>17525203</v>
      </c>
      <c r="C1033" s="12">
        <f>E1030</f>
        <v>10187414</v>
      </c>
      <c r="D1033" s="12">
        <f>A1033+B1033-C1033</f>
        <v>17560283</v>
      </c>
      <c r="E1033" s="13">
        <f>I1030-D1033</f>
        <v>0</v>
      </c>
      <c r="F1033" s="12"/>
      <c r="G1033" s="12"/>
      <c r="H1033" s="12"/>
      <c r="I1033" s="12"/>
      <c r="L1033" s="5"/>
      <c r="M1033" s="5"/>
      <c r="N1033" s="5"/>
      <c r="O1033" s="5"/>
    </row>
    <row r="1034" spans="1:15" ht="16.5">
      <c r="A1034" s="14"/>
      <c r="B1034" s="15"/>
      <c r="C1034" s="12"/>
      <c r="D1034" s="12"/>
      <c r="E1034" s="13"/>
      <c r="F1034" s="12"/>
      <c r="G1034" s="12"/>
      <c r="H1034" s="12"/>
      <c r="I1034" s="12"/>
      <c r="L1034" s="5"/>
      <c r="M1034" s="5"/>
      <c r="N1034" s="5"/>
      <c r="O1034" s="5"/>
    </row>
    <row r="1035" spans="1:15">
      <c r="A1035" s="16" t="s">
        <v>52</v>
      </c>
      <c r="B1035" s="16"/>
      <c r="C1035" s="16"/>
      <c r="D1035" s="17"/>
      <c r="E1035" s="17"/>
      <c r="F1035" s="17"/>
      <c r="G1035" s="17"/>
      <c r="H1035" s="17"/>
      <c r="I1035" s="17"/>
      <c r="L1035" s="5"/>
      <c r="M1035" s="5"/>
      <c r="N1035" s="5"/>
      <c r="O1035" s="5"/>
    </row>
    <row r="1036" spans="1:15">
      <c r="A1036" s="18" t="s">
        <v>179</v>
      </c>
      <c r="B1036" s="18"/>
      <c r="C1036" s="18"/>
      <c r="D1036" s="18"/>
      <c r="E1036" s="18"/>
      <c r="F1036" s="18"/>
      <c r="G1036" s="18"/>
      <c r="H1036" s="18"/>
      <c r="I1036" s="18"/>
      <c r="J1036" s="18"/>
      <c r="L1036" s="5"/>
      <c r="M1036" s="5"/>
      <c r="N1036" s="5"/>
      <c r="O1036" s="5"/>
    </row>
    <row r="1037" spans="1:15">
      <c r="A1037" s="19"/>
      <c r="B1037" s="17"/>
      <c r="C1037" s="20"/>
      <c r="D1037" s="20"/>
      <c r="E1037" s="20"/>
      <c r="F1037" s="20"/>
      <c r="G1037" s="20"/>
      <c r="H1037" s="17"/>
      <c r="I1037" s="17"/>
      <c r="L1037" s="5"/>
      <c r="M1037" s="5"/>
      <c r="N1037" s="5"/>
      <c r="O1037" s="5"/>
    </row>
    <row r="1038" spans="1:15">
      <c r="A1038" s="166" t="s">
        <v>53</v>
      </c>
      <c r="B1038" s="168" t="s">
        <v>54</v>
      </c>
      <c r="C1038" s="170" t="s">
        <v>181</v>
      </c>
      <c r="D1038" s="171" t="s">
        <v>55</v>
      </c>
      <c r="E1038" s="172"/>
      <c r="F1038" s="172"/>
      <c r="G1038" s="173"/>
      <c r="H1038" s="174" t="s">
        <v>56</v>
      </c>
      <c r="I1038" s="162" t="s">
        <v>57</v>
      </c>
      <c r="J1038" s="17"/>
      <c r="L1038" s="5"/>
      <c r="M1038" s="5"/>
      <c r="N1038" s="5"/>
      <c r="O1038" s="5"/>
    </row>
    <row r="1039" spans="1:15" ht="25.5">
      <c r="A1039" s="167"/>
      <c r="B1039" s="169"/>
      <c r="C1039" s="22"/>
      <c r="D1039" s="21" t="s">
        <v>24</v>
      </c>
      <c r="E1039" s="21" t="s">
        <v>25</v>
      </c>
      <c r="F1039" s="22" t="s">
        <v>123</v>
      </c>
      <c r="G1039" s="21" t="s">
        <v>58</v>
      </c>
      <c r="H1039" s="175"/>
      <c r="I1039" s="163"/>
      <c r="J1039" s="164" t="s">
        <v>180</v>
      </c>
      <c r="K1039" s="142"/>
      <c r="L1039" s="5"/>
      <c r="M1039" s="5"/>
      <c r="N1039" s="5"/>
      <c r="O1039" s="5"/>
    </row>
    <row r="1040" spans="1:15">
      <c r="A1040" s="23"/>
      <c r="B1040" s="24" t="s">
        <v>59</v>
      </c>
      <c r="C1040" s="25"/>
      <c r="D1040" s="25"/>
      <c r="E1040" s="25"/>
      <c r="F1040" s="25"/>
      <c r="G1040" s="25"/>
      <c r="H1040" s="25"/>
      <c r="I1040" s="26"/>
      <c r="J1040" s="165"/>
      <c r="K1040" s="142"/>
      <c r="L1040" s="5"/>
      <c r="M1040" s="5"/>
      <c r="N1040" s="5"/>
      <c r="O1040" s="5"/>
    </row>
    <row r="1041" spans="1:15">
      <c r="A1041" s="121" t="s">
        <v>108</v>
      </c>
      <c r="B1041" s="126" t="s">
        <v>162</v>
      </c>
      <c r="C1041" s="32">
        <f>+C1016</f>
        <v>9500</v>
      </c>
      <c r="D1041" s="31"/>
      <c r="E1041" s="32">
        <f>+D1016</f>
        <v>567000</v>
      </c>
      <c r="F1041" s="32"/>
      <c r="G1041" s="32"/>
      <c r="H1041" s="55">
        <f>+F1016</f>
        <v>0</v>
      </c>
      <c r="I1041" s="32">
        <f>+E1016</f>
        <v>576000</v>
      </c>
      <c r="J1041" s="30">
        <f t="shared" ref="J1041:J1042" si="578">+SUM(C1041:G1041)-(H1041+I1041)</f>
        <v>500</v>
      </c>
      <c r="K1041" s="143" t="b">
        <f>J1041=I1016</f>
        <v>1</v>
      </c>
      <c r="L1041" s="5"/>
      <c r="M1041" s="5"/>
      <c r="N1041" s="5"/>
      <c r="O1041" s="5"/>
    </row>
    <row r="1042" spans="1:15">
      <c r="A1042" s="121" t="str">
        <f>+A1041</f>
        <v>JANVIER</v>
      </c>
      <c r="B1042" s="126" t="s">
        <v>47</v>
      </c>
      <c r="C1042" s="32">
        <f>+C1020</f>
        <v>-37100</v>
      </c>
      <c r="D1042" s="31"/>
      <c r="E1042" s="32">
        <f>+D1020</f>
        <v>256000</v>
      </c>
      <c r="F1042" s="32"/>
      <c r="G1042" s="32"/>
      <c r="H1042" s="55">
        <f>+F1020</f>
        <v>20000</v>
      </c>
      <c r="I1042" s="32">
        <f>+E1020</f>
        <v>189900</v>
      </c>
      <c r="J1042" s="100">
        <f t="shared" si="578"/>
        <v>9000</v>
      </c>
      <c r="K1042" s="143" t="b">
        <f t="shared" ref="K1042:K1051" si="579">J1042=I1020</f>
        <v>1</v>
      </c>
      <c r="L1042" s="5"/>
      <c r="M1042" s="5"/>
      <c r="N1042" s="5"/>
      <c r="O1042" s="5"/>
    </row>
    <row r="1043" spans="1:15">
      <c r="A1043" s="121" t="str">
        <f t="shared" ref="A1043:A1051" si="580">+A1042</f>
        <v>JANVIER</v>
      </c>
      <c r="B1043" s="127" t="s">
        <v>31</v>
      </c>
      <c r="C1043" s="32">
        <f>+C1021</f>
        <v>8645</v>
      </c>
      <c r="D1043" s="118"/>
      <c r="E1043" s="32">
        <f>+D1021</f>
        <v>0</v>
      </c>
      <c r="F1043" s="51"/>
      <c r="G1043" s="51"/>
      <c r="H1043" s="55">
        <f>+F1021</f>
        <v>0</v>
      </c>
      <c r="I1043" s="32">
        <f>+E1021</f>
        <v>0</v>
      </c>
      <c r="J1043" s="123">
        <f>+SUM(C1043:G1043)-(H1043+I1043)</f>
        <v>8645</v>
      </c>
      <c r="K1043" s="143" t="b">
        <f t="shared" si="579"/>
        <v>1</v>
      </c>
      <c r="L1043" s="5"/>
      <c r="M1043" s="5"/>
      <c r="N1043" s="5"/>
      <c r="O1043" s="5"/>
    </row>
    <row r="1044" spans="1:15">
      <c r="A1044" s="121" t="str">
        <f t="shared" si="580"/>
        <v>JANVIER</v>
      </c>
      <c r="B1044" s="128" t="s">
        <v>84</v>
      </c>
      <c r="C1044" s="119">
        <f>+C1022</f>
        <v>233614</v>
      </c>
      <c r="D1044" s="122"/>
      <c r="E1044" s="119">
        <f>+D1022</f>
        <v>0</v>
      </c>
      <c r="F1044" s="136"/>
      <c r="G1044" s="136"/>
      <c r="H1044" s="154">
        <f>+F1022</f>
        <v>0</v>
      </c>
      <c r="I1044" s="119">
        <f>+E1022</f>
        <v>0</v>
      </c>
      <c r="J1044" s="120">
        <f>+SUM(C1044:G1044)-(H1044+I1044)</f>
        <v>233614</v>
      </c>
      <c r="K1044" s="143" t="b">
        <f t="shared" si="579"/>
        <v>1</v>
      </c>
      <c r="L1044" s="5"/>
      <c r="M1044" s="5"/>
      <c r="N1044" s="5"/>
      <c r="O1044" s="5"/>
    </row>
    <row r="1045" spans="1:15">
      <c r="A1045" s="121" t="str">
        <f t="shared" si="580"/>
        <v>JANVIER</v>
      </c>
      <c r="B1045" s="128" t="s">
        <v>83</v>
      </c>
      <c r="C1045" s="119">
        <f>+C1023</f>
        <v>249769</v>
      </c>
      <c r="D1045" s="122"/>
      <c r="E1045" s="119">
        <f>+D1023</f>
        <v>0</v>
      </c>
      <c r="F1045" s="136"/>
      <c r="G1045" s="136"/>
      <c r="H1045" s="154">
        <f>+F1023</f>
        <v>0</v>
      </c>
      <c r="I1045" s="119">
        <f>+E1023</f>
        <v>0</v>
      </c>
      <c r="J1045" s="120">
        <f t="shared" ref="J1045:J1051" si="581">+SUM(C1045:G1045)-(H1045+I1045)</f>
        <v>249769</v>
      </c>
      <c r="K1045" s="143" t="b">
        <f t="shared" si="579"/>
        <v>1</v>
      </c>
      <c r="L1045" s="5"/>
      <c r="M1045" s="5"/>
      <c r="N1045" s="5"/>
      <c r="O1045" s="5"/>
    </row>
    <row r="1046" spans="1:15">
      <c r="A1046" s="121" t="str">
        <f t="shared" si="580"/>
        <v>JANVIER</v>
      </c>
      <c r="B1046" s="126" t="s">
        <v>144</v>
      </c>
      <c r="C1046" s="32">
        <f>+C1024</f>
        <v>34935</v>
      </c>
      <c r="D1046" s="31"/>
      <c r="E1046" s="32">
        <f>+D1024</f>
        <v>365000</v>
      </c>
      <c r="F1046" s="32"/>
      <c r="G1046" s="103"/>
      <c r="H1046" s="55">
        <f>+F1024</f>
        <v>0</v>
      </c>
      <c r="I1046" s="32">
        <f>+E1024</f>
        <v>320000</v>
      </c>
      <c r="J1046" s="30">
        <f t="shared" si="581"/>
        <v>79935</v>
      </c>
      <c r="K1046" s="143" t="b">
        <f t="shared" si="579"/>
        <v>1</v>
      </c>
      <c r="L1046" s="5"/>
      <c r="M1046" s="5"/>
      <c r="N1046" s="5"/>
      <c r="O1046" s="5"/>
    </row>
    <row r="1047" spans="1:15">
      <c r="A1047" s="121" t="str">
        <f t="shared" si="580"/>
        <v>JANVIER</v>
      </c>
      <c r="B1047" s="126" t="s">
        <v>143</v>
      </c>
      <c r="C1047" s="32">
        <f t="shared" ref="C1047:C1051" si="582">+C1025</f>
        <v>44200</v>
      </c>
      <c r="D1047" s="31"/>
      <c r="E1047" s="32">
        <f t="shared" ref="E1047:E1051" si="583">+D1025</f>
        <v>0</v>
      </c>
      <c r="F1047" s="32"/>
      <c r="G1047" s="103"/>
      <c r="H1047" s="55">
        <f t="shared" ref="H1047:H1051" si="584">+F1025</f>
        <v>15000</v>
      </c>
      <c r="I1047" s="32">
        <f t="shared" ref="I1047:I1051" si="585">+E1025</f>
        <v>9400</v>
      </c>
      <c r="J1047" s="30">
        <f t="shared" si="581"/>
        <v>19800</v>
      </c>
      <c r="K1047" s="143" t="b">
        <f t="shared" si="579"/>
        <v>1</v>
      </c>
      <c r="L1047" s="5"/>
      <c r="M1047" s="5"/>
      <c r="N1047" s="5"/>
      <c r="O1047" s="5"/>
    </row>
    <row r="1048" spans="1:15">
      <c r="A1048" s="121" t="str">
        <f t="shared" si="580"/>
        <v>JANVIER</v>
      </c>
      <c r="B1048" s="126" t="s">
        <v>30</v>
      </c>
      <c r="C1048" s="32">
        <f t="shared" si="582"/>
        <v>12050</v>
      </c>
      <c r="D1048" s="31"/>
      <c r="E1048" s="32">
        <f t="shared" si="583"/>
        <v>492000</v>
      </c>
      <c r="F1048" s="32"/>
      <c r="G1048" s="103"/>
      <c r="H1048" s="55">
        <f t="shared" si="584"/>
        <v>0</v>
      </c>
      <c r="I1048" s="32">
        <f t="shared" si="585"/>
        <v>473500</v>
      </c>
      <c r="J1048" s="30">
        <f t="shared" si="581"/>
        <v>30550</v>
      </c>
      <c r="K1048" s="143" t="b">
        <f t="shared" si="579"/>
        <v>1</v>
      </c>
    </row>
    <row r="1049" spans="1:15">
      <c r="A1049" s="121" t="str">
        <f>+A1047</f>
        <v>JANVIER</v>
      </c>
      <c r="B1049" s="126" t="s">
        <v>93</v>
      </c>
      <c r="C1049" s="32">
        <f t="shared" si="582"/>
        <v>5500</v>
      </c>
      <c r="D1049" s="31"/>
      <c r="E1049" s="32">
        <f t="shared" si="583"/>
        <v>20000</v>
      </c>
      <c r="F1049" s="32"/>
      <c r="G1049" s="103"/>
      <c r="H1049" s="55">
        <f t="shared" si="584"/>
        <v>0</v>
      </c>
      <c r="I1049" s="32">
        <f t="shared" si="585"/>
        <v>12500</v>
      </c>
      <c r="J1049" s="30">
        <f t="shared" si="581"/>
        <v>13000</v>
      </c>
      <c r="K1049" s="143" t="b">
        <f t="shared" si="579"/>
        <v>1</v>
      </c>
    </row>
    <row r="1050" spans="1:15">
      <c r="A1050" s="121" t="str">
        <f>+A1048</f>
        <v>JANVIER</v>
      </c>
      <c r="B1050" s="126" t="s">
        <v>29</v>
      </c>
      <c r="C1050" s="32">
        <f t="shared" si="582"/>
        <v>58200</v>
      </c>
      <c r="D1050" s="31"/>
      <c r="E1050" s="32">
        <f t="shared" si="583"/>
        <v>530000</v>
      </c>
      <c r="F1050" s="32"/>
      <c r="G1050" s="103"/>
      <c r="H1050" s="55">
        <f t="shared" si="584"/>
        <v>0</v>
      </c>
      <c r="I1050" s="32">
        <f t="shared" si="585"/>
        <v>532500</v>
      </c>
      <c r="J1050" s="30">
        <f t="shared" si="581"/>
        <v>55700</v>
      </c>
      <c r="K1050" s="143" t="b">
        <f t="shared" si="579"/>
        <v>1</v>
      </c>
    </row>
    <row r="1051" spans="1:15">
      <c r="A1051" s="121" t="str">
        <f t="shared" si="580"/>
        <v>JANVIER</v>
      </c>
      <c r="B1051" s="127" t="s">
        <v>113</v>
      </c>
      <c r="C1051" s="32">
        <f t="shared" si="582"/>
        <v>263673</v>
      </c>
      <c r="D1051" s="118"/>
      <c r="E1051" s="32">
        <f t="shared" si="583"/>
        <v>300000</v>
      </c>
      <c r="F1051" s="51"/>
      <c r="G1051" s="137"/>
      <c r="H1051" s="55">
        <f t="shared" si="584"/>
        <v>0</v>
      </c>
      <c r="I1051" s="32">
        <f t="shared" si="585"/>
        <v>599910</v>
      </c>
      <c r="J1051" s="30">
        <f t="shared" si="581"/>
        <v>-36237</v>
      </c>
      <c r="K1051" s="143" t="b">
        <f t="shared" si="579"/>
        <v>1</v>
      </c>
    </row>
    <row r="1052" spans="1:15">
      <c r="A1052" s="34" t="s">
        <v>60</v>
      </c>
      <c r="B1052" s="35"/>
      <c r="C1052" s="35"/>
      <c r="D1052" s="35"/>
      <c r="E1052" s="35"/>
      <c r="F1052" s="35"/>
      <c r="G1052" s="35"/>
      <c r="H1052" s="35"/>
      <c r="I1052" s="35"/>
      <c r="J1052" s="36"/>
      <c r="K1052" s="142"/>
    </row>
    <row r="1053" spans="1:15">
      <c r="A1053" s="121" t="str">
        <f>+A1051</f>
        <v>JANVIER</v>
      </c>
      <c r="B1053" s="37" t="s">
        <v>61</v>
      </c>
      <c r="C1053" s="38">
        <f>+C1019</f>
        <v>1042520</v>
      </c>
      <c r="D1053" s="49"/>
      <c r="E1053" s="49">
        <f>D1019</f>
        <v>3035000</v>
      </c>
      <c r="F1053" s="49"/>
      <c r="G1053" s="124"/>
      <c r="H1053" s="51">
        <f>+F1019</f>
        <v>2530000</v>
      </c>
      <c r="I1053" s="125">
        <f>+E1019</f>
        <v>966635</v>
      </c>
      <c r="J1053" s="30">
        <f>+SUM(C1053:G1053)-(H1053+I1053)</f>
        <v>580885</v>
      </c>
      <c r="K1053" s="143" t="b">
        <f>J1053=I1019</f>
        <v>1</v>
      </c>
    </row>
    <row r="1054" spans="1:15">
      <c r="A1054" s="43" t="s">
        <v>62</v>
      </c>
      <c r="B1054" s="24"/>
      <c r="C1054" s="35"/>
      <c r="D1054" s="24"/>
      <c r="E1054" s="24"/>
      <c r="F1054" s="24"/>
      <c r="G1054" s="24"/>
      <c r="H1054" s="24"/>
      <c r="I1054" s="24"/>
      <c r="J1054" s="36"/>
      <c r="K1054" s="142"/>
    </row>
    <row r="1055" spans="1:15">
      <c r="A1055" s="121" t="str">
        <f>+A1053</f>
        <v>JANVIER</v>
      </c>
      <c r="B1055" s="37" t="s">
        <v>156</v>
      </c>
      <c r="C1055" s="124">
        <f>+C1017</f>
        <v>3455373</v>
      </c>
      <c r="D1055" s="131">
        <f>+G1017</f>
        <v>0</v>
      </c>
      <c r="E1055" s="49"/>
      <c r="F1055" s="49"/>
      <c r="G1055" s="49"/>
      <c r="H1055" s="51">
        <f>+F1017</f>
        <v>1000000</v>
      </c>
      <c r="I1055" s="53">
        <f>+E1017</f>
        <v>283345</v>
      </c>
      <c r="J1055" s="30">
        <f>+SUM(C1055:G1055)-(H1055+I1055)</f>
        <v>2172028</v>
      </c>
      <c r="K1055" s="143" t="b">
        <f>+J1055=I1017</f>
        <v>1</v>
      </c>
    </row>
    <row r="1056" spans="1:15">
      <c r="A1056" s="121" t="str">
        <f t="shared" ref="A1056" si="586">+A1055</f>
        <v>JANVIER</v>
      </c>
      <c r="B1056" s="37" t="s">
        <v>64</v>
      </c>
      <c r="C1056" s="124">
        <f>+C1018</f>
        <v>4841615</v>
      </c>
      <c r="D1056" s="49">
        <f>+G1018</f>
        <v>17525203</v>
      </c>
      <c r="E1056" s="48"/>
      <c r="F1056" s="48"/>
      <c r="G1056" s="48"/>
      <c r="H1056" s="32">
        <f>+F1018</f>
        <v>2000000</v>
      </c>
      <c r="I1056" s="50">
        <f>+E1018</f>
        <v>6223724</v>
      </c>
      <c r="J1056" s="30">
        <f>SUM(C1056:G1056)-(H1056+I1056)</f>
        <v>14143094</v>
      </c>
      <c r="K1056" s="143" t="b">
        <f>+J1056=I1018</f>
        <v>1</v>
      </c>
    </row>
    <row r="1057" spans="1:16" ht="15.75">
      <c r="C1057" s="140">
        <f>SUM(C1041:C1056)</f>
        <v>10222494</v>
      </c>
      <c r="I1057" s="139">
        <f>SUM(I1041:I1056)</f>
        <v>10187414</v>
      </c>
      <c r="J1057" s="104">
        <f>+SUM(J1041:J1056)</f>
        <v>17560283</v>
      </c>
      <c r="K1057" s="5" t="b">
        <f>J1057=I1030</f>
        <v>1</v>
      </c>
    </row>
    <row r="1058" spans="1:16" ht="15.75">
      <c r="C1058" s="140"/>
      <c r="I1058" s="139"/>
      <c r="J1058" s="104"/>
    </row>
    <row r="1059" spans="1:16" ht="15.75">
      <c r="A1059" s="157"/>
      <c r="B1059" s="157"/>
      <c r="C1059" s="158"/>
      <c r="D1059" s="157"/>
      <c r="E1059" s="157"/>
      <c r="F1059" s="157"/>
      <c r="G1059" s="157"/>
      <c r="H1059" s="157"/>
      <c r="I1059" s="159"/>
      <c r="J1059" s="160"/>
      <c r="K1059" s="157"/>
      <c r="L1059" s="161"/>
      <c r="M1059" s="161"/>
      <c r="N1059" s="161"/>
      <c r="O1059" s="161"/>
      <c r="P1059" s="157"/>
    </row>
    <row r="1061" spans="1:16" ht="15.75">
      <c r="A1061" s="6" t="s">
        <v>36</v>
      </c>
      <c r="B1061" s="6" t="s">
        <v>1</v>
      </c>
      <c r="C1061" s="6">
        <v>44531</v>
      </c>
      <c r="D1061" s="7" t="s">
        <v>37</v>
      </c>
      <c r="E1061" s="7" t="s">
        <v>38</v>
      </c>
      <c r="F1061" s="7" t="s">
        <v>39</v>
      </c>
      <c r="G1061" s="7" t="s">
        <v>40</v>
      </c>
      <c r="H1061" s="6">
        <v>44561</v>
      </c>
      <c r="I1061" s="7" t="s">
        <v>41</v>
      </c>
      <c r="K1061" s="45"/>
      <c r="L1061" s="45" t="s">
        <v>42</v>
      </c>
      <c r="M1061" s="45" t="s">
        <v>43</v>
      </c>
      <c r="N1061" s="45" t="s">
        <v>44</v>
      </c>
      <c r="O1061" s="45" t="s">
        <v>45</v>
      </c>
    </row>
    <row r="1062" spans="1:16" ht="16.5">
      <c r="A1062" s="58" t="str">
        <f>+K1062</f>
        <v>Axel</v>
      </c>
      <c r="B1062" s="156" t="s">
        <v>154</v>
      </c>
      <c r="C1062" s="60">
        <v>29107</v>
      </c>
      <c r="D1062" s="61">
        <f t="shared" ref="D1062:D1076" si="587">+L1062</f>
        <v>1125000</v>
      </c>
      <c r="E1062" s="61">
        <f>+N1062</f>
        <v>1008750</v>
      </c>
      <c r="F1062" s="61">
        <f>+M1062</f>
        <v>145357</v>
      </c>
      <c r="G1062" s="61">
        <f t="shared" ref="G1062:G1074" si="588">+O1062</f>
        <v>0</v>
      </c>
      <c r="H1062" s="61">
        <v>0</v>
      </c>
      <c r="I1062" s="61">
        <f>+C1062+D1062-E1062-F1062+G1062</f>
        <v>0</v>
      </c>
      <c r="J1062" s="9">
        <f>I1062-H1062</f>
        <v>0</v>
      </c>
      <c r="K1062" s="155" t="s">
        <v>153</v>
      </c>
      <c r="L1062" s="155">
        <v>1125000</v>
      </c>
      <c r="M1062" s="155">
        <v>145357</v>
      </c>
      <c r="N1062" s="155">
        <v>1008750</v>
      </c>
      <c r="O1062" s="155">
        <v>0</v>
      </c>
    </row>
    <row r="1063" spans="1:16" ht="16.5">
      <c r="A1063" s="58" t="str">
        <f>+K1063</f>
        <v>B52</v>
      </c>
      <c r="B1063" s="59" t="s">
        <v>4</v>
      </c>
      <c r="C1063" s="60">
        <v>4000</v>
      </c>
      <c r="D1063" s="61">
        <f t="shared" si="587"/>
        <v>426000</v>
      </c>
      <c r="E1063" s="61">
        <f>+N1063</f>
        <v>420500</v>
      </c>
      <c r="F1063" s="61">
        <f>+M1063</f>
        <v>0</v>
      </c>
      <c r="G1063" s="61">
        <f t="shared" si="588"/>
        <v>0</v>
      </c>
      <c r="H1063" s="61">
        <v>9500</v>
      </c>
      <c r="I1063" s="61">
        <f>+C1063+D1063-E1063-F1063+G1063</f>
        <v>9500</v>
      </c>
      <c r="J1063" s="9">
        <f>I1063-H1063</f>
        <v>0</v>
      </c>
      <c r="K1063" s="45" t="s">
        <v>162</v>
      </c>
      <c r="L1063" s="47">
        <v>426000</v>
      </c>
      <c r="M1063" s="47">
        <v>0</v>
      </c>
      <c r="N1063" s="47">
        <v>420500</v>
      </c>
      <c r="O1063" s="47">
        <v>0</v>
      </c>
    </row>
    <row r="1064" spans="1:16" ht="16.5">
      <c r="A1064" s="58" t="str">
        <f>+K1064</f>
        <v>BCI</v>
      </c>
      <c r="B1064" s="59" t="s">
        <v>46</v>
      </c>
      <c r="C1064" s="60">
        <v>5738718</v>
      </c>
      <c r="D1064" s="61">
        <f t="shared" si="587"/>
        <v>0</v>
      </c>
      <c r="E1064" s="61">
        <f>+N1064</f>
        <v>283345</v>
      </c>
      <c r="F1064" s="61">
        <f>+M1064</f>
        <v>2000000</v>
      </c>
      <c r="G1064" s="61">
        <f t="shared" si="588"/>
        <v>0</v>
      </c>
      <c r="H1064" s="61">
        <v>3455373</v>
      </c>
      <c r="I1064" s="61">
        <f>+C1064+D1064-E1064-F1064+G1064</f>
        <v>3455373</v>
      </c>
      <c r="J1064" s="9">
        <f t="shared" ref="J1064:J1071" si="589">I1064-H1064</f>
        <v>0</v>
      </c>
      <c r="K1064" s="45" t="s">
        <v>24</v>
      </c>
      <c r="L1064" s="47">
        <v>0</v>
      </c>
      <c r="M1064" s="47">
        <v>2000000</v>
      </c>
      <c r="N1064" s="47">
        <v>283345</v>
      </c>
      <c r="O1064" s="47">
        <v>0</v>
      </c>
    </row>
    <row r="1065" spans="1:16" ht="16.5">
      <c r="A1065" s="58" t="str">
        <f t="shared" ref="A1065:A1067" si="590">+K1065</f>
        <v>BCI-Sous Compte</v>
      </c>
      <c r="B1065" s="59" t="s">
        <v>46</v>
      </c>
      <c r="C1065" s="60">
        <v>16087207</v>
      </c>
      <c r="D1065" s="61">
        <f t="shared" si="587"/>
        <v>0</v>
      </c>
      <c r="E1065" s="61">
        <f>+N1065</f>
        <v>3245592</v>
      </c>
      <c r="F1065" s="61">
        <f>+M1065</f>
        <v>8000000</v>
      </c>
      <c r="G1065" s="61">
        <f t="shared" si="588"/>
        <v>0</v>
      </c>
      <c r="H1065" s="61">
        <v>4841615</v>
      </c>
      <c r="I1065" s="61">
        <f>+C1065+D1065-E1065-F1065+G1065</f>
        <v>4841615</v>
      </c>
      <c r="J1065" s="101">
        <f t="shared" si="589"/>
        <v>0</v>
      </c>
      <c r="K1065" s="45" t="s">
        <v>148</v>
      </c>
      <c r="L1065" s="47">
        <v>0</v>
      </c>
      <c r="M1065" s="47">
        <v>8000000</v>
      </c>
      <c r="N1065" s="47">
        <v>3245592</v>
      </c>
      <c r="O1065" s="47">
        <v>0</v>
      </c>
    </row>
    <row r="1066" spans="1:16" ht="16.5">
      <c r="A1066" s="58" t="str">
        <f t="shared" si="590"/>
        <v>Caisse</v>
      </c>
      <c r="B1066" s="59" t="s">
        <v>25</v>
      </c>
      <c r="C1066" s="60">
        <v>926369</v>
      </c>
      <c r="D1066" s="61">
        <f t="shared" si="587"/>
        <v>10580357</v>
      </c>
      <c r="E1066" s="61">
        <f t="shared" ref="E1066" si="591">+N1066</f>
        <v>3713706</v>
      </c>
      <c r="F1066" s="61">
        <f t="shared" ref="F1066:F1074" si="592">+M1066</f>
        <v>6750500</v>
      </c>
      <c r="G1066" s="61">
        <f t="shared" si="588"/>
        <v>0</v>
      </c>
      <c r="H1066" s="61">
        <v>1042520</v>
      </c>
      <c r="I1066" s="61">
        <f>+C1066+D1066-E1066-F1066+G1066</f>
        <v>1042520</v>
      </c>
      <c r="J1066" s="9">
        <f t="shared" si="589"/>
        <v>0</v>
      </c>
      <c r="K1066" s="45" t="s">
        <v>25</v>
      </c>
      <c r="L1066" s="47">
        <v>10580357</v>
      </c>
      <c r="M1066" s="47">
        <v>6750500</v>
      </c>
      <c r="N1066" s="47">
        <v>3713706</v>
      </c>
      <c r="O1066" s="47">
        <v>0</v>
      </c>
    </row>
    <row r="1067" spans="1:16" ht="16.5">
      <c r="A1067" s="58" t="str">
        <f t="shared" si="590"/>
        <v>Crépin</v>
      </c>
      <c r="B1067" s="59" t="s">
        <v>154</v>
      </c>
      <c r="C1067" s="60">
        <v>-3675</v>
      </c>
      <c r="D1067" s="61">
        <f t="shared" si="587"/>
        <v>1778500</v>
      </c>
      <c r="E1067" s="61">
        <f>+N1067</f>
        <v>1666925</v>
      </c>
      <c r="F1067" s="61">
        <f t="shared" si="592"/>
        <v>145000</v>
      </c>
      <c r="G1067" s="61">
        <f t="shared" si="588"/>
        <v>0</v>
      </c>
      <c r="H1067" s="61">
        <v>-37100</v>
      </c>
      <c r="I1067" s="61">
        <f t="shared" ref="I1067" si="593">+C1067+D1067-E1067-F1067+G1067</f>
        <v>-37100</v>
      </c>
      <c r="J1067" s="9">
        <f t="shared" si="589"/>
        <v>0</v>
      </c>
      <c r="K1067" s="45" t="s">
        <v>47</v>
      </c>
      <c r="L1067" s="47">
        <v>1778500</v>
      </c>
      <c r="M1067" s="47">
        <v>145000</v>
      </c>
      <c r="N1067" s="47">
        <v>1666925</v>
      </c>
      <c r="O1067" s="47">
        <v>0</v>
      </c>
    </row>
    <row r="1068" spans="1:16" ht="16.5">
      <c r="A1068" s="58" t="str">
        <f>K1068</f>
        <v>Evariste</v>
      </c>
      <c r="B1068" s="59" t="s">
        <v>155</v>
      </c>
      <c r="C1068" s="60">
        <v>7595</v>
      </c>
      <c r="D1068" s="61">
        <f t="shared" si="587"/>
        <v>286000</v>
      </c>
      <c r="E1068" s="61">
        <f t="shared" ref="E1068" si="594">+N1068</f>
        <v>284950</v>
      </c>
      <c r="F1068" s="61">
        <f t="shared" si="592"/>
        <v>0</v>
      </c>
      <c r="G1068" s="61">
        <f t="shared" si="588"/>
        <v>0</v>
      </c>
      <c r="H1068" s="61">
        <v>8645</v>
      </c>
      <c r="I1068" s="61">
        <f>+C1068+D1068-E1068-F1068+G1068</f>
        <v>8645</v>
      </c>
      <c r="J1068" s="9">
        <f t="shared" si="589"/>
        <v>0</v>
      </c>
      <c r="K1068" s="45" t="s">
        <v>31</v>
      </c>
      <c r="L1068" s="47">
        <v>286000</v>
      </c>
      <c r="M1068" s="47">
        <v>0</v>
      </c>
      <c r="N1068" s="47">
        <v>284950</v>
      </c>
      <c r="O1068" s="47">
        <v>0</v>
      </c>
    </row>
    <row r="1069" spans="1:16" ht="16.5">
      <c r="A1069" s="114" t="str">
        <f t="shared" ref="A1069:A1076" si="595">+K1069</f>
        <v>I55S</v>
      </c>
      <c r="B1069" s="115" t="s">
        <v>4</v>
      </c>
      <c r="C1069" s="116">
        <v>233614</v>
      </c>
      <c r="D1069" s="117">
        <f t="shared" si="587"/>
        <v>0</v>
      </c>
      <c r="E1069" s="117">
        <f>+N1069</f>
        <v>0</v>
      </c>
      <c r="F1069" s="117">
        <f t="shared" si="592"/>
        <v>0</v>
      </c>
      <c r="G1069" s="117">
        <f t="shared" si="588"/>
        <v>0</v>
      </c>
      <c r="H1069" s="117">
        <v>233614</v>
      </c>
      <c r="I1069" s="117">
        <f>+C1069+D1069-E1069-F1069+G1069</f>
        <v>233614</v>
      </c>
      <c r="J1069" s="9">
        <f t="shared" si="589"/>
        <v>0</v>
      </c>
      <c r="K1069" s="45" t="s">
        <v>84</v>
      </c>
      <c r="L1069" s="47">
        <v>0</v>
      </c>
      <c r="M1069" s="47">
        <v>0</v>
      </c>
      <c r="N1069" s="47">
        <v>0</v>
      </c>
      <c r="O1069" s="47">
        <v>0</v>
      </c>
    </row>
    <row r="1070" spans="1:16" ht="16.5">
      <c r="A1070" s="114" t="str">
        <f t="shared" si="595"/>
        <v>I73X</v>
      </c>
      <c r="B1070" s="115" t="s">
        <v>4</v>
      </c>
      <c r="C1070" s="116">
        <v>249769</v>
      </c>
      <c r="D1070" s="117">
        <f t="shared" si="587"/>
        <v>0</v>
      </c>
      <c r="E1070" s="117">
        <f>+N1070</f>
        <v>0</v>
      </c>
      <c r="F1070" s="117">
        <f t="shared" si="592"/>
        <v>0</v>
      </c>
      <c r="G1070" s="117">
        <f t="shared" si="588"/>
        <v>0</v>
      </c>
      <c r="H1070" s="117">
        <v>249769</v>
      </c>
      <c r="I1070" s="117">
        <f t="shared" ref="I1070:I1073" si="596">+C1070+D1070-E1070-F1070+G1070</f>
        <v>249769</v>
      </c>
      <c r="J1070" s="9">
        <f t="shared" si="589"/>
        <v>0</v>
      </c>
      <c r="K1070" s="45" t="s">
        <v>83</v>
      </c>
      <c r="L1070" s="47">
        <v>0</v>
      </c>
      <c r="M1070" s="47">
        <v>0</v>
      </c>
      <c r="N1070" s="47">
        <v>0</v>
      </c>
      <c r="O1070" s="47">
        <v>0</v>
      </c>
    </row>
    <row r="1071" spans="1:16" ht="16.5">
      <c r="A1071" s="58" t="str">
        <f t="shared" si="595"/>
        <v>Godfré</v>
      </c>
      <c r="B1071" s="97" t="s">
        <v>154</v>
      </c>
      <c r="C1071" s="60">
        <v>-6000</v>
      </c>
      <c r="D1071" s="61">
        <f t="shared" si="587"/>
        <v>797000</v>
      </c>
      <c r="E1071" s="153">
        <f t="shared" ref="E1071:E1076" si="597">+N1071</f>
        <v>578885</v>
      </c>
      <c r="F1071" s="61">
        <f t="shared" si="592"/>
        <v>177180</v>
      </c>
      <c r="G1071" s="61">
        <f t="shared" si="588"/>
        <v>0</v>
      </c>
      <c r="H1071" s="61">
        <v>34935</v>
      </c>
      <c r="I1071" s="61">
        <f t="shared" si="596"/>
        <v>34935</v>
      </c>
      <c r="J1071" s="9">
        <f t="shared" si="589"/>
        <v>0</v>
      </c>
      <c r="K1071" s="45" t="s">
        <v>144</v>
      </c>
      <c r="L1071" s="47">
        <v>797000</v>
      </c>
      <c r="M1071" s="47">
        <v>177180</v>
      </c>
      <c r="N1071" s="47">
        <v>578885</v>
      </c>
      <c r="O1071" s="47">
        <v>0</v>
      </c>
    </row>
    <row r="1072" spans="1:16" ht="16.5">
      <c r="A1072" s="58" t="str">
        <f t="shared" si="595"/>
        <v>Grace</v>
      </c>
      <c r="B1072" s="59" t="s">
        <v>2</v>
      </c>
      <c r="C1072" s="60">
        <v>48400</v>
      </c>
      <c r="D1072" s="61">
        <f t="shared" si="587"/>
        <v>847000</v>
      </c>
      <c r="E1072" s="153">
        <f>+N1072</f>
        <v>193200</v>
      </c>
      <c r="F1072" s="61">
        <f t="shared" si="592"/>
        <v>658000</v>
      </c>
      <c r="G1072" s="61">
        <f t="shared" si="588"/>
        <v>0</v>
      </c>
      <c r="H1072" s="61">
        <v>44200</v>
      </c>
      <c r="I1072" s="61">
        <f t="shared" si="596"/>
        <v>44200</v>
      </c>
      <c r="J1072" s="9">
        <f>I1072-H1072</f>
        <v>0</v>
      </c>
      <c r="K1072" s="45" t="s">
        <v>143</v>
      </c>
      <c r="L1072" s="47">
        <v>847000</v>
      </c>
      <c r="M1072" s="47">
        <v>658000</v>
      </c>
      <c r="N1072" s="47">
        <v>193200</v>
      </c>
      <c r="O1072" s="47">
        <v>0</v>
      </c>
    </row>
    <row r="1073" spans="1:15" ht="16.5">
      <c r="A1073" s="58" t="str">
        <f t="shared" si="595"/>
        <v>I23C</v>
      </c>
      <c r="B1073" s="97" t="s">
        <v>4</v>
      </c>
      <c r="C1073" s="60">
        <v>6800</v>
      </c>
      <c r="D1073" s="61">
        <f t="shared" si="587"/>
        <v>861000</v>
      </c>
      <c r="E1073" s="153">
        <f t="shared" si="597"/>
        <v>855750</v>
      </c>
      <c r="F1073" s="61">
        <f t="shared" si="592"/>
        <v>0</v>
      </c>
      <c r="G1073" s="61">
        <f t="shared" si="588"/>
        <v>0</v>
      </c>
      <c r="H1073" s="61">
        <v>12050</v>
      </c>
      <c r="I1073" s="61">
        <f t="shared" si="596"/>
        <v>12050</v>
      </c>
      <c r="J1073" s="9">
        <f t="shared" ref="J1073:J1074" si="598">I1073-H1073</f>
        <v>0</v>
      </c>
      <c r="K1073" s="45" t="s">
        <v>30</v>
      </c>
      <c r="L1073" s="47">
        <v>861000</v>
      </c>
      <c r="M1073" s="47">
        <v>0</v>
      </c>
      <c r="N1073" s="47">
        <v>855750</v>
      </c>
      <c r="O1073" s="47">
        <v>0</v>
      </c>
    </row>
    <row r="1074" spans="1:15" ht="16.5">
      <c r="A1074" s="58" t="str">
        <f t="shared" si="595"/>
        <v>Merveille</v>
      </c>
      <c r="B1074" s="59" t="s">
        <v>2</v>
      </c>
      <c r="C1074" s="60">
        <v>5500</v>
      </c>
      <c r="D1074" s="61">
        <f t="shared" si="587"/>
        <v>0</v>
      </c>
      <c r="E1074" s="153">
        <f t="shared" si="597"/>
        <v>0</v>
      </c>
      <c r="F1074" s="61">
        <f t="shared" si="592"/>
        <v>0</v>
      </c>
      <c r="G1074" s="61">
        <f t="shared" si="588"/>
        <v>0</v>
      </c>
      <c r="H1074" s="61">
        <v>5500</v>
      </c>
      <c r="I1074" s="61">
        <f>+C1074+D1074-E1074-F1074+G1074</f>
        <v>5500</v>
      </c>
      <c r="J1074" s="9">
        <f t="shared" si="598"/>
        <v>0</v>
      </c>
      <c r="K1074" s="45" t="s">
        <v>93</v>
      </c>
      <c r="L1074" s="47">
        <v>0</v>
      </c>
      <c r="M1074" s="47">
        <v>0</v>
      </c>
      <c r="N1074" s="47">
        <v>0</v>
      </c>
      <c r="O1074" s="47"/>
    </row>
    <row r="1075" spans="1:15" ht="16.5">
      <c r="A1075" s="58" t="str">
        <f t="shared" si="595"/>
        <v>P29</v>
      </c>
      <c r="B1075" s="59" t="s">
        <v>4</v>
      </c>
      <c r="C1075" s="60">
        <v>30700</v>
      </c>
      <c r="D1075" s="61">
        <f t="shared" si="587"/>
        <v>1215000</v>
      </c>
      <c r="E1075" s="153">
        <f t="shared" si="597"/>
        <v>697500</v>
      </c>
      <c r="F1075" s="61">
        <f>+M1075</f>
        <v>490000</v>
      </c>
      <c r="G1075" s="61">
        <f>+O1075</f>
        <v>0</v>
      </c>
      <c r="H1075" s="61">
        <v>58200</v>
      </c>
      <c r="I1075" s="61">
        <f>+C1075+D1075-E1075-F1075+G1075</f>
        <v>58200</v>
      </c>
      <c r="J1075" s="9">
        <f>I1075-H1075</f>
        <v>0</v>
      </c>
      <c r="K1075" s="45" t="s">
        <v>29</v>
      </c>
      <c r="L1075" s="47">
        <v>1215000</v>
      </c>
      <c r="M1075" s="47">
        <v>490000</v>
      </c>
      <c r="N1075" s="47">
        <v>697500</v>
      </c>
      <c r="O1075" s="47">
        <v>0</v>
      </c>
    </row>
    <row r="1076" spans="1:15" ht="16.5">
      <c r="A1076" s="58" t="str">
        <f t="shared" si="595"/>
        <v>Tiffany</v>
      </c>
      <c r="B1076" s="59" t="s">
        <v>2</v>
      </c>
      <c r="C1076" s="60">
        <v>9193</v>
      </c>
      <c r="D1076" s="61">
        <f t="shared" si="587"/>
        <v>1100180</v>
      </c>
      <c r="E1076" s="153">
        <f t="shared" si="597"/>
        <v>195700</v>
      </c>
      <c r="F1076" s="61">
        <f t="shared" ref="F1076" si="599">+M1076</f>
        <v>650000</v>
      </c>
      <c r="G1076" s="61">
        <f t="shared" ref="G1076" si="600">+O1076</f>
        <v>0</v>
      </c>
      <c r="H1076" s="61">
        <v>263673</v>
      </c>
      <c r="I1076" s="61">
        <f t="shared" ref="I1076" si="601">+C1076+D1076-E1076-F1076+G1076</f>
        <v>263673</v>
      </c>
      <c r="J1076" s="9">
        <f t="shared" ref="J1076" si="602">I1076-H1076</f>
        <v>0</v>
      </c>
      <c r="K1076" s="45" t="s">
        <v>113</v>
      </c>
      <c r="L1076" s="47">
        <v>1100180</v>
      </c>
      <c r="M1076" s="47">
        <v>650000</v>
      </c>
      <c r="N1076" s="47">
        <v>195700</v>
      </c>
      <c r="O1076" s="47">
        <v>0</v>
      </c>
    </row>
    <row r="1077" spans="1:15" ht="16.5">
      <c r="A1077" s="10" t="s">
        <v>50</v>
      </c>
      <c r="B1077" s="11"/>
      <c r="C1077" s="12">
        <f>SUM(C1062:C1076)</f>
        <v>23367297</v>
      </c>
      <c r="D1077" s="57">
        <f t="shared" ref="D1077:G1077" si="603">SUM(D1062:D1076)</f>
        <v>19016037</v>
      </c>
      <c r="E1077" s="57">
        <f t="shared" si="603"/>
        <v>13144803</v>
      </c>
      <c r="F1077" s="57">
        <f t="shared" si="603"/>
        <v>19016037</v>
      </c>
      <c r="G1077" s="57">
        <f t="shared" si="603"/>
        <v>0</v>
      </c>
      <c r="H1077" s="57">
        <f>SUM(H1062:H1076)</f>
        <v>10222494</v>
      </c>
      <c r="I1077" s="57">
        <f>SUM(I1062:I1076)</f>
        <v>10222494</v>
      </c>
      <c r="J1077" s="9">
        <f>I1077-H1077</f>
        <v>0</v>
      </c>
      <c r="K1077" s="3"/>
      <c r="L1077" s="47">
        <f>+SUM(L1062:L1076)</f>
        <v>19016037</v>
      </c>
      <c r="M1077" s="47">
        <f t="shared" ref="M1077:O1077" si="604">+SUM(M1062:M1076)</f>
        <v>19016037</v>
      </c>
      <c r="N1077" s="47">
        <f>+SUM(N1062:N1076)</f>
        <v>13144803</v>
      </c>
      <c r="O1077" s="47">
        <f t="shared" si="604"/>
        <v>0</v>
      </c>
    </row>
    <row r="1078" spans="1:15" ht="16.5">
      <c r="A1078" s="10"/>
      <c r="B1078" s="11"/>
      <c r="C1078" s="12"/>
      <c r="D1078" s="13"/>
      <c r="E1078" s="12"/>
      <c r="F1078" s="13"/>
      <c r="G1078" s="12"/>
      <c r="H1078" s="12"/>
      <c r="I1078" s="133" t="b">
        <f>I1077=D1080</f>
        <v>1</v>
      </c>
      <c r="L1078" s="5"/>
      <c r="M1078" s="5"/>
      <c r="N1078" s="5"/>
      <c r="O1078" s="5"/>
    </row>
    <row r="1079" spans="1:15" ht="16.5">
      <c r="A1079" s="10" t="s">
        <v>164</v>
      </c>
      <c r="B1079" s="11" t="s">
        <v>165</v>
      </c>
      <c r="C1079" s="12" t="s">
        <v>166</v>
      </c>
      <c r="D1079" s="12" t="s">
        <v>173</v>
      </c>
      <c r="E1079" s="12" t="s">
        <v>51</v>
      </c>
      <c r="F1079" s="12"/>
      <c r="G1079" s="12">
        <f>+D1077-F1077</f>
        <v>0</v>
      </c>
      <c r="H1079" s="12"/>
      <c r="I1079" s="12"/>
    </row>
    <row r="1080" spans="1:15" ht="16.5">
      <c r="A1080" s="14">
        <f>C1077</f>
        <v>23367297</v>
      </c>
      <c r="B1080" s="15">
        <f>G1077</f>
        <v>0</v>
      </c>
      <c r="C1080" s="12">
        <f>E1077</f>
        <v>13144803</v>
      </c>
      <c r="D1080" s="12">
        <f>A1080+B1080-C1080</f>
        <v>10222494</v>
      </c>
      <c r="E1080" s="13">
        <f>I1077-D1080</f>
        <v>0</v>
      </c>
      <c r="F1080" s="12"/>
      <c r="G1080" s="12"/>
      <c r="H1080" s="12"/>
      <c r="I1080" s="12"/>
      <c r="L1080" s="5"/>
      <c r="M1080" s="5"/>
      <c r="N1080" s="5"/>
      <c r="O1080" s="5"/>
    </row>
    <row r="1081" spans="1:15" ht="16.5">
      <c r="A1081" s="14"/>
      <c r="B1081" s="15"/>
      <c r="C1081" s="12"/>
      <c r="D1081" s="12"/>
      <c r="E1081" s="13"/>
      <c r="F1081" s="12"/>
      <c r="G1081" s="12"/>
      <c r="H1081" s="12"/>
      <c r="I1081" s="12"/>
      <c r="L1081" s="5"/>
      <c r="M1081" s="5"/>
      <c r="N1081" s="5"/>
      <c r="O1081" s="5"/>
    </row>
    <row r="1082" spans="1:15">
      <c r="A1082" s="16" t="s">
        <v>52</v>
      </c>
      <c r="B1082" s="16"/>
      <c r="C1082" s="16"/>
      <c r="D1082" s="17"/>
      <c r="E1082" s="17"/>
      <c r="F1082" s="17"/>
      <c r="G1082" s="17"/>
      <c r="H1082" s="17"/>
      <c r="I1082" s="17"/>
      <c r="L1082" s="5"/>
      <c r="M1082" s="5"/>
      <c r="N1082" s="5"/>
      <c r="O1082" s="5"/>
    </row>
    <row r="1083" spans="1:15">
      <c r="A1083" s="18" t="s">
        <v>172</v>
      </c>
      <c r="B1083" s="18"/>
      <c r="C1083" s="18"/>
      <c r="D1083" s="18"/>
      <c r="E1083" s="18"/>
      <c r="F1083" s="18"/>
      <c r="G1083" s="18"/>
      <c r="H1083" s="18"/>
      <c r="I1083" s="18"/>
      <c r="J1083" s="18"/>
      <c r="L1083" s="5"/>
      <c r="M1083" s="5"/>
      <c r="N1083" s="5"/>
      <c r="O1083" s="5"/>
    </row>
    <row r="1084" spans="1:15">
      <c r="A1084" s="19"/>
      <c r="B1084" s="17"/>
      <c r="C1084" s="20"/>
      <c r="D1084" s="20"/>
      <c r="E1084" s="20"/>
      <c r="F1084" s="20"/>
      <c r="G1084" s="20"/>
      <c r="H1084" s="17"/>
      <c r="I1084" s="17"/>
      <c r="L1084" s="5"/>
      <c r="M1084" s="5"/>
      <c r="N1084" s="5"/>
      <c r="O1084" s="5"/>
    </row>
    <row r="1085" spans="1:15">
      <c r="A1085" s="166" t="s">
        <v>53</v>
      </c>
      <c r="B1085" s="168" t="s">
        <v>54</v>
      </c>
      <c r="C1085" s="170" t="s">
        <v>167</v>
      </c>
      <c r="D1085" s="171" t="s">
        <v>55</v>
      </c>
      <c r="E1085" s="172"/>
      <c r="F1085" s="172"/>
      <c r="G1085" s="173"/>
      <c r="H1085" s="174" t="s">
        <v>56</v>
      </c>
      <c r="I1085" s="162" t="s">
        <v>57</v>
      </c>
      <c r="J1085" s="17"/>
      <c r="L1085" s="5"/>
      <c r="M1085" s="5"/>
      <c r="N1085" s="5"/>
      <c r="O1085" s="5"/>
    </row>
    <row r="1086" spans="1:15" ht="25.5">
      <c r="A1086" s="167"/>
      <c r="B1086" s="169"/>
      <c r="C1086" s="22"/>
      <c r="D1086" s="21" t="s">
        <v>24</v>
      </c>
      <c r="E1086" s="21" t="s">
        <v>25</v>
      </c>
      <c r="F1086" s="22" t="s">
        <v>123</v>
      </c>
      <c r="G1086" s="21" t="s">
        <v>58</v>
      </c>
      <c r="H1086" s="175"/>
      <c r="I1086" s="163"/>
      <c r="J1086" s="164" t="s">
        <v>168</v>
      </c>
      <c r="K1086" s="142"/>
      <c r="L1086" s="5"/>
      <c r="M1086" s="5"/>
      <c r="N1086" s="5"/>
      <c r="O1086" s="5"/>
    </row>
    <row r="1087" spans="1:15">
      <c r="A1087" s="23"/>
      <c r="B1087" s="24" t="s">
        <v>59</v>
      </c>
      <c r="C1087" s="25"/>
      <c r="D1087" s="25"/>
      <c r="E1087" s="25"/>
      <c r="F1087" s="25"/>
      <c r="G1087" s="25"/>
      <c r="H1087" s="25"/>
      <c r="I1087" s="26"/>
      <c r="J1087" s="165"/>
      <c r="K1087" s="142"/>
      <c r="L1087" s="5"/>
      <c r="M1087" s="5"/>
      <c r="N1087" s="5"/>
      <c r="O1087" s="5"/>
    </row>
    <row r="1088" spans="1:15">
      <c r="A1088" s="121" t="s">
        <v>103</v>
      </c>
      <c r="B1088" s="126" t="s">
        <v>153</v>
      </c>
      <c r="C1088" s="32">
        <f>+C1062</f>
        <v>29107</v>
      </c>
      <c r="D1088" s="31"/>
      <c r="E1088" s="32">
        <f>D1062</f>
        <v>1125000</v>
      </c>
      <c r="F1088" s="32"/>
      <c r="G1088" s="32"/>
      <c r="H1088" s="55">
        <f>+F1062</f>
        <v>145357</v>
      </c>
      <c r="I1088" s="32">
        <f>+E1062</f>
        <v>1008750</v>
      </c>
      <c r="J1088" s="30">
        <f>+SUM(C1088:G1088)-(H1088+I1088)</f>
        <v>0</v>
      </c>
      <c r="K1088" s="143" t="b">
        <f>J1088=I1062</f>
        <v>1</v>
      </c>
      <c r="L1088" s="5"/>
      <c r="M1088" s="5"/>
      <c r="N1088" s="5"/>
      <c r="O1088" s="5"/>
    </row>
    <row r="1089" spans="1:15">
      <c r="A1089" s="121" t="str">
        <f>A1088</f>
        <v>DECEMBRE</v>
      </c>
      <c r="B1089" s="126" t="s">
        <v>162</v>
      </c>
      <c r="C1089" s="32">
        <f>+C1063</f>
        <v>4000</v>
      </c>
      <c r="D1089" s="31"/>
      <c r="E1089" s="32">
        <f>+D1063</f>
        <v>426000</v>
      </c>
      <c r="F1089" s="32"/>
      <c r="G1089" s="32"/>
      <c r="H1089" s="55">
        <f>+F1063</f>
        <v>0</v>
      </c>
      <c r="I1089" s="32">
        <f>+E1063</f>
        <v>420500</v>
      </c>
      <c r="J1089" s="30">
        <f t="shared" ref="J1089:J1090" si="605">+SUM(C1089:G1089)-(H1089+I1089)</f>
        <v>9500</v>
      </c>
      <c r="K1089" s="143" t="b">
        <f>J1089=I1063</f>
        <v>1</v>
      </c>
      <c r="L1089" s="5"/>
      <c r="M1089" s="5"/>
      <c r="N1089" s="5"/>
      <c r="O1089" s="5"/>
    </row>
    <row r="1090" spans="1:15">
      <c r="A1090" s="121" t="str">
        <f>+A1089</f>
        <v>DECEMBRE</v>
      </c>
      <c r="B1090" s="126" t="s">
        <v>47</v>
      </c>
      <c r="C1090" s="32">
        <f>+C1067</f>
        <v>-3675</v>
      </c>
      <c r="D1090" s="31"/>
      <c r="E1090" s="32">
        <f>+D1067</f>
        <v>1778500</v>
      </c>
      <c r="F1090" s="32"/>
      <c r="G1090" s="32"/>
      <c r="H1090" s="55">
        <f>+F1067</f>
        <v>145000</v>
      </c>
      <c r="I1090" s="32">
        <f>+E1067</f>
        <v>1666925</v>
      </c>
      <c r="J1090" s="100">
        <f t="shared" si="605"/>
        <v>-37100</v>
      </c>
      <c r="K1090" s="143" t="b">
        <f>J1090=I1067</f>
        <v>1</v>
      </c>
      <c r="L1090" s="5"/>
      <c r="M1090" s="5"/>
      <c r="N1090" s="5"/>
      <c r="O1090" s="5"/>
    </row>
    <row r="1091" spans="1:15">
      <c r="A1091" s="121" t="str">
        <f t="shared" ref="A1091:A1099" si="606">+A1090</f>
        <v>DECEMBRE</v>
      </c>
      <c r="B1091" s="127" t="s">
        <v>31</v>
      </c>
      <c r="C1091" s="32">
        <f>+C1068</f>
        <v>7595</v>
      </c>
      <c r="D1091" s="118"/>
      <c r="E1091" s="32">
        <f>+D1068</f>
        <v>286000</v>
      </c>
      <c r="F1091" s="51"/>
      <c r="G1091" s="51"/>
      <c r="H1091" s="55">
        <f>+F1068</f>
        <v>0</v>
      </c>
      <c r="I1091" s="32">
        <f>+E1068</f>
        <v>284950</v>
      </c>
      <c r="J1091" s="123">
        <f>+SUM(C1091:G1091)-(H1091+I1091)</f>
        <v>8645</v>
      </c>
      <c r="K1091" s="143" t="b">
        <f t="shared" ref="K1091:K1099" si="607">J1091=I1068</f>
        <v>1</v>
      </c>
      <c r="L1091" s="5"/>
      <c r="M1091" s="5"/>
      <c r="N1091" s="5"/>
      <c r="O1091" s="5"/>
    </row>
    <row r="1092" spans="1:15">
      <c r="A1092" s="121" t="str">
        <f t="shared" si="606"/>
        <v>DECEMBRE</v>
      </c>
      <c r="B1092" s="128" t="s">
        <v>84</v>
      </c>
      <c r="C1092" s="119">
        <f>+C1069</f>
        <v>233614</v>
      </c>
      <c r="D1092" s="122"/>
      <c r="E1092" s="119">
        <f>+D1069</f>
        <v>0</v>
      </c>
      <c r="F1092" s="136"/>
      <c r="G1092" s="136"/>
      <c r="H1092" s="154">
        <f>+F1069</f>
        <v>0</v>
      </c>
      <c r="I1092" s="119">
        <f>+E1069</f>
        <v>0</v>
      </c>
      <c r="J1092" s="120">
        <f>+SUM(C1092:G1092)-(H1092+I1092)</f>
        <v>233614</v>
      </c>
      <c r="K1092" s="143" t="b">
        <f t="shared" si="607"/>
        <v>1</v>
      </c>
      <c r="L1092" s="5"/>
      <c r="M1092" s="5"/>
      <c r="N1092" s="5"/>
      <c r="O1092" s="5"/>
    </row>
    <row r="1093" spans="1:15">
      <c r="A1093" s="121" t="str">
        <f t="shared" si="606"/>
        <v>DECEMBRE</v>
      </c>
      <c r="B1093" s="128" t="s">
        <v>83</v>
      </c>
      <c r="C1093" s="119">
        <f>+C1070</f>
        <v>249769</v>
      </c>
      <c r="D1093" s="122"/>
      <c r="E1093" s="119">
        <f>+D1070</f>
        <v>0</v>
      </c>
      <c r="F1093" s="136"/>
      <c r="G1093" s="136"/>
      <c r="H1093" s="154">
        <f>+F1070</f>
        <v>0</v>
      </c>
      <c r="I1093" s="119">
        <f>+E1070</f>
        <v>0</v>
      </c>
      <c r="J1093" s="120">
        <f t="shared" ref="J1093:J1099" si="608">+SUM(C1093:G1093)-(H1093+I1093)</f>
        <v>249769</v>
      </c>
      <c r="K1093" s="143" t="b">
        <f t="shared" si="607"/>
        <v>1</v>
      </c>
      <c r="L1093" s="5"/>
      <c r="M1093" s="5"/>
      <c r="N1093" s="5"/>
      <c r="O1093" s="5"/>
    </row>
    <row r="1094" spans="1:15">
      <c r="A1094" s="121" t="str">
        <f t="shared" si="606"/>
        <v>DECEMBRE</v>
      </c>
      <c r="B1094" s="126" t="s">
        <v>144</v>
      </c>
      <c r="C1094" s="32">
        <f>+C1071</f>
        <v>-6000</v>
      </c>
      <c r="D1094" s="31"/>
      <c r="E1094" s="32">
        <f>+D1071</f>
        <v>797000</v>
      </c>
      <c r="F1094" s="32"/>
      <c r="G1094" s="103"/>
      <c r="H1094" s="55">
        <f>+F1071</f>
        <v>177180</v>
      </c>
      <c r="I1094" s="32">
        <f>+E1071</f>
        <v>578885</v>
      </c>
      <c r="J1094" s="30">
        <f t="shared" si="608"/>
        <v>34935</v>
      </c>
      <c r="K1094" s="143" t="b">
        <f t="shared" si="607"/>
        <v>1</v>
      </c>
      <c r="L1094" s="5"/>
      <c r="M1094" s="5"/>
      <c r="N1094" s="5"/>
      <c r="O1094" s="5"/>
    </row>
    <row r="1095" spans="1:15">
      <c r="A1095" s="121" t="str">
        <f t="shared" si="606"/>
        <v>DECEMBRE</v>
      </c>
      <c r="B1095" s="126" t="s">
        <v>143</v>
      </c>
      <c r="C1095" s="32">
        <f t="shared" ref="C1095:C1099" si="609">+C1072</f>
        <v>48400</v>
      </c>
      <c r="D1095" s="31"/>
      <c r="E1095" s="32">
        <f t="shared" ref="E1095:E1099" si="610">+D1072</f>
        <v>847000</v>
      </c>
      <c r="F1095" s="32"/>
      <c r="G1095" s="103"/>
      <c r="H1095" s="55">
        <f t="shared" ref="H1095:H1099" si="611">+F1072</f>
        <v>658000</v>
      </c>
      <c r="I1095" s="32">
        <f t="shared" ref="I1095:I1099" si="612">+E1072</f>
        <v>193200</v>
      </c>
      <c r="J1095" s="30">
        <f t="shared" si="608"/>
        <v>44200</v>
      </c>
      <c r="K1095" s="143" t="b">
        <f t="shared" si="607"/>
        <v>1</v>
      </c>
      <c r="L1095" s="5"/>
      <c r="M1095" s="5"/>
      <c r="N1095" s="5"/>
      <c r="O1095" s="5"/>
    </row>
    <row r="1096" spans="1:15">
      <c r="A1096" s="121" t="str">
        <f t="shared" si="606"/>
        <v>DECEMBRE</v>
      </c>
      <c r="B1096" s="126" t="s">
        <v>30</v>
      </c>
      <c r="C1096" s="32">
        <f t="shared" si="609"/>
        <v>6800</v>
      </c>
      <c r="D1096" s="31"/>
      <c r="E1096" s="32">
        <f t="shared" si="610"/>
        <v>861000</v>
      </c>
      <c r="F1096" s="32"/>
      <c r="G1096" s="103"/>
      <c r="H1096" s="55">
        <f t="shared" si="611"/>
        <v>0</v>
      </c>
      <c r="I1096" s="32">
        <f t="shared" si="612"/>
        <v>855750</v>
      </c>
      <c r="J1096" s="30">
        <f t="shared" si="608"/>
        <v>12050</v>
      </c>
      <c r="K1096" s="143" t="b">
        <f t="shared" si="607"/>
        <v>1</v>
      </c>
    </row>
    <row r="1097" spans="1:15">
      <c r="A1097" s="121" t="str">
        <f>+A1095</f>
        <v>DECEMBRE</v>
      </c>
      <c r="B1097" s="126" t="s">
        <v>93</v>
      </c>
      <c r="C1097" s="32">
        <f t="shared" si="609"/>
        <v>5500</v>
      </c>
      <c r="D1097" s="31"/>
      <c r="E1097" s="32">
        <f t="shared" si="610"/>
        <v>0</v>
      </c>
      <c r="F1097" s="32"/>
      <c r="G1097" s="103"/>
      <c r="H1097" s="55">
        <f t="shared" si="611"/>
        <v>0</v>
      </c>
      <c r="I1097" s="32">
        <f t="shared" si="612"/>
        <v>0</v>
      </c>
      <c r="J1097" s="30">
        <f t="shared" si="608"/>
        <v>5500</v>
      </c>
      <c r="K1097" s="143" t="b">
        <f t="shared" si="607"/>
        <v>1</v>
      </c>
    </row>
    <row r="1098" spans="1:15">
      <c r="A1098" s="121" t="str">
        <f>+A1096</f>
        <v>DECEMBRE</v>
      </c>
      <c r="B1098" s="126" t="s">
        <v>29</v>
      </c>
      <c r="C1098" s="32">
        <f t="shared" si="609"/>
        <v>30700</v>
      </c>
      <c r="D1098" s="31"/>
      <c r="E1098" s="32">
        <f t="shared" si="610"/>
        <v>1215000</v>
      </c>
      <c r="F1098" s="32"/>
      <c r="G1098" s="103"/>
      <c r="H1098" s="55">
        <f t="shared" si="611"/>
        <v>490000</v>
      </c>
      <c r="I1098" s="32">
        <f t="shared" si="612"/>
        <v>697500</v>
      </c>
      <c r="J1098" s="30">
        <f t="shared" si="608"/>
        <v>58200</v>
      </c>
      <c r="K1098" s="143" t="b">
        <f t="shared" si="607"/>
        <v>1</v>
      </c>
    </row>
    <row r="1099" spans="1:15">
      <c r="A1099" s="121" t="str">
        <f t="shared" si="606"/>
        <v>DECEMBRE</v>
      </c>
      <c r="B1099" s="127" t="s">
        <v>113</v>
      </c>
      <c r="C1099" s="32">
        <f t="shared" si="609"/>
        <v>9193</v>
      </c>
      <c r="D1099" s="118"/>
      <c r="E1099" s="32">
        <f t="shared" si="610"/>
        <v>1100180</v>
      </c>
      <c r="F1099" s="51"/>
      <c r="G1099" s="137"/>
      <c r="H1099" s="55">
        <f t="shared" si="611"/>
        <v>650000</v>
      </c>
      <c r="I1099" s="32">
        <f t="shared" si="612"/>
        <v>195700</v>
      </c>
      <c r="J1099" s="30">
        <f t="shared" si="608"/>
        <v>263673</v>
      </c>
      <c r="K1099" s="143" t="b">
        <f t="shared" si="607"/>
        <v>1</v>
      </c>
    </row>
    <row r="1100" spans="1:15">
      <c r="A1100" s="34" t="s">
        <v>60</v>
      </c>
      <c r="B1100" s="35"/>
      <c r="C1100" s="35"/>
      <c r="D1100" s="35"/>
      <c r="E1100" s="35"/>
      <c r="F1100" s="35"/>
      <c r="G1100" s="35"/>
      <c r="H1100" s="35"/>
      <c r="I1100" s="35"/>
      <c r="J1100" s="36"/>
      <c r="K1100" s="142"/>
    </row>
    <row r="1101" spans="1:15">
      <c r="A1101" s="121" t="str">
        <f>+A1099</f>
        <v>DECEMBRE</v>
      </c>
      <c r="B1101" s="37" t="s">
        <v>61</v>
      </c>
      <c r="C1101" s="38">
        <f>+C1066</f>
        <v>926369</v>
      </c>
      <c r="D1101" s="49"/>
      <c r="E1101" s="49">
        <f>D1066</f>
        <v>10580357</v>
      </c>
      <c r="F1101" s="49"/>
      <c r="G1101" s="124"/>
      <c r="H1101" s="51">
        <f>+F1066</f>
        <v>6750500</v>
      </c>
      <c r="I1101" s="125">
        <f>+E1066</f>
        <v>3713706</v>
      </c>
      <c r="J1101" s="30">
        <f>+SUM(C1101:G1101)-(H1101+I1101)</f>
        <v>1042520</v>
      </c>
      <c r="K1101" s="143" t="b">
        <f>J1101=I1066</f>
        <v>1</v>
      </c>
    </row>
    <row r="1102" spans="1:15">
      <c r="A1102" s="43" t="s">
        <v>62</v>
      </c>
      <c r="B1102" s="24"/>
      <c r="C1102" s="35"/>
      <c r="D1102" s="24"/>
      <c r="E1102" s="24"/>
      <c r="F1102" s="24"/>
      <c r="G1102" s="24"/>
      <c r="H1102" s="24"/>
      <c r="I1102" s="24"/>
      <c r="J1102" s="36"/>
      <c r="K1102" s="142"/>
    </row>
    <row r="1103" spans="1:15">
      <c r="A1103" s="121" t="str">
        <f>+A1101</f>
        <v>DECEMBRE</v>
      </c>
      <c r="B1103" s="37" t="s">
        <v>156</v>
      </c>
      <c r="C1103" s="124">
        <f>+C1064</f>
        <v>5738718</v>
      </c>
      <c r="D1103" s="131">
        <f>+G1064</f>
        <v>0</v>
      </c>
      <c r="E1103" s="49"/>
      <c r="F1103" s="49"/>
      <c r="G1103" s="49"/>
      <c r="H1103" s="51">
        <f>+F1064</f>
        <v>2000000</v>
      </c>
      <c r="I1103" s="53">
        <f>+E1064</f>
        <v>283345</v>
      </c>
      <c r="J1103" s="30">
        <f>+SUM(C1103:G1103)-(H1103+I1103)</f>
        <v>3455373</v>
      </c>
      <c r="K1103" s="143" t="b">
        <f>+J1103=I1064</f>
        <v>1</v>
      </c>
    </row>
    <row r="1104" spans="1:15">
      <c r="A1104" s="121" t="str">
        <f t="shared" ref="A1104" si="613">+A1103</f>
        <v>DECEMBRE</v>
      </c>
      <c r="B1104" s="37" t="s">
        <v>64</v>
      </c>
      <c r="C1104" s="124">
        <f>+C1065</f>
        <v>16087207</v>
      </c>
      <c r="D1104" s="49">
        <f>+G1065</f>
        <v>0</v>
      </c>
      <c r="E1104" s="48"/>
      <c r="F1104" s="48"/>
      <c r="G1104" s="48"/>
      <c r="H1104" s="32">
        <f>+F1065</f>
        <v>8000000</v>
      </c>
      <c r="I1104" s="50">
        <f>+E1065</f>
        <v>3245592</v>
      </c>
      <c r="J1104" s="30">
        <f>SUM(C1104:G1104)-(H1104+I1104)</f>
        <v>4841615</v>
      </c>
      <c r="K1104" s="143" t="b">
        <f>+J1104=I1065</f>
        <v>1</v>
      </c>
    </row>
    <row r="1105" spans="1:16" ht="15.75">
      <c r="C1105" s="140">
        <f>SUM(C1089:C1104)</f>
        <v>23338190</v>
      </c>
      <c r="I1105" s="139">
        <f>SUM(I1089:I1104)</f>
        <v>12136053</v>
      </c>
      <c r="J1105" s="104">
        <f>+SUM(J1088:J1104)</f>
        <v>10222494</v>
      </c>
      <c r="K1105" s="5" t="b">
        <f>J1105=I1077</f>
        <v>1</v>
      </c>
    </row>
    <row r="1106" spans="1:16">
      <c r="G1106" s="9"/>
    </row>
    <row r="1107" spans="1:16">
      <c r="A1107" s="157"/>
      <c r="B1107" s="157"/>
      <c r="C1107" s="157"/>
      <c r="D1107" s="157"/>
      <c r="E1107" s="157"/>
      <c r="F1107" s="157"/>
      <c r="G1107" s="157"/>
      <c r="H1107" s="157"/>
      <c r="I1107" s="157"/>
      <c r="J1107" s="157"/>
      <c r="K1107" s="157"/>
      <c r="L1107" s="161"/>
      <c r="M1107" s="161"/>
      <c r="N1107" s="161"/>
      <c r="O1107" s="161"/>
      <c r="P1107" s="157"/>
    </row>
    <row r="1108" spans="1:16">
      <c r="A1108" s="4">
        <v>44530</v>
      </c>
    </row>
    <row r="1109" spans="1:16" ht="15.75">
      <c r="A1109" s="6" t="s">
        <v>36</v>
      </c>
      <c r="B1109" s="6" t="s">
        <v>1</v>
      </c>
      <c r="C1109" s="6">
        <v>44501</v>
      </c>
      <c r="D1109" s="7" t="s">
        <v>37</v>
      </c>
      <c r="E1109" s="7" t="s">
        <v>38</v>
      </c>
      <c r="F1109" s="7" t="s">
        <v>39</v>
      </c>
      <c r="G1109" s="7" t="s">
        <v>40</v>
      </c>
      <c r="H1109" s="6">
        <v>44530</v>
      </c>
      <c r="I1109" s="7" t="s">
        <v>41</v>
      </c>
      <c r="K1109" s="45"/>
      <c r="L1109" s="45" t="s">
        <v>42</v>
      </c>
      <c r="M1109" s="45" t="s">
        <v>43</v>
      </c>
      <c r="N1109" s="45" t="s">
        <v>44</v>
      </c>
      <c r="O1109" s="45" t="s">
        <v>45</v>
      </c>
    </row>
    <row r="1110" spans="1:16" ht="16.5">
      <c r="A1110" s="58" t="str">
        <f>+K1110</f>
        <v>Axel</v>
      </c>
      <c r="B1110" s="156" t="s">
        <v>154</v>
      </c>
      <c r="C1110" s="60">
        <v>6757</v>
      </c>
      <c r="D1110" s="61">
        <f t="shared" ref="D1110:D1123" si="614">+L1110</f>
        <v>337000</v>
      </c>
      <c r="E1110" s="61">
        <f>+N1110</f>
        <v>314650</v>
      </c>
      <c r="F1110" s="61">
        <f>+M1110</f>
        <v>0</v>
      </c>
      <c r="G1110" s="61">
        <f t="shared" ref="G1110:G1112" si="615">+O1110</f>
        <v>0</v>
      </c>
      <c r="H1110" s="61">
        <v>29107</v>
      </c>
      <c r="I1110" s="61">
        <f>+C1110+D1110-E1110-F1110+G1110</f>
        <v>29107</v>
      </c>
      <c r="J1110" s="9">
        <f>I1110-H1110</f>
        <v>0</v>
      </c>
      <c r="K1110" s="155" t="s">
        <v>153</v>
      </c>
      <c r="L1110" s="155">
        <v>337000</v>
      </c>
      <c r="M1110" s="155">
        <v>0</v>
      </c>
      <c r="N1110" s="155">
        <v>314650</v>
      </c>
      <c r="O1110" s="155">
        <v>0</v>
      </c>
    </row>
    <row r="1111" spans="1:16" ht="16.5">
      <c r="A1111" s="58" t="str">
        <f>+K1111</f>
        <v>B52</v>
      </c>
      <c r="B1111" s="59" t="s">
        <v>4</v>
      </c>
      <c r="C1111" s="60">
        <v>0</v>
      </c>
      <c r="D1111" s="61">
        <f t="shared" si="614"/>
        <v>118000</v>
      </c>
      <c r="E1111" s="61">
        <f>+N1111</f>
        <v>114000</v>
      </c>
      <c r="F1111" s="61">
        <f>+M1111</f>
        <v>0</v>
      </c>
      <c r="G1111" s="61">
        <f t="shared" si="615"/>
        <v>0</v>
      </c>
      <c r="H1111" s="61">
        <v>4000</v>
      </c>
      <c r="I1111" s="61">
        <f>+C1111+D1111-E1111-F1111+G1111</f>
        <v>4000</v>
      </c>
      <c r="J1111" s="9">
        <f>I1111-H1111</f>
        <v>0</v>
      </c>
      <c r="K1111" s="45" t="s">
        <v>162</v>
      </c>
      <c r="L1111" s="47">
        <v>118000</v>
      </c>
      <c r="M1111" s="47">
        <v>0</v>
      </c>
      <c r="N1111" s="47">
        <v>114000</v>
      </c>
      <c r="O1111" s="47">
        <v>0</v>
      </c>
    </row>
    <row r="1112" spans="1:16" ht="16.5">
      <c r="A1112" s="58" t="str">
        <f>+K1112</f>
        <v>BCI</v>
      </c>
      <c r="B1112" s="59" t="s">
        <v>46</v>
      </c>
      <c r="C1112" s="60">
        <v>6762063</v>
      </c>
      <c r="D1112" s="61">
        <f t="shared" si="614"/>
        <v>0</v>
      </c>
      <c r="E1112" s="61">
        <f>+N1112</f>
        <v>23345</v>
      </c>
      <c r="F1112" s="61">
        <f>+M1112</f>
        <v>1000000</v>
      </c>
      <c r="G1112" s="61">
        <f t="shared" si="615"/>
        <v>0</v>
      </c>
      <c r="H1112" s="61">
        <v>5738718</v>
      </c>
      <c r="I1112" s="61">
        <f>+C1112+D1112-E1112-F1112+G1112</f>
        <v>5738718</v>
      </c>
      <c r="J1112" s="9">
        <f t="shared" ref="J1112:J1119" si="616">I1112-H1112</f>
        <v>0</v>
      </c>
      <c r="K1112" s="45" t="s">
        <v>24</v>
      </c>
      <c r="L1112" s="47">
        <v>0</v>
      </c>
      <c r="M1112" s="47">
        <v>1000000</v>
      </c>
      <c r="N1112" s="47">
        <v>23345</v>
      </c>
      <c r="O1112" s="47">
        <v>0</v>
      </c>
    </row>
    <row r="1113" spans="1:16" ht="16.5">
      <c r="A1113" s="58" t="str">
        <f t="shared" ref="A1113:A1115" si="617">+K1113</f>
        <v>BCI-Sous Compte</v>
      </c>
      <c r="B1113" s="59" t="s">
        <v>46</v>
      </c>
      <c r="C1113" s="60">
        <v>23107840</v>
      </c>
      <c r="D1113" s="61">
        <f t="shared" si="614"/>
        <v>0</v>
      </c>
      <c r="E1113" s="61">
        <f>+N1113</f>
        <v>4020633</v>
      </c>
      <c r="F1113" s="61">
        <f>+M1113</f>
        <v>3000000</v>
      </c>
      <c r="G1113" s="61">
        <f t="shared" ref="G1113:G1124" si="618">+O1113</f>
        <v>0</v>
      </c>
      <c r="H1113" s="61">
        <v>16087207</v>
      </c>
      <c r="I1113" s="61">
        <f>+C1113+D1113-E1113-F1113+G1113</f>
        <v>16087207</v>
      </c>
      <c r="J1113" s="101">
        <f t="shared" si="616"/>
        <v>0</v>
      </c>
      <c r="K1113" s="45" t="s">
        <v>148</v>
      </c>
      <c r="L1113" s="47">
        <v>0</v>
      </c>
      <c r="M1113" s="47">
        <v>3000000</v>
      </c>
      <c r="N1113" s="47">
        <v>4020633</v>
      </c>
      <c r="O1113" s="47">
        <v>0</v>
      </c>
    </row>
    <row r="1114" spans="1:16" ht="16.5">
      <c r="A1114" s="58" t="str">
        <f t="shared" si="617"/>
        <v>Caisse</v>
      </c>
      <c r="B1114" s="59" t="s">
        <v>25</v>
      </c>
      <c r="C1114" s="60">
        <v>1685107</v>
      </c>
      <c r="D1114" s="61">
        <f t="shared" si="614"/>
        <v>4090000</v>
      </c>
      <c r="E1114" s="61">
        <f t="shared" ref="E1114" si="619">+N1114</f>
        <v>2854238</v>
      </c>
      <c r="F1114" s="61">
        <f t="shared" ref="F1114:F1121" si="620">+M1114</f>
        <v>1994500</v>
      </c>
      <c r="G1114" s="61">
        <f t="shared" si="618"/>
        <v>0</v>
      </c>
      <c r="H1114" s="61">
        <v>926369</v>
      </c>
      <c r="I1114" s="61">
        <f>+C1114+D1114-E1114-F1114+G1114</f>
        <v>926369</v>
      </c>
      <c r="J1114" s="9">
        <f t="shared" si="616"/>
        <v>0</v>
      </c>
      <c r="K1114" s="45" t="s">
        <v>25</v>
      </c>
      <c r="L1114" s="47">
        <v>4090000</v>
      </c>
      <c r="M1114" s="47">
        <v>1994500</v>
      </c>
      <c r="N1114" s="47">
        <v>2854238</v>
      </c>
      <c r="O1114" s="47">
        <v>0</v>
      </c>
    </row>
    <row r="1115" spans="1:16" ht="16.5">
      <c r="A1115" s="58" t="str">
        <f t="shared" si="617"/>
        <v>Crépin</v>
      </c>
      <c r="B1115" s="59" t="s">
        <v>154</v>
      </c>
      <c r="C1115" s="60">
        <v>7200</v>
      </c>
      <c r="D1115" s="61">
        <f t="shared" si="614"/>
        <v>286000</v>
      </c>
      <c r="E1115" s="61">
        <f>+N1115</f>
        <v>226875</v>
      </c>
      <c r="F1115" s="61">
        <f t="shared" si="620"/>
        <v>70000</v>
      </c>
      <c r="G1115" s="61">
        <f t="shared" si="618"/>
        <v>0</v>
      </c>
      <c r="H1115" s="61">
        <v>-3675</v>
      </c>
      <c r="I1115" s="61">
        <f t="shared" ref="I1115" si="621">+C1115+D1115-E1115-F1115+G1115</f>
        <v>-3675</v>
      </c>
      <c r="J1115" s="9">
        <f t="shared" si="616"/>
        <v>0</v>
      </c>
      <c r="K1115" s="45" t="s">
        <v>47</v>
      </c>
      <c r="L1115" s="47">
        <v>286000</v>
      </c>
      <c r="M1115" s="47">
        <v>70000</v>
      </c>
      <c r="N1115" s="47">
        <v>226875</v>
      </c>
      <c r="O1115" s="47">
        <v>0</v>
      </c>
    </row>
    <row r="1116" spans="1:16" ht="16.5">
      <c r="A1116" s="58" t="str">
        <f>K1116</f>
        <v>Evariste</v>
      </c>
      <c r="B1116" s="59" t="s">
        <v>155</v>
      </c>
      <c r="C1116" s="60">
        <v>10095</v>
      </c>
      <c r="D1116" s="61">
        <f t="shared" si="614"/>
        <v>70500</v>
      </c>
      <c r="E1116" s="61">
        <f t="shared" ref="E1116" si="622">+N1116</f>
        <v>73000</v>
      </c>
      <c r="F1116" s="61">
        <f t="shared" si="620"/>
        <v>0</v>
      </c>
      <c r="G1116" s="61">
        <f t="shared" si="618"/>
        <v>0</v>
      </c>
      <c r="H1116" s="61">
        <v>7595</v>
      </c>
      <c r="I1116" s="61">
        <f>+C1116+D1116-E1116-F1116+G1116</f>
        <v>7595</v>
      </c>
      <c r="J1116" s="9">
        <f t="shared" si="616"/>
        <v>0</v>
      </c>
      <c r="K1116" s="45" t="s">
        <v>31</v>
      </c>
      <c r="L1116" s="47">
        <v>70500</v>
      </c>
      <c r="M1116" s="47">
        <v>0</v>
      </c>
      <c r="N1116" s="47">
        <v>73000</v>
      </c>
      <c r="O1116" s="47">
        <v>0</v>
      </c>
    </row>
    <row r="1117" spans="1:16" ht="16.5">
      <c r="A1117" s="114" t="str">
        <f t="shared" ref="A1117:A1124" si="623">+K1117</f>
        <v>I55S</v>
      </c>
      <c r="B1117" s="115" t="s">
        <v>4</v>
      </c>
      <c r="C1117" s="116">
        <v>233614</v>
      </c>
      <c r="D1117" s="117">
        <f t="shared" si="614"/>
        <v>0</v>
      </c>
      <c r="E1117" s="117">
        <f>+N1117</f>
        <v>0</v>
      </c>
      <c r="F1117" s="117">
        <f t="shared" si="620"/>
        <v>0</v>
      </c>
      <c r="G1117" s="117">
        <f t="shared" si="618"/>
        <v>0</v>
      </c>
      <c r="H1117" s="117">
        <v>233614</v>
      </c>
      <c r="I1117" s="117">
        <f>+C1117+D1117-E1117-F1117+G1117</f>
        <v>233614</v>
      </c>
      <c r="J1117" s="9">
        <f t="shared" si="616"/>
        <v>0</v>
      </c>
      <c r="K1117" s="45" t="s">
        <v>84</v>
      </c>
      <c r="L1117" s="47">
        <v>0</v>
      </c>
      <c r="M1117" s="47">
        <v>0</v>
      </c>
      <c r="N1117" s="47">
        <v>0</v>
      </c>
      <c r="O1117" s="47">
        <v>0</v>
      </c>
    </row>
    <row r="1118" spans="1:16" ht="16.5">
      <c r="A1118" s="114" t="str">
        <f t="shared" si="623"/>
        <v>I73X</v>
      </c>
      <c r="B1118" s="115" t="s">
        <v>4</v>
      </c>
      <c r="C1118" s="116">
        <v>249769</v>
      </c>
      <c r="D1118" s="117">
        <f t="shared" si="614"/>
        <v>0</v>
      </c>
      <c r="E1118" s="117">
        <f>+N1118</f>
        <v>0</v>
      </c>
      <c r="F1118" s="117">
        <f t="shared" si="620"/>
        <v>0</v>
      </c>
      <c r="G1118" s="117">
        <f t="shared" si="618"/>
        <v>0</v>
      </c>
      <c r="H1118" s="117">
        <v>249769</v>
      </c>
      <c r="I1118" s="117">
        <f t="shared" ref="I1118:I1121" si="624">+C1118+D1118-E1118-F1118+G1118</f>
        <v>249769</v>
      </c>
      <c r="J1118" s="9">
        <f t="shared" si="616"/>
        <v>0</v>
      </c>
      <c r="K1118" s="45" t="s">
        <v>83</v>
      </c>
      <c r="L1118" s="47">
        <v>0</v>
      </c>
      <c r="M1118" s="47">
        <v>0</v>
      </c>
      <c r="N1118" s="47">
        <v>0</v>
      </c>
      <c r="O1118" s="47">
        <v>0</v>
      </c>
    </row>
    <row r="1119" spans="1:16" ht="16.5">
      <c r="A1119" s="58" t="str">
        <f t="shared" si="623"/>
        <v>Godfré</v>
      </c>
      <c r="B1119" s="97" t="s">
        <v>154</v>
      </c>
      <c r="C1119" s="60">
        <v>3550</v>
      </c>
      <c r="D1119" s="61">
        <f t="shared" si="614"/>
        <v>43000</v>
      </c>
      <c r="E1119" s="153">
        <f t="shared" ref="E1119:E1124" si="625">+N1119</f>
        <v>52550</v>
      </c>
      <c r="F1119" s="61">
        <f t="shared" si="620"/>
        <v>0</v>
      </c>
      <c r="G1119" s="61">
        <f t="shared" si="618"/>
        <v>0</v>
      </c>
      <c r="H1119" s="61">
        <v>-6000</v>
      </c>
      <c r="I1119" s="61">
        <f t="shared" si="624"/>
        <v>-6000</v>
      </c>
      <c r="J1119" s="9">
        <f t="shared" si="616"/>
        <v>0</v>
      </c>
      <c r="K1119" s="45" t="s">
        <v>144</v>
      </c>
      <c r="L1119" s="47">
        <v>43000</v>
      </c>
      <c r="M1119" s="47">
        <v>0</v>
      </c>
      <c r="N1119" s="47">
        <v>52550</v>
      </c>
      <c r="O1119" s="47">
        <v>0</v>
      </c>
    </row>
    <row r="1120" spans="1:16" ht="16.5">
      <c r="A1120" s="58" t="str">
        <f t="shared" si="623"/>
        <v>Grace</v>
      </c>
      <c r="B1120" s="59" t="s">
        <v>2</v>
      </c>
      <c r="C1120" s="60">
        <v>61300</v>
      </c>
      <c r="D1120" s="61">
        <f t="shared" si="614"/>
        <v>53000</v>
      </c>
      <c r="E1120" s="153">
        <f t="shared" si="625"/>
        <v>45900</v>
      </c>
      <c r="F1120" s="61">
        <f t="shared" si="620"/>
        <v>20000</v>
      </c>
      <c r="G1120" s="61">
        <f t="shared" si="618"/>
        <v>0</v>
      </c>
      <c r="H1120" s="61">
        <v>48400</v>
      </c>
      <c r="I1120" s="61">
        <f t="shared" si="624"/>
        <v>48400</v>
      </c>
      <c r="J1120" s="9">
        <f>I1120-H1120</f>
        <v>0</v>
      </c>
      <c r="K1120" s="45" t="s">
        <v>143</v>
      </c>
      <c r="L1120" s="47">
        <v>53000</v>
      </c>
      <c r="M1120" s="47">
        <v>20000</v>
      </c>
      <c r="N1120" s="47">
        <v>45900</v>
      </c>
      <c r="O1120" s="47">
        <v>0</v>
      </c>
    </row>
    <row r="1121" spans="1:15" ht="16.5">
      <c r="A1121" s="58" t="str">
        <f t="shared" si="623"/>
        <v>I23C</v>
      </c>
      <c r="B1121" s="97" t="s">
        <v>4</v>
      </c>
      <c r="C1121" s="60">
        <v>10800</v>
      </c>
      <c r="D1121" s="61">
        <f t="shared" si="614"/>
        <v>488000</v>
      </c>
      <c r="E1121" s="153">
        <f t="shared" si="625"/>
        <v>492000</v>
      </c>
      <c r="F1121" s="61">
        <f t="shared" si="620"/>
        <v>0</v>
      </c>
      <c r="G1121" s="61">
        <f t="shared" si="618"/>
        <v>0</v>
      </c>
      <c r="H1121" s="61">
        <v>6800</v>
      </c>
      <c r="I1121" s="61">
        <f t="shared" si="624"/>
        <v>6800</v>
      </c>
      <c r="J1121" s="9">
        <f t="shared" ref="J1121" si="626">I1121-H1121</f>
        <v>0</v>
      </c>
      <c r="K1121" s="45" t="s">
        <v>30</v>
      </c>
      <c r="L1121" s="47">
        <v>488000</v>
      </c>
      <c r="M1121" s="47">
        <v>0</v>
      </c>
      <c r="N1121" s="47">
        <v>492000</v>
      </c>
      <c r="O1121" s="47">
        <v>0</v>
      </c>
    </row>
    <row r="1122" spans="1:15" ht="16.5">
      <c r="A1122" s="58" t="str">
        <f t="shared" si="623"/>
        <v>Merveille</v>
      </c>
      <c r="B1122" s="59" t="s">
        <v>2</v>
      </c>
      <c r="C1122" s="60">
        <v>9500</v>
      </c>
      <c r="D1122" s="61">
        <f t="shared" si="614"/>
        <v>20000</v>
      </c>
      <c r="E1122" s="153">
        <f t="shared" si="625"/>
        <v>24000</v>
      </c>
      <c r="F1122" s="61">
        <f t="shared" ref="F1122" si="627">+M1122</f>
        <v>0</v>
      </c>
      <c r="G1122" s="61">
        <f t="shared" ref="G1122" si="628">+O1122</f>
        <v>0</v>
      </c>
      <c r="H1122" s="61">
        <v>5500</v>
      </c>
      <c r="I1122" s="61">
        <f t="shared" ref="I1122" si="629">+C1122+D1122-E1122-F1122+G1122</f>
        <v>5500</v>
      </c>
      <c r="J1122" s="9">
        <f t="shared" ref="J1122" si="630">I1122-H1122</f>
        <v>0</v>
      </c>
      <c r="K1122" s="45" t="s">
        <v>93</v>
      </c>
      <c r="L1122" s="47">
        <v>20000</v>
      </c>
      <c r="M1122" s="47">
        <v>0</v>
      </c>
      <c r="N1122" s="47">
        <v>24000</v>
      </c>
      <c r="O1122" s="47"/>
    </row>
    <row r="1123" spans="1:15" ht="16.5">
      <c r="A1123" s="58" t="str">
        <f t="shared" si="623"/>
        <v>P29</v>
      </c>
      <c r="B1123" s="59" t="s">
        <v>4</v>
      </c>
      <c r="C1123" s="60">
        <v>21200</v>
      </c>
      <c r="D1123" s="61">
        <f t="shared" si="614"/>
        <v>543000</v>
      </c>
      <c r="E1123" s="153">
        <f t="shared" si="625"/>
        <v>533500</v>
      </c>
      <c r="F1123" s="61">
        <f>+M1123</f>
        <v>0</v>
      </c>
      <c r="G1123" s="61">
        <f>+O1123</f>
        <v>0</v>
      </c>
      <c r="H1123" s="61">
        <v>30700</v>
      </c>
      <c r="I1123" s="61">
        <f>+C1123+D1123-E1123-F1123+G1123</f>
        <v>30700</v>
      </c>
      <c r="J1123" s="9">
        <f>I1123-H1123</f>
        <v>0</v>
      </c>
      <c r="K1123" s="45" t="s">
        <v>29</v>
      </c>
      <c r="L1123" s="47">
        <v>543000</v>
      </c>
      <c r="M1123" s="47">
        <v>0</v>
      </c>
      <c r="N1123" s="47">
        <v>533500</v>
      </c>
      <c r="O1123" s="47">
        <v>0</v>
      </c>
    </row>
    <row r="1124" spans="1:15" ht="16.5">
      <c r="A1124" s="58" t="str">
        <f t="shared" si="623"/>
        <v>Tiffany</v>
      </c>
      <c r="B1124" s="59" t="s">
        <v>2</v>
      </c>
      <c r="C1124" s="60">
        <v>26193</v>
      </c>
      <c r="D1124" s="61">
        <f t="shared" ref="D1124" si="631">+L1124</f>
        <v>36000</v>
      </c>
      <c r="E1124" s="153">
        <f t="shared" si="625"/>
        <v>53000</v>
      </c>
      <c r="F1124" s="61">
        <f t="shared" ref="F1124" si="632">+M1124</f>
        <v>0</v>
      </c>
      <c r="G1124" s="61">
        <f t="shared" si="618"/>
        <v>0</v>
      </c>
      <c r="H1124" s="61">
        <v>9193</v>
      </c>
      <c r="I1124" s="61">
        <f t="shared" ref="I1124" si="633">+C1124+D1124-E1124-F1124+G1124</f>
        <v>9193</v>
      </c>
      <c r="J1124" s="9">
        <f t="shared" ref="J1124" si="634">I1124-H1124</f>
        <v>0</v>
      </c>
      <c r="K1124" s="45" t="s">
        <v>113</v>
      </c>
      <c r="L1124" s="47">
        <v>36000</v>
      </c>
      <c r="M1124" s="47">
        <v>0</v>
      </c>
      <c r="N1124" s="47">
        <v>53000</v>
      </c>
      <c r="O1124" s="47">
        <v>0</v>
      </c>
    </row>
    <row r="1125" spans="1:15" ht="16.5">
      <c r="A1125" s="10" t="s">
        <v>50</v>
      </c>
      <c r="B1125" s="11"/>
      <c r="C1125" s="12">
        <f>SUM(C1110:C1124)</f>
        <v>32194988</v>
      </c>
      <c r="D1125" s="57">
        <f t="shared" ref="D1125:G1125" si="635">SUM(D1110:D1124)</f>
        <v>6084500</v>
      </c>
      <c r="E1125" s="57">
        <f t="shared" si="635"/>
        <v>8827691</v>
      </c>
      <c r="F1125" s="57">
        <f t="shared" si="635"/>
        <v>6084500</v>
      </c>
      <c r="G1125" s="57">
        <f t="shared" si="635"/>
        <v>0</v>
      </c>
      <c r="H1125" s="57">
        <f>SUM(H1110:H1124)</f>
        <v>23367297</v>
      </c>
      <c r="I1125" s="57">
        <f>SUM(I1110:I1124)</f>
        <v>23367297</v>
      </c>
      <c r="J1125" s="9">
        <f>I1125-H1125</f>
        <v>0</v>
      </c>
      <c r="K1125" s="3"/>
      <c r="L1125" s="47">
        <v>6084500</v>
      </c>
      <c r="M1125" s="47">
        <v>6084500</v>
      </c>
      <c r="N1125" s="47">
        <v>8828291</v>
      </c>
      <c r="O1125" s="47">
        <v>0</v>
      </c>
    </row>
    <row r="1126" spans="1:15" ht="16.5">
      <c r="A1126" s="10"/>
      <c r="B1126" s="11"/>
      <c r="C1126" s="12"/>
      <c r="D1126" s="13"/>
      <c r="E1126" s="12"/>
      <c r="F1126" s="13"/>
      <c r="G1126" s="12"/>
      <c r="H1126" s="12"/>
      <c r="I1126" s="133" t="b">
        <f>I1125=D1128</f>
        <v>1</v>
      </c>
      <c r="L1126" s="5"/>
      <c r="M1126" s="5"/>
      <c r="N1126" s="5"/>
      <c r="O1126" s="5"/>
    </row>
    <row r="1127" spans="1:15" ht="16.5">
      <c r="A1127" s="10" t="s">
        <v>158</v>
      </c>
      <c r="B1127" s="11" t="s">
        <v>160</v>
      </c>
      <c r="C1127" s="12" t="s">
        <v>163</v>
      </c>
      <c r="D1127" s="12" t="s">
        <v>157</v>
      </c>
      <c r="E1127" s="12" t="s">
        <v>51</v>
      </c>
      <c r="F1127" s="12"/>
      <c r="G1127" s="12">
        <f>+D1125-F1125</f>
        <v>0</v>
      </c>
      <c r="H1127" s="12"/>
      <c r="I1127" s="12"/>
    </row>
    <row r="1128" spans="1:15" ht="16.5">
      <c r="A1128" s="14">
        <f>C1125</f>
        <v>32194988</v>
      </c>
      <c r="B1128" s="15">
        <f>G1125</f>
        <v>0</v>
      </c>
      <c r="C1128" s="12">
        <f>E1125</f>
        <v>8827691</v>
      </c>
      <c r="D1128" s="12">
        <f>A1128+B1128-C1128</f>
        <v>23367297</v>
      </c>
      <c r="E1128" s="13">
        <f>I1125-D1128</f>
        <v>0</v>
      </c>
      <c r="F1128" s="12"/>
      <c r="G1128" s="12"/>
      <c r="H1128" s="12"/>
      <c r="I1128" s="12"/>
      <c r="L1128" s="5"/>
      <c r="M1128" s="5"/>
      <c r="N1128" s="5"/>
      <c r="O1128" s="5"/>
    </row>
    <row r="1129" spans="1:15" ht="16.5">
      <c r="A1129" s="14"/>
      <c r="B1129" s="15"/>
      <c r="C1129" s="12"/>
      <c r="D1129" s="12"/>
      <c r="E1129" s="13"/>
      <c r="F1129" s="12"/>
      <c r="G1129" s="12"/>
      <c r="H1129" s="12"/>
      <c r="I1129" s="12"/>
      <c r="L1129" s="5"/>
      <c r="M1129" s="5"/>
      <c r="N1129" s="5"/>
      <c r="O1129" s="5"/>
    </row>
    <row r="1130" spans="1:15">
      <c r="A1130" s="16" t="s">
        <v>52</v>
      </c>
      <c r="B1130" s="16"/>
      <c r="C1130" s="16"/>
      <c r="D1130" s="17"/>
      <c r="E1130" s="17"/>
      <c r="F1130" s="17"/>
      <c r="G1130" s="17"/>
      <c r="H1130" s="17"/>
      <c r="I1130" s="17"/>
      <c r="L1130" s="5"/>
      <c r="M1130" s="5"/>
      <c r="N1130" s="5"/>
      <c r="O1130" s="5"/>
    </row>
    <row r="1131" spans="1:15">
      <c r="A1131" s="18" t="s">
        <v>159</v>
      </c>
      <c r="B1131" s="18"/>
      <c r="C1131" s="18"/>
      <c r="D1131" s="18"/>
      <c r="E1131" s="18"/>
      <c r="F1131" s="18"/>
      <c r="G1131" s="18"/>
      <c r="H1131" s="18"/>
      <c r="I1131" s="18"/>
      <c r="J1131" s="18"/>
      <c r="L1131" s="5"/>
      <c r="M1131" s="5"/>
      <c r="N1131" s="5"/>
      <c r="O1131" s="5"/>
    </row>
    <row r="1132" spans="1:15">
      <c r="A1132" s="19"/>
      <c r="B1132" s="17"/>
      <c r="C1132" s="20"/>
      <c r="D1132" s="20"/>
      <c r="E1132" s="20"/>
      <c r="F1132" s="20"/>
      <c r="G1132" s="20"/>
      <c r="H1132" s="17"/>
      <c r="I1132" s="17"/>
      <c r="L1132" s="5"/>
      <c r="M1132" s="5"/>
      <c r="N1132" s="5"/>
      <c r="O1132" s="5"/>
    </row>
    <row r="1133" spans="1:15">
      <c r="A1133" s="166" t="s">
        <v>53</v>
      </c>
      <c r="B1133" s="168" t="s">
        <v>54</v>
      </c>
      <c r="C1133" s="170" t="s">
        <v>161</v>
      </c>
      <c r="D1133" s="171" t="s">
        <v>55</v>
      </c>
      <c r="E1133" s="172"/>
      <c r="F1133" s="172"/>
      <c r="G1133" s="173"/>
      <c r="H1133" s="174" t="s">
        <v>56</v>
      </c>
      <c r="I1133" s="162" t="s">
        <v>57</v>
      </c>
      <c r="J1133" s="17"/>
      <c r="L1133" s="5"/>
      <c r="M1133" s="5"/>
      <c r="N1133" s="5"/>
      <c r="O1133" s="5"/>
    </row>
    <row r="1134" spans="1:15" ht="25.5">
      <c r="A1134" s="167"/>
      <c r="B1134" s="169"/>
      <c r="C1134" s="22"/>
      <c r="D1134" s="21" t="s">
        <v>24</v>
      </c>
      <c r="E1134" s="21" t="s">
        <v>25</v>
      </c>
      <c r="F1134" s="22" t="s">
        <v>123</v>
      </c>
      <c r="G1134" s="21" t="s">
        <v>58</v>
      </c>
      <c r="H1134" s="175"/>
      <c r="I1134" s="163"/>
      <c r="J1134" s="164" t="s">
        <v>169</v>
      </c>
      <c r="K1134" s="142"/>
      <c r="L1134" s="5"/>
      <c r="M1134" s="5"/>
      <c r="N1134" s="5"/>
      <c r="O1134" s="5"/>
    </row>
    <row r="1135" spans="1:15">
      <c r="A1135" s="23"/>
      <c r="B1135" s="24" t="s">
        <v>59</v>
      </c>
      <c r="C1135" s="25"/>
      <c r="D1135" s="25"/>
      <c r="E1135" s="25"/>
      <c r="F1135" s="25"/>
      <c r="G1135" s="25"/>
      <c r="H1135" s="25"/>
      <c r="I1135" s="26"/>
      <c r="J1135" s="165"/>
      <c r="K1135" s="142"/>
      <c r="L1135" s="5"/>
      <c r="M1135" s="5"/>
      <c r="N1135" s="5"/>
      <c r="O1135" s="5"/>
    </row>
    <row r="1136" spans="1:15">
      <c r="A1136" s="121" t="s">
        <v>98</v>
      </c>
      <c r="B1136" s="126" t="s">
        <v>153</v>
      </c>
      <c r="C1136" s="32">
        <f>+C1110</f>
        <v>6757</v>
      </c>
      <c r="D1136" s="31"/>
      <c r="E1136" s="32">
        <f>D1110</f>
        <v>337000</v>
      </c>
      <c r="F1136" s="32"/>
      <c r="G1136" s="32"/>
      <c r="H1136" s="55">
        <f>+F1110</f>
        <v>0</v>
      </c>
      <c r="I1136" s="32">
        <f>+E1110</f>
        <v>314650</v>
      </c>
      <c r="J1136" s="30">
        <f>+SUM(C1136:G1136)-(H1136+I1136)</f>
        <v>29107</v>
      </c>
      <c r="K1136" s="143" t="b">
        <f>J1136=I1110</f>
        <v>1</v>
      </c>
      <c r="L1136" s="5"/>
      <c r="M1136" s="5"/>
      <c r="N1136" s="5"/>
      <c r="O1136" s="5"/>
    </row>
    <row r="1137" spans="1:15">
      <c r="A1137" s="121" t="str">
        <f>A1136</f>
        <v>NOVEMBRE</v>
      </c>
      <c r="B1137" s="126" t="s">
        <v>162</v>
      </c>
      <c r="C1137" s="32">
        <f>+C1111</f>
        <v>0</v>
      </c>
      <c r="D1137" s="31"/>
      <c r="E1137" s="32">
        <f>+D1111</f>
        <v>118000</v>
      </c>
      <c r="F1137" s="32"/>
      <c r="G1137" s="32"/>
      <c r="H1137" s="55">
        <f>+F1111</f>
        <v>0</v>
      </c>
      <c r="I1137" s="32">
        <f>+E1111</f>
        <v>114000</v>
      </c>
      <c r="J1137" s="30">
        <f t="shared" ref="J1137:J1138" si="636">+SUM(C1137:G1137)-(H1137+I1137)</f>
        <v>4000</v>
      </c>
      <c r="K1137" s="143" t="b">
        <f>J1137=I1111</f>
        <v>1</v>
      </c>
      <c r="L1137" s="5"/>
      <c r="M1137" s="5"/>
      <c r="N1137" s="5"/>
      <c r="O1137" s="5"/>
    </row>
    <row r="1138" spans="1:15">
      <c r="A1138" s="121" t="str">
        <f>+A1137</f>
        <v>NOVEMBRE</v>
      </c>
      <c r="B1138" s="126" t="s">
        <v>47</v>
      </c>
      <c r="C1138" s="32">
        <f>+C1115</f>
        <v>7200</v>
      </c>
      <c r="D1138" s="31"/>
      <c r="E1138" s="32">
        <f>+D1115</f>
        <v>286000</v>
      </c>
      <c r="F1138" s="32"/>
      <c r="G1138" s="32"/>
      <c r="H1138" s="55">
        <f>+F1115</f>
        <v>70000</v>
      </c>
      <c r="I1138" s="32">
        <f>+E1115</f>
        <v>226875</v>
      </c>
      <c r="J1138" s="100">
        <f t="shared" si="636"/>
        <v>-3675</v>
      </c>
      <c r="K1138" s="143" t="b">
        <f>J1138=I1115</f>
        <v>1</v>
      </c>
      <c r="L1138" s="5"/>
      <c r="M1138" s="5"/>
      <c r="N1138" s="5"/>
      <c r="O1138" s="5"/>
    </row>
    <row r="1139" spans="1:15">
      <c r="A1139" s="121" t="str">
        <f t="shared" ref="A1139:A1147" si="637">+A1138</f>
        <v>NOVEMBRE</v>
      </c>
      <c r="B1139" s="127" t="s">
        <v>31</v>
      </c>
      <c r="C1139" s="32">
        <f>+C1116</f>
        <v>10095</v>
      </c>
      <c r="D1139" s="118"/>
      <c r="E1139" s="32">
        <f>+D1116</f>
        <v>70500</v>
      </c>
      <c r="F1139" s="51"/>
      <c r="G1139" s="51"/>
      <c r="H1139" s="55">
        <f>+F1116</f>
        <v>0</v>
      </c>
      <c r="I1139" s="32">
        <f>+E1116</f>
        <v>73000</v>
      </c>
      <c r="J1139" s="123">
        <f>+SUM(C1139:G1139)-(H1139+I1139)</f>
        <v>7595</v>
      </c>
      <c r="K1139" s="143" t="b">
        <f t="shared" ref="K1139:K1147" si="638">J1139=I1116</f>
        <v>1</v>
      </c>
      <c r="L1139" s="5"/>
      <c r="M1139" s="5"/>
      <c r="N1139" s="5"/>
      <c r="O1139" s="5"/>
    </row>
    <row r="1140" spans="1:15">
      <c r="A1140" s="121" t="str">
        <f t="shared" si="637"/>
        <v>NOVEMBRE</v>
      </c>
      <c r="B1140" s="128" t="s">
        <v>84</v>
      </c>
      <c r="C1140" s="119">
        <f>+C1117</f>
        <v>233614</v>
      </c>
      <c r="D1140" s="122"/>
      <c r="E1140" s="119">
        <f>+D1117</f>
        <v>0</v>
      </c>
      <c r="F1140" s="136"/>
      <c r="G1140" s="136"/>
      <c r="H1140" s="154">
        <f>+F1117</f>
        <v>0</v>
      </c>
      <c r="I1140" s="119">
        <f>+E1117</f>
        <v>0</v>
      </c>
      <c r="J1140" s="120">
        <f>+SUM(C1140:G1140)-(H1140+I1140)</f>
        <v>233614</v>
      </c>
      <c r="K1140" s="143" t="b">
        <f t="shared" si="638"/>
        <v>1</v>
      </c>
      <c r="L1140" s="5"/>
      <c r="M1140" s="5"/>
      <c r="N1140" s="5"/>
      <c r="O1140" s="5"/>
    </row>
    <row r="1141" spans="1:15">
      <c r="A1141" s="121" t="str">
        <f t="shared" si="637"/>
        <v>NOVEMBRE</v>
      </c>
      <c r="B1141" s="128" t="s">
        <v>83</v>
      </c>
      <c r="C1141" s="119">
        <f>+C1118</f>
        <v>249769</v>
      </c>
      <c r="D1141" s="122"/>
      <c r="E1141" s="119">
        <f>+D1118</f>
        <v>0</v>
      </c>
      <c r="F1141" s="136"/>
      <c r="G1141" s="136"/>
      <c r="H1141" s="154">
        <f>+F1118</f>
        <v>0</v>
      </c>
      <c r="I1141" s="119">
        <f>+E1118</f>
        <v>0</v>
      </c>
      <c r="J1141" s="120">
        <f t="shared" ref="J1141:J1147" si="639">+SUM(C1141:G1141)-(H1141+I1141)</f>
        <v>249769</v>
      </c>
      <c r="K1141" s="143" t="b">
        <f t="shared" si="638"/>
        <v>1</v>
      </c>
      <c r="L1141" s="5"/>
      <c r="M1141" s="5"/>
      <c r="N1141" s="5"/>
      <c r="O1141" s="5"/>
    </row>
    <row r="1142" spans="1:15">
      <c r="A1142" s="121" t="str">
        <f t="shared" si="637"/>
        <v>NOVEMBRE</v>
      </c>
      <c r="B1142" s="126" t="s">
        <v>144</v>
      </c>
      <c r="C1142" s="32">
        <f>+C1119</f>
        <v>3550</v>
      </c>
      <c r="D1142" s="31"/>
      <c r="E1142" s="32">
        <f>+D1119</f>
        <v>43000</v>
      </c>
      <c r="F1142" s="32"/>
      <c r="G1142" s="103"/>
      <c r="H1142" s="55">
        <f>+F1119</f>
        <v>0</v>
      </c>
      <c r="I1142" s="32">
        <f>+E1119</f>
        <v>52550</v>
      </c>
      <c r="J1142" s="30">
        <f t="shared" si="639"/>
        <v>-6000</v>
      </c>
      <c r="K1142" s="143" t="b">
        <f t="shared" si="638"/>
        <v>1</v>
      </c>
      <c r="L1142" s="5"/>
      <c r="M1142" s="5"/>
      <c r="N1142" s="5"/>
      <c r="O1142" s="5"/>
    </row>
    <row r="1143" spans="1:15">
      <c r="A1143" s="121" t="str">
        <f t="shared" si="637"/>
        <v>NOVEMBRE</v>
      </c>
      <c r="B1143" s="126" t="s">
        <v>143</v>
      </c>
      <c r="C1143" s="32">
        <f t="shared" ref="C1143:C1147" si="640">+C1120</f>
        <v>61300</v>
      </c>
      <c r="D1143" s="31"/>
      <c r="E1143" s="32">
        <f t="shared" ref="E1143:E1147" si="641">+D1120</f>
        <v>53000</v>
      </c>
      <c r="F1143" s="32"/>
      <c r="G1143" s="103"/>
      <c r="H1143" s="55">
        <f t="shared" ref="H1143:H1147" si="642">+F1120</f>
        <v>20000</v>
      </c>
      <c r="I1143" s="32">
        <f t="shared" ref="I1143:I1147" si="643">+E1120</f>
        <v>45900</v>
      </c>
      <c r="J1143" s="30">
        <f t="shared" si="639"/>
        <v>48400</v>
      </c>
      <c r="K1143" s="143" t="b">
        <f t="shared" si="638"/>
        <v>1</v>
      </c>
      <c r="L1143" s="5"/>
      <c r="M1143" s="5"/>
      <c r="N1143" s="5"/>
      <c r="O1143" s="5"/>
    </row>
    <row r="1144" spans="1:15">
      <c r="A1144" s="121" t="str">
        <f t="shared" si="637"/>
        <v>NOVEMBRE</v>
      </c>
      <c r="B1144" s="126" t="s">
        <v>30</v>
      </c>
      <c r="C1144" s="32">
        <f t="shared" si="640"/>
        <v>10800</v>
      </c>
      <c r="D1144" s="31"/>
      <c r="E1144" s="32">
        <f t="shared" si="641"/>
        <v>488000</v>
      </c>
      <c r="F1144" s="32"/>
      <c r="G1144" s="103"/>
      <c r="H1144" s="55">
        <f t="shared" si="642"/>
        <v>0</v>
      </c>
      <c r="I1144" s="32">
        <f t="shared" si="643"/>
        <v>492000</v>
      </c>
      <c r="J1144" s="30">
        <f t="shared" si="639"/>
        <v>6800</v>
      </c>
      <c r="K1144" s="143" t="b">
        <f t="shared" si="638"/>
        <v>1</v>
      </c>
      <c r="L1144" s="5"/>
      <c r="M1144" s="5"/>
      <c r="N1144" s="5"/>
      <c r="O1144" s="5"/>
    </row>
    <row r="1145" spans="1:15">
      <c r="A1145" s="121" t="str">
        <f>+A1143</f>
        <v>NOVEMBRE</v>
      </c>
      <c r="B1145" s="126" t="s">
        <v>93</v>
      </c>
      <c r="C1145" s="32">
        <f t="shared" si="640"/>
        <v>9500</v>
      </c>
      <c r="D1145" s="31"/>
      <c r="E1145" s="32">
        <f t="shared" si="641"/>
        <v>20000</v>
      </c>
      <c r="F1145" s="32"/>
      <c r="G1145" s="103"/>
      <c r="H1145" s="55">
        <f t="shared" si="642"/>
        <v>0</v>
      </c>
      <c r="I1145" s="32">
        <f t="shared" si="643"/>
        <v>24000</v>
      </c>
      <c r="J1145" s="30">
        <f t="shared" si="639"/>
        <v>5500</v>
      </c>
      <c r="K1145" s="143" t="b">
        <f t="shared" si="638"/>
        <v>1</v>
      </c>
      <c r="L1145" s="5"/>
      <c r="M1145" s="5"/>
      <c r="N1145" s="5"/>
      <c r="O1145" s="5"/>
    </row>
    <row r="1146" spans="1:15">
      <c r="A1146" s="121" t="str">
        <f>+A1144</f>
        <v>NOVEMBRE</v>
      </c>
      <c r="B1146" s="126" t="s">
        <v>29</v>
      </c>
      <c r="C1146" s="32">
        <f t="shared" si="640"/>
        <v>21200</v>
      </c>
      <c r="D1146" s="31"/>
      <c r="E1146" s="32">
        <f t="shared" si="641"/>
        <v>543000</v>
      </c>
      <c r="F1146" s="32"/>
      <c r="G1146" s="103"/>
      <c r="H1146" s="55">
        <f t="shared" si="642"/>
        <v>0</v>
      </c>
      <c r="I1146" s="32">
        <f t="shared" si="643"/>
        <v>533500</v>
      </c>
      <c r="J1146" s="30">
        <f t="shared" si="639"/>
        <v>30700</v>
      </c>
      <c r="K1146" s="143" t="b">
        <f t="shared" si="638"/>
        <v>1</v>
      </c>
      <c r="L1146" s="5"/>
      <c r="M1146" s="5"/>
      <c r="N1146" s="5"/>
      <c r="O1146" s="5"/>
    </row>
    <row r="1147" spans="1:15">
      <c r="A1147" s="121" t="str">
        <f t="shared" si="637"/>
        <v>NOVEMBRE</v>
      </c>
      <c r="B1147" s="127" t="s">
        <v>113</v>
      </c>
      <c r="C1147" s="32">
        <f t="shared" si="640"/>
        <v>26193</v>
      </c>
      <c r="D1147" s="118"/>
      <c r="E1147" s="32">
        <f t="shared" si="641"/>
        <v>36000</v>
      </c>
      <c r="F1147" s="51"/>
      <c r="G1147" s="137"/>
      <c r="H1147" s="55">
        <f t="shared" si="642"/>
        <v>0</v>
      </c>
      <c r="I1147" s="32">
        <f t="shared" si="643"/>
        <v>53000</v>
      </c>
      <c r="J1147" s="30">
        <f t="shared" si="639"/>
        <v>9193</v>
      </c>
      <c r="K1147" s="143" t="b">
        <f t="shared" si="638"/>
        <v>1</v>
      </c>
      <c r="L1147" s="5"/>
      <c r="M1147" s="5"/>
      <c r="N1147" s="5"/>
      <c r="O1147" s="5"/>
    </row>
    <row r="1148" spans="1:15">
      <c r="A1148" s="34" t="s">
        <v>60</v>
      </c>
      <c r="B1148" s="35"/>
      <c r="C1148" s="35"/>
      <c r="D1148" s="35"/>
      <c r="E1148" s="35"/>
      <c r="F1148" s="35"/>
      <c r="G1148" s="35"/>
      <c r="H1148" s="35"/>
      <c r="I1148" s="35"/>
      <c r="J1148" s="36"/>
      <c r="K1148" s="142"/>
      <c r="L1148" s="5"/>
      <c r="M1148" s="5"/>
      <c r="N1148" s="5"/>
      <c r="O1148" s="5"/>
    </row>
    <row r="1149" spans="1:15">
      <c r="A1149" s="121" t="str">
        <f>+A1147</f>
        <v>NOVEMBRE</v>
      </c>
      <c r="B1149" s="37" t="s">
        <v>61</v>
      </c>
      <c r="C1149" s="38">
        <f>+C1114</f>
        <v>1685107</v>
      </c>
      <c r="D1149" s="49"/>
      <c r="E1149" s="49">
        <f>D1114</f>
        <v>4090000</v>
      </c>
      <c r="F1149" s="49"/>
      <c r="G1149" s="124"/>
      <c r="H1149" s="51">
        <f>+F1114</f>
        <v>1994500</v>
      </c>
      <c r="I1149" s="125">
        <f>+E1114</f>
        <v>2854238</v>
      </c>
      <c r="J1149" s="30">
        <f>+SUM(C1149:G1149)-(H1149+I1149)</f>
        <v>926369</v>
      </c>
      <c r="K1149" s="143" t="b">
        <f>J1149=I1114</f>
        <v>1</v>
      </c>
      <c r="L1149" s="5"/>
      <c r="M1149" s="5"/>
      <c r="N1149" s="5"/>
      <c r="O1149" s="5"/>
    </row>
    <row r="1150" spans="1:15">
      <c r="A1150" s="43" t="s">
        <v>62</v>
      </c>
      <c r="B1150" s="24"/>
      <c r="C1150" s="35"/>
      <c r="D1150" s="24"/>
      <c r="E1150" s="24"/>
      <c r="F1150" s="24"/>
      <c r="G1150" s="24"/>
      <c r="H1150" s="24"/>
      <c r="I1150" s="24"/>
      <c r="J1150" s="36"/>
      <c r="K1150" s="142"/>
      <c r="L1150" s="5"/>
      <c r="M1150" s="5"/>
      <c r="N1150" s="5"/>
      <c r="O1150" s="5"/>
    </row>
    <row r="1151" spans="1:15">
      <c r="A1151" s="121" t="str">
        <f>+A1149</f>
        <v>NOVEMBRE</v>
      </c>
      <c r="B1151" s="37" t="s">
        <v>156</v>
      </c>
      <c r="C1151" s="124">
        <f>+C1112</f>
        <v>6762063</v>
      </c>
      <c r="D1151" s="131">
        <f>+G1112</f>
        <v>0</v>
      </c>
      <c r="E1151" s="49"/>
      <c r="F1151" s="49"/>
      <c r="G1151" s="49"/>
      <c r="H1151" s="51">
        <f>+F1112</f>
        <v>1000000</v>
      </c>
      <c r="I1151" s="53">
        <f>+E1112</f>
        <v>23345</v>
      </c>
      <c r="J1151" s="30">
        <f>+SUM(C1151:G1151)-(H1151+I1151)</f>
        <v>5738718</v>
      </c>
      <c r="K1151" s="143" t="b">
        <f>+J1151=I1112</f>
        <v>1</v>
      </c>
      <c r="L1151" s="5"/>
      <c r="M1151" s="5"/>
      <c r="N1151" s="5"/>
      <c r="O1151" s="5"/>
    </row>
    <row r="1152" spans="1:15">
      <c r="A1152" s="121" t="str">
        <f t="shared" ref="A1152" si="644">+A1151</f>
        <v>NOVEMBRE</v>
      </c>
      <c r="B1152" s="37" t="s">
        <v>64</v>
      </c>
      <c r="C1152" s="124">
        <f>+C1113</f>
        <v>23107840</v>
      </c>
      <c r="D1152" s="49">
        <f>+G1113</f>
        <v>0</v>
      </c>
      <c r="E1152" s="48"/>
      <c r="F1152" s="48"/>
      <c r="G1152" s="48"/>
      <c r="H1152" s="32">
        <f>+F1113</f>
        <v>3000000</v>
      </c>
      <c r="I1152" s="50">
        <f>+E1113</f>
        <v>4020633</v>
      </c>
      <c r="J1152" s="30">
        <f>SUM(C1152:G1152)-(H1152+I1152)</f>
        <v>16087207</v>
      </c>
      <c r="K1152" s="143" t="b">
        <f>+J1152=I1113</f>
        <v>1</v>
      </c>
      <c r="L1152" s="5"/>
      <c r="M1152" s="5"/>
      <c r="N1152" s="5"/>
      <c r="O1152" s="5"/>
    </row>
    <row r="1153" spans="1:15" ht="15.75">
      <c r="C1153" s="140">
        <f>SUM(C1137:C1152)</f>
        <v>32188231</v>
      </c>
      <c r="I1153" s="139">
        <f>SUM(I1137:I1152)</f>
        <v>8513041</v>
      </c>
      <c r="J1153" s="104">
        <f>+SUM(J1136:J1152)</f>
        <v>23367297</v>
      </c>
      <c r="K1153" s="5" t="b">
        <f>J1153=I1125</f>
        <v>1</v>
      </c>
      <c r="L1153" s="5"/>
      <c r="M1153" s="5"/>
      <c r="N1153" s="5"/>
      <c r="O1153" s="5"/>
    </row>
    <row r="1154" spans="1:15">
      <c r="G1154" s="9"/>
      <c r="L1154" s="5"/>
      <c r="M1154" s="5"/>
      <c r="N1154" s="5"/>
      <c r="O1154" s="5"/>
    </row>
    <row r="1155" spans="1:15">
      <c r="A1155" s="16" t="s">
        <v>52</v>
      </c>
      <c r="B1155" s="16"/>
      <c r="C1155" s="16"/>
      <c r="D1155" s="17"/>
      <c r="E1155" s="17"/>
      <c r="F1155" s="17"/>
      <c r="G1155" s="17"/>
      <c r="H1155" s="17"/>
      <c r="I1155" s="17"/>
      <c r="L1155" s="5"/>
      <c r="M1155" s="5"/>
      <c r="N1155" s="5"/>
      <c r="O1155" s="5"/>
    </row>
    <row r="1156" spans="1:15">
      <c r="A1156" s="18" t="s">
        <v>152</v>
      </c>
      <c r="B1156" s="18"/>
      <c r="C1156" s="18"/>
      <c r="D1156" s="18"/>
      <c r="E1156" s="18"/>
      <c r="F1156" s="18"/>
      <c r="G1156" s="18"/>
      <c r="H1156" s="18"/>
      <c r="I1156" s="18"/>
      <c r="J1156" s="18"/>
      <c r="L1156" s="5"/>
      <c r="M1156" s="5"/>
      <c r="N1156" s="5"/>
      <c r="O1156" s="5"/>
    </row>
    <row r="1157" spans="1:15">
      <c r="A1157" s="19"/>
      <c r="B1157" s="17"/>
      <c r="C1157" s="20"/>
      <c r="D1157" s="20"/>
      <c r="E1157" s="20"/>
      <c r="F1157" s="20"/>
      <c r="G1157" s="20"/>
      <c r="H1157" s="17"/>
      <c r="I1157" s="17"/>
      <c r="L1157" s="5"/>
      <c r="M1157" s="5"/>
      <c r="N1157" s="5"/>
      <c r="O1157" s="5"/>
    </row>
    <row r="1158" spans="1:15">
      <c r="A1158" s="166" t="s">
        <v>53</v>
      </c>
      <c r="B1158" s="168" t="s">
        <v>54</v>
      </c>
      <c r="C1158" s="170" t="s">
        <v>149</v>
      </c>
      <c r="D1158" s="171" t="s">
        <v>55</v>
      </c>
      <c r="E1158" s="172"/>
      <c r="F1158" s="172"/>
      <c r="G1158" s="173"/>
      <c r="H1158" s="174" t="s">
        <v>56</v>
      </c>
      <c r="I1158" s="162" t="s">
        <v>57</v>
      </c>
      <c r="J1158" s="17"/>
      <c r="L1158" s="5"/>
      <c r="M1158" s="5"/>
      <c r="N1158" s="5"/>
      <c r="O1158" s="5"/>
    </row>
    <row r="1159" spans="1:15" ht="25.5">
      <c r="A1159" s="167"/>
      <c r="B1159" s="169"/>
      <c r="C1159" s="22"/>
      <c r="D1159" s="21" t="s">
        <v>24</v>
      </c>
      <c r="E1159" s="21" t="s">
        <v>25</v>
      </c>
      <c r="F1159" s="22" t="s">
        <v>123</v>
      </c>
      <c r="G1159" s="21" t="s">
        <v>58</v>
      </c>
      <c r="H1159" s="175"/>
      <c r="I1159" s="163"/>
      <c r="J1159" s="164" t="s">
        <v>150</v>
      </c>
      <c r="K1159" s="142"/>
      <c r="L1159" s="5"/>
      <c r="M1159" s="5"/>
      <c r="N1159" s="5"/>
      <c r="O1159" s="5"/>
    </row>
    <row r="1160" spans="1:15">
      <c r="A1160" s="23"/>
      <c r="B1160" s="24" t="s">
        <v>59</v>
      </c>
      <c r="C1160" s="25"/>
      <c r="D1160" s="25"/>
      <c r="E1160" s="25"/>
      <c r="F1160" s="25"/>
      <c r="G1160" s="25"/>
      <c r="H1160" s="25"/>
      <c r="I1160" s="26"/>
      <c r="J1160" s="165"/>
      <c r="K1160" s="142"/>
      <c r="L1160" s="5"/>
      <c r="M1160" s="5"/>
      <c r="N1160" s="5"/>
      <c r="O1160" s="5"/>
    </row>
    <row r="1161" spans="1:15">
      <c r="A1161" s="121" t="s">
        <v>90</v>
      </c>
      <c r="B1161" s="126" t="s">
        <v>153</v>
      </c>
      <c r="C1161" s="32">
        <f>+C1110</f>
        <v>6757</v>
      </c>
      <c r="D1161" s="31"/>
      <c r="E1161" s="32">
        <f>+D1110</f>
        <v>337000</v>
      </c>
      <c r="F1161" s="32"/>
      <c r="G1161" s="32"/>
      <c r="H1161" s="55">
        <f>+F1110</f>
        <v>0</v>
      </c>
      <c r="I1161" s="32">
        <f>+E1110</f>
        <v>314650</v>
      </c>
      <c r="J1161" s="30">
        <f>+SUM(C1161:G1161)-(H1161+I1161)</f>
        <v>29107</v>
      </c>
      <c r="K1161" s="143" t="b">
        <f>J1161=I1110</f>
        <v>1</v>
      </c>
      <c r="L1161" s="5"/>
      <c r="M1161" s="5"/>
      <c r="N1161" s="5"/>
      <c r="O1161" s="5"/>
    </row>
    <row r="1162" spans="1:15">
      <c r="A1162" s="121" t="s">
        <v>90</v>
      </c>
      <c r="B1162" s="126" t="s">
        <v>47</v>
      </c>
      <c r="C1162" s="32">
        <f t="shared" ref="C1162:C1171" si="645">C1114</f>
        <v>1685107</v>
      </c>
      <c r="D1162" s="31"/>
      <c r="E1162" s="32">
        <f>+D1114</f>
        <v>4090000</v>
      </c>
      <c r="F1162" s="32"/>
      <c r="G1162" s="32"/>
      <c r="H1162" s="55">
        <f t="shared" ref="H1162:H1171" si="646">+F1114</f>
        <v>1994500</v>
      </c>
      <c r="I1162" s="32">
        <f t="shared" ref="I1162:I1171" si="647">+E1114</f>
        <v>2854238</v>
      </c>
      <c r="J1162" s="30">
        <f t="shared" ref="J1162:J1163" si="648">+SUM(C1162:G1162)-(H1162+I1162)</f>
        <v>926369</v>
      </c>
      <c r="K1162" s="143" t="b">
        <f t="shared" ref="K1162:K1172" si="649">J1162=I1114</f>
        <v>1</v>
      </c>
      <c r="L1162" s="5"/>
      <c r="M1162" s="5"/>
      <c r="N1162" s="5"/>
      <c r="O1162" s="5"/>
    </row>
    <row r="1163" spans="1:15">
      <c r="A1163" s="121" t="str">
        <f>+A1162</f>
        <v>OCTOBRE</v>
      </c>
      <c r="B1163" s="126" t="s">
        <v>31</v>
      </c>
      <c r="C1163" s="32">
        <f t="shared" si="645"/>
        <v>7200</v>
      </c>
      <c r="D1163" s="31"/>
      <c r="E1163" s="32">
        <f>+D1115</f>
        <v>286000</v>
      </c>
      <c r="F1163" s="32"/>
      <c r="G1163" s="32"/>
      <c r="H1163" s="55">
        <f t="shared" si="646"/>
        <v>70000</v>
      </c>
      <c r="I1163" s="32">
        <f t="shared" si="647"/>
        <v>226875</v>
      </c>
      <c r="J1163" s="100">
        <f t="shared" si="648"/>
        <v>-3675</v>
      </c>
      <c r="K1163" s="143" t="b">
        <f t="shared" si="649"/>
        <v>1</v>
      </c>
      <c r="L1163" s="5"/>
      <c r="M1163" s="5"/>
      <c r="N1163" s="5"/>
      <c r="O1163" s="5"/>
    </row>
    <row r="1164" spans="1:15">
      <c r="A1164" s="121" t="str">
        <f t="shared" ref="A1164:A1172" si="650">+A1163</f>
        <v>OCTOBRE</v>
      </c>
      <c r="B1164" s="127" t="s">
        <v>144</v>
      </c>
      <c r="C1164" s="32">
        <f t="shared" si="645"/>
        <v>10095</v>
      </c>
      <c r="D1164" s="118"/>
      <c r="E1164" s="32">
        <f>D1116</f>
        <v>70500</v>
      </c>
      <c r="F1164" s="51"/>
      <c r="G1164" s="51"/>
      <c r="H1164" s="55">
        <f t="shared" si="646"/>
        <v>0</v>
      </c>
      <c r="I1164" s="32">
        <f t="shared" si="647"/>
        <v>73000</v>
      </c>
      <c r="J1164" s="123">
        <f>+SUM(C1164:G1164)-(H1164+I1164)</f>
        <v>7595</v>
      </c>
      <c r="K1164" s="143" t="b">
        <f t="shared" si="649"/>
        <v>1</v>
      </c>
      <c r="L1164" s="5"/>
      <c r="M1164" s="5"/>
      <c r="N1164" s="5"/>
      <c r="O1164" s="5"/>
    </row>
    <row r="1165" spans="1:15">
      <c r="A1165" s="121" t="str">
        <f t="shared" si="650"/>
        <v>OCTOBRE</v>
      </c>
      <c r="B1165" s="128" t="s">
        <v>84</v>
      </c>
      <c r="C1165" s="119">
        <f t="shared" si="645"/>
        <v>233614</v>
      </c>
      <c r="D1165" s="122"/>
      <c r="E1165" s="119">
        <f t="shared" ref="E1165:E1169" si="651">+D1117</f>
        <v>0</v>
      </c>
      <c r="F1165" s="136"/>
      <c r="G1165" s="136"/>
      <c r="H1165" s="154">
        <f t="shared" si="646"/>
        <v>0</v>
      </c>
      <c r="I1165" s="119">
        <f t="shared" si="647"/>
        <v>0</v>
      </c>
      <c r="J1165" s="120">
        <f>+SUM(C1165:G1165)-(H1165+I1165)</f>
        <v>233614</v>
      </c>
      <c r="K1165" s="143" t="b">
        <f t="shared" si="649"/>
        <v>1</v>
      </c>
      <c r="L1165" s="5"/>
      <c r="M1165" s="5"/>
      <c r="N1165" s="5"/>
      <c r="O1165" s="5"/>
    </row>
    <row r="1166" spans="1:15">
      <c r="A1166" s="121" t="str">
        <f t="shared" si="650"/>
        <v>OCTOBRE</v>
      </c>
      <c r="B1166" s="128" t="s">
        <v>83</v>
      </c>
      <c r="C1166" s="119">
        <f t="shared" si="645"/>
        <v>249769</v>
      </c>
      <c r="D1166" s="122"/>
      <c r="E1166" s="119">
        <f t="shared" si="651"/>
        <v>0</v>
      </c>
      <c r="F1166" s="136"/>
      <c r="G1166" s="136"/>
      <c r="H1166" s="154">
        <f t="shared" si="646"/>
        <v>0</v>
      </c>
      <c r="I1166" s="119">
        <f t="shared" si="647"/>
        <v>0</v>
      </c>
      <c r="J1166" s="120">
        <f t="shared" ref="J1166:J1172" si="652">+SUM(C1166:G1166)-(H1166+I1166)</f>
        <v>249769</v>
      </c>
      <c r="K1166" s="143" t="b">
        <f t="shared" si="649"/>
        <v>1</v>
      </c>
      <c r="L1166" s="5"/>
      <c r="M1166" s="5"/>
      <c r="N1166" s="5"/>
      <c r="O1166" s="5"/>
    </row>
    <row r="1167" spans="1:15">
      <c r="A1167" s="121" t="str">
        <f t="shared" si="650"/>
        <v>OCTOBRE</v>
      </c>
      <c r="B1167" s="126" t="s">
        <v>143</v>
      </c>
      <c r="C1167" s="32">
        <f t="shared" si="645"/>
        <v>3550</v>
      </c>
      <c r="D1167" s="31"/>
      <c r="E1167" s="32">
        <f t="shared" si="651"/>
        <v>43000</v>
      </c>
      <c r="F1167" s="32"/>
      <c r="G1167" s="103"/>
      <c r="H1167" s="55">
        <f t="shared" si="646"/>
        <v>0</v>
      </c>
      <c r="I1167" s="32">
        <f t="shared" si="647"/>
        <v>52550</v>
      </c>
      <c r="J1167" s="30">
        <f t="shared" si="652"/>
        <v>-6000</v>
      </c>
      <c r="K1167" s="143" t="b">
        <f t="shared" si="649"/>
        <v>1</v>
      </c>
      <c r="L1167" s="5"/>
      <c r="M1167" s="5"/>
      <c r="N1167" s="5"/>
      <c r="O1167" s="5"/>
    </row>
    <row r="1168" spans="1:15">
      <c r="A1168" s="121" t="str">
        <f t="shared" si="650"/>
        <v>OCTOBRE</v>
      </c>
      <c r="B1168" s="126" t="s">
        <v>30</v>
      </c>
      <c r="C1168" s="32">
        <f t="shared" si="645"/>
        <v>61300</v>
      </c>
      <c r="D1168" s="31"/>
      <c r="E1168" s="32">
        <f t="shared" si="651"/>
        <v>53000</v>
      </c>
      <c r="F1168" s="32"/>
      <c r="G1168" s="103"/>
      <c r="H1168" s="55">
        <f t="shared" si="646"/>
        <v>20000</v>
      </c>
      <c r="I1168" s="32">
        <f t="shared" si="647"/>
        <v>45900</v>
      </c>
      <c r="J1168" s="30">
        <f t="shared" si="652"/>
        <v>48400</v>
      </c>
      <c r="K1168" s="143" t="b">
        <f t="shared" si="649"/>
        <v>1</v>
      </c>
      <c r="L1168" s="5"/>
      <c r="M1168" s="5"/>
      <c r="N1168" s="5"/>
      <c r="O1168" s="5"/>
    </row>
    <row r="1169" spans="1:15">
      <c r="A1169" s="121" t="str">
        <f t="shared" si="650"/>
        <v>OCTOBRE</v>
      </c>
      <c r="B1169" s="126" t="s">
        <v>93</v>
      </c>
      <c r="C1169" s="32">
        <f t="shared" si="645"/>
        <v>10800</v>
      </c>
      <c r="D1169" s="31"/>
      <c r="E1169" s="32">
        <f t="shared" si="651"/>
        <v>488000</v>
      </c>
      <c r="F1169" s="32"/>
      <c r="G1169" s="103"/>
      <c r="H1169" s="55">
        <f t="shared" si="646"/>
        <v>0</v>
      </c>
      <c r="I1169" s="32">
        <f t="shared" si="647"/>
        <v>492000</v>
      </c>
      <c r="J1169" s="30">
        <f t="shared" si="652"/>
        <v>6800</v>
      </c>
      <c r="K1169" s="143" t="b">
        <f t="shared" si="649"/>
        <v>1</v>
      </c>
      <c r="L1169" s="5"/>
      <c r="M1169" s="5"/>
      <c r="N1169" s="5"/>
      <c r="O1169" s="5"/>
    </row>
    <row r="1170" spans="1:15">
      <c r="A1170" s="121" t="str">
        <f>+A1168</f>
        <v>OCTOBRE</v>
      </c>
      <c r="B1170" s="126" t="s">
        <v>29</v>
      </c>
      <c r="C1170" s="32">
        <f t="shared" si="645"/>
        <v>9500</v>
      </c>
      <c r="D1170" s="31"/>
      <c r="E1170" s="32">
        <f>+D1122</f>
        <v>20000</v>
      </c>
      <c r="F1170" s="32"/>
      <c r="G1170" s="103"/>
      <c r="H1170" s="55">
        <f t="shared" si="646"/>
        <v>0</v>
      </c>
      <c r="I1170" s="32">
        <f t="shared" si="647"/>
        <v>24000</v>
      </c>
      <c r="J1170" s="30">
        <f t="shared" ref="J1170" si="653">+SUM(C1170:G1170)-(H1170+I1170)</f>
        <v>5500</v>
      </c>
      <c r="K1170" s="143" t="b">
        <f t="shared" si="649"/>
        <v>1</v>
      </c>
      <c r="L1170" s="5"/>
      <c r="M1170" s="5"/>
      <c r="N1170" s="5"/>
      <c r="O1170" s="5"/>
    </row>
    <row r="1171" spans="1:15">
      <c r="A1171" s="121" t="str">
        <f>+A1169</f>
        <v>OCTOBRE</v>
      </c>
      <c r="B1171" s="126" t="s">
        <v>147</v>
      </c>
      <c r="C1171" s="32">
        <f t="shared" si="645"/>
        <v>21200</v>
      </c>
      <c r="D1171" s="31"/>
      <c r="E1171" s="32">
        <f>+D1123</f>
        <v>543000</v>
      </c>
      <c r="F1171" s="32"/>
      <c r="G1171" s="103"/>
      <c r="H1171" s="55">
        <f t="shared" si="646"/>
        <v>0</v>
      </c>
      <c r="I1171" s="32">
        <f t="shared" si="647"/>
        <v>533500</v>
      </c>
      <c r="J1171" s="30">
        <f t="shared" si="652"/>
        <v>30700</v>
      </c>
      <c r="K1171" s="143" t="b">
        <f t="shared" si="649"/>
        <v>1</v>
      </c>
      <c r="L1171" s="5"/>
      <c r="M1171" s="5"/>
      <c r="N1171" s="5"/>
      <c r="O1171" s="5"/>
    </row>
    <row r="1172" spans="1:15">
      <c r="A1172" s="121" t="str">
        <f t="shared" si="650"/>
        <v>OCTOBRE</v>
      </c>
      <c r="B1172" s="127" t="s">
        <v>113</v>
      </c>
      <c r="C1172" s="32">
        <f t="shared" ref="C1172" si="654">C1124</f>
        <v>26193</v>
      </c>
      <c r="D1172" s="118"/>
      <c r="E1172" s="32">
        <f t="shared" ref="E1172" si="655">+D1124</f>
        <v>36000</v>
      </c>
      <c r="F1172" s="51"/>
      <c r="G1172" s="137"/>
      <c r="H1172" s="55">
        <f t="shared" ref="H1172" si="656">+F1124</f>
        <v>0</v>
      </c>
      <c r="I1172" s="32">
        <f t="shared" ref="I1172" si="657">+E1124</f>
        <v>53000</v>
      </c>
      <c r="J1172" s="30">
        <f t="shared" si="652"/>
        <v>9193</v>
      </c>
      <c r="K1172" s="143" t="b">
        <f t="shared" si="649"/>
        <v>1</v>
      </c>
      <c r="L1172" s="5"/>
      <c r="M1172" s="5"/>
      <c r="N1172" s="5"/>
      <c r="O1172" s="5"/>
    </row>
    <row r="1173" spans="1:15">
      <c r="A1173" s="34" t="s">
        <v>60</v>
      </c>
      <c r="B1173" s="35"/>
      <c r="C1173" s="35"/>
      <c r="D1173" s="35"/>
      <c r="E1173" s="35"/>
      <c r="F1173" s="35"/>
      <c r="G1173" s="35"/>
      <c r="H1173" s="35"/>
      <c r="I1173" s="35"/>
      <c r="J1173" s="36"/>
      <c r="K1173" s="142"/>
      <c r="L1173" s="5"/>
      <c r="M1173" s="5"/>
      <c r="N1173" s="5"/>
      <c r="O1173" s="5"/>
    </row>
    <row r="1174" spans="1:15">
      <c r="A1174" s="121" t="str">
        <f>+A1172</f>
        <v>OCTOBRE</v>
      </c>
      <c r="B1174" s="37" t="s">
        <v>61</v>
      </c>
      <c r="C1174" s="38">
        <f>C1113</f>
        <v>23107840</v>
      </c>
      <c r="D1174" s="49"/>
      <c r="E1174" s="49">
        <f>D1113</f>
        <v>0</v>
      </c>
      <c r="F1174" s="49"/>
      <c r="G1174" s="124"/>
      <c r="H1174" s="51">
        <f>+F1113</f>
        <v>3000000</v>
      </c>
      <c r="I1174" s="125">
        <f>+E1113</f>
        <v>4020633</v>
      </c>
      <c r="J1174" s="30">
        <f>+SUM(C1174:G1174)-(H1174+I1174)</f>
        <v>16087207</v>
      </c>
      <c r="K1174" s="143" t="b">
        <f>J1174=I1113</f>
        <v>1</v>
      </c>
      <c r="L1174" s="5"/>
      <c r="M1174" s="5"/>
      <c r="N1174" s="5"/>
      <c r="O1174" s="5"/>
    </row>
    <row r="1175" spans="1:15">
      <c r="A1175" s="43" t="s">
        <v>62</v>
      </c>
      <c r="B1175" s="24"/>
      <c r="C1175" s="35"/>
      <c r="D1175" s="24"/>
      <c r="E1175" s="24"/>
      <c r="F1175" s="24"/>
      <c r="G1175" s="24"/>
      <c r="H1175" s="24"/>
      <c r="I1175" s="24"/>
      <c r="J1175" s="36"/>
      <c r="K1175" s="142"/>
      <c r="L1175" s="5"/>
      <c r="M1175" s="5"/>
      <c r="N1175" s="5"/>
      <c r="O1175" s="5"/>
    </row>
    <row r="1176" spans="1:15">
      <c r="A1176" s="121" t="str">
        <f>+A1174</f>
        <v>OCTOBRE</v>
      </c>
      <c r="B1176" s="37" t="s">
        <v>156</v>
      </c>
      <c r="C1176" s="124">
        <f>C1111</f>
        <v>0</v>
      </c>
      <c r="D1176" s="131">
        <f>G1111</f>
        <v>0</v>
      </c>
      <c r="E1176" s="49"/>
      <c r="F1176" s="49"/>
      <c r="G1176" s="49"/>
      <c r="H1176" s="51">
        <f>+F1111</f>
        <v>0</v>
      </c>
      <c r="I1176" s="53">
        <f>+E1111</f>
        <v>114000</v>
      </c>
      <c r="J1176" s="30">
        <f>+SUM(C1176:G1176)-(H1176+I1176)</f>
        <v>-114000</v>
      </c>
      <c r="K1176" s="143" t="b">
        <f>+J1176=I1111</f>
        <v>0</v>
      </c>
      <c r="L1176" s="5"/>
      <c r="M1176" s="5"/>
      <c r="N1176" s="5"/>
      <c r="O1176" s="5"/>
    </row>
    <row r="1177" spans="1:15">
      <c r="A1177" s="121" t="str">
        <f t="shared" ref="A1177" si="658">+A1176</f>
        <v>OCTOBRE</v>
      </c>
      <c r="B1177" s="37" t="s">
        <v>64</v>
      </c>
      <c r="C1177" s="124">
        <f>C1112</f>
        <v>6762063</v>
      </c>
      <c r="D1177" s="49">
        <f>G1112</f>
        <v>0</v>
      </c>
      <c r="E1177" s="48"/>
      <c r="F1177" s="48"/>
      <c r="G1177" s="48"/>
      <c r="H1177" s="32">
        <f>+F1112</f>
        <v>1000000</v>
      </c>
      <c r="I1177" s="50">
        <f>+E1112</f>
        <v>23345</v>
      </c>
      <c r="J1177" s="30">
        <f>SUM(C1177:G1177)-(H1177+I1177)</f>
        <v>5738718</v>
      </c>
      <c r="K1177" s="143" t="b">
        <f>+J1177=I1112</f>
        <v>1</v>
      </c>
      <c r="L1177" s="5"/>
      <c r="M1177" s="5"/>
      <c r="N1177" s="5"/>
      <c r="O1177" s="5"/>
    </row>
    <row r="1178" spans="1:15" ht="15.75">
      <c r="C1178" s="140">
        <f>SUM(C1162:C1177)</f>
        <v>32188231</v>
      </c>
      <c r="I1178" s="139">
        <f>SUM(I1162:I1177)</f>
        <v>8513041</v>
      </c>
      <c r="J1178" s="104">
        <f>+SUM(J1161:J1177)</f>
        <v>23249297</v>
      </c>
      <c r="K1178" s="5" t="b">
        <f>J1178=I1125</f>
        <v>0</v>
      </c>
      <c r="L1178" s="5"/>
      <c r="M1178" s="5"/>
      <c r="N1178" s="5"/>
      <c r="O1178" s="5"/>
    </row>
    <row r="1179" spans="1:15">
      <c r="G1179" s="9"/>
      <c r="L1179" s="5"/>
      <c r="M1179" s="5"/>
      <c r="N1179" s="5"/>
      <c r="O1179" s="5"/>
    </row>
    <row r="1180" spans="1:15">
      <c r="A1180" s="16" t="s">
        <v>52</v>
      </c>
      <c r="B1180" s="16"/>
      <c r="C1180" s="16"/>
      <c r="D1180" s="17"/>
      <c r="E1180" s="17"/>
      <c r="F1180" s="17"/>
      <c r="G1180" s="17"/>
      <c r="H1180" s="17"/>
      <c r="I1180" s="17"/>
      <c r="L1180" s="5"/>
      <c r="M1180" s="5"/>
      <c r="N1180" s="5"/>
      <c r="O1180" s="5"/>
    </row>
    <row r="1181" spans="1:15">
      <c r="A1181" s="18" t="s">
        <v>145</v>
      </c>
      <c r="B1181" s="18"/>
      <c r="C1181" s="18"/>
      <c r="D1181" s="18"/>
      <c r="E1181" s="18"/>
      <c r="F1181" s="18"/>
      <c r="G1181" s="18"/>
      <c r="H1181" s="18"/>
      <c r="I1181" s="18"/>
      <c r="J1181" s="18"/>
      <c r="L1181" s="5"/>
      <c r="M1181" s="5"/>
      <c r="N1181" s="5"/>
      <c r="O1181" s="5"/>
    </row>
    <row r="1182" spans="1:15">
      <c r="A1182" s="19"/>
      <c r="B1182" s="17"/>
      <c r="C1182" s="20"/>
      <c r="D1182" s="20"/>
      <c r="E1182" s="20"/>
      <c r="F1182" s="20"/>
      <c r="G1182" s="20"/>
      <c r="H1182" s="17"/>
      <c r="I1182" s="17"/>
      <c r="L1182" s="5"/>
      <c r="M1182" s="5"/>
      <c r="N1182" s="5"/>
      <c r="O1182" s="5"/>
    </row>
    <row r="1183" spans="1:15">
      <c r="A1183" s="166" t="s">
        <v>53</v>
      </c>
      <c r="B1183" s="168" t="s">
        <v>54</v>
      </c>
      <c r="C1183" s="170" t="s">
        <v>146</v>
      </c>
      <c r="D1183" s="171" t="s">
        <v>55</v>
      </c>
      <c r="E1183" s="172"/>
      <c r="F1183" s="172"/>
      <c r="G1183" s="173"/>
      <c r="H1183" s="174" t="s">
        <v>56</v>
      </c>
      <c r="I1183" s="162" t="s">
        <v>57</v>
      </c>
      <c r="J1183" s="17"/>
      <c r="L1183" s="5"/>
      <c r="M1183" s="5"/>
      <c r="N1183" s="5"/>
      <c r="O1183" s="5"/>
    </row>
    <row r="1184" spans="1:15" ht="25.5">
      <c r="A1184" s="167"/>
      <c r="B1184" s="169"/>
      <c r="C1184" s="22"/>
      <c r="D1184" s="21" t="s">
        <v>24</v>
      </c>
      <c r="E1184" s="21" t="s">
        <v>25</v>
      </c>
      <c r="F1184" s="22" t="s">
        <v>123</v>
      </c>
      <c r="G1184" s="21" t="s">
        <v>58</v>
      </c>
      <c r="H1184" s="175"/>
      <c r="I1184" s="163"/>
      <c r="J1184" s="164" t="s">
        <v>151</v>
      </c>
      <c r="K1184" s="142"/>
      <c r="L1184" s="5"/>
      <c r="M1184" s="5"/>
      <c r="N1184" s="5"/>
      <c r="O1184" s="5"/>
    </row>
    <row r="1185" spans="1:15">
      <c r="A1185" s="23"/>
      <c r="B1185" s="24" t="s">
        <v>59</v>
      </c>
      <c r="C1185" s="25"/>
      <c r="D1185" s="25"/>
      <c r="E1185" s="25"/>
      <c r="F1185" s="25"/>
      <c r="G1185" s="25"/>
      <c r="H1185" s="25"/>
      <c r="I1185" s="26"/>
      <c r="J1185" s="165"/>
      <c r="K1185" s="142"/>
      <c r="L1185" s="5"/>
      <c r="M1185" s="5"/>
      <c r="N1185" s="5"/>
      <c r="O1185" s="5"/>
    </row>
    <row r="1186" spans="1:15">
      <c r="A1186" s="121" t="s">
        <v>79</v>
      </c>
      <c r="B1186" s="126" t="s">
        <v>47</v>
      </c>
      <c r="C1186" s="32" t="e">
        <f>#REF!</f>
        <v>#REF!</v>
      </c>
      <c r="D1186" s="31"/>
      <c r="E1186" s="32" t="e">
        <f>+#REF!</f>
        <v>#REF!</v>
      </c>
      <c r="F1186" s="32"/>
      <c r="G1186" s="32"/>
      <c r="H1186" s="55" t="e">
        <f>+#REF!</f>
        <v>#REF!</v>
      </c>
      <c r="I1186" s="32" t="e">
        <f>+#REF!</f>
        <v>#REF!</v>
      </c>
      <c r="J1186" s="30" t="e">
        <f t="shared" ref="J1186:J1187" si="659">+SUM(C1186:G1186)-(H1186+I1186)</f>
        <v>#REF!</v>
      </c>
      <c r="K1186" s="143" t="e">
        <f>J1186=#REF!</f>
        <v>#REF!</v>
      </c>
      <c r="L1186" s="5"/>
      <c r="M1186" s="5"/>
      <c r="N1186" s="5"/>
      <c r="O1186" s="5"/>
    </row>
    <row r="1187" spans="1:15">
      <c r="A1187" s="121" t="str">
        <f>+A1186</f>
        <v>SEPTEMBRE</v>
      </c>
      <c r="B1187" s="126" t="s">
        <v>31</v>
      </c>
      <c r="C1187" s="32" t="e">
        <f>#REF!</f>
        <v>#REF!</v>
      </c>
      <c r="D1187" s="31"/>
      <c r="E1187" s="32" t="e">
        <f>+#REF!</f>
        <v>#REF!</v>
      </c>
      <c r="F1187" s="32"/>
      <c r="G1187" s="32"/>
      <c r="H1187" s="55" t="e">
        <f>+#REF!</f>
        <v>#REF!</v>
      </c>
      <c r="I1187" s="32" t="e">
        <f>+#REF!</f>
        <v>#REF!</v>
      </c>
      <c r="J1187" s="100" t="e">
        <f t="shared" si="659"/>
        <v>#REF!</v>
      </c>
      <c r="K1187" s="143" t="e">
        <f>J1187=#REF!</f>
        <v>#REF!</v>
      </c>
      <c r="L1187" s="5"/>
      <c r="M1187" s="5"/>
      <c r="N1187" s="5"/>
      <c r="O1187" s="5"/>
    </row>
    <row r="1188" spans="1:15">
      <c r="A1188" s="121" t="str">
        <f t="shared" ref="A1188:A1195" si="660">+A1187</f>
        <v>SEPTEMBRE</v>
      </c>
      <c r="B1188" s="127" t="s">
        <v>144</v>
      </c>
      <c r="C1188" s="32" t="e">
        <f>#REF!</f>
        <v>#REF!</v>
      </c>
      <c r="D1188" s="118"/>
      <c r="E1188" s="32" t="e">
        <f>#REF!</f>
        <v>#REF!</v>
      </c>
      <c r="F1188" s="51"/>
      <c r="G1188" s="51"/>
      <c r="H1188" s="55" t="e">
        <f>+#REF!</f>
        <v>#REF!</v>
      </c>
      <c r="I1188" s="32" t="e">
        <f>+#REF!</f>
        <v>#REF!</v>
      </c>
      <c r="J1188" s="123" t="e">
        <f>+SUM(C1188:G1188)-(H1188+I1188)</f>
        <v>#REF!</v>
      </c>
      <c r="K1188" s="143" t="e">
        <f>J1188=#REF!</f>
        <v>#REF!</v>
      </c>
      <c r="L1188" s="5"/>
      <c r="M1188" s="5"/>
      <c r="N1188" s="5"/>
      <c r="O1188" s="5"/>
    </row>
    <row r="1189" spans="1:15">
      <c r="A1189" s="121" t="str">
        <f t="shared" si="660"/>
        <v>SEPTEMBRE</v>
      </c>
      <c r="B1189" s="128" t="s">
        <v>84</v>
      </c>
      <c r="C1189" s="119" t="e">
        <f>#REF!</f>
        <v>#REF!</v>
      </c>
      <c r="D1189" s="122"/>
      <c r="E1189" s="119" t="e">
        <f>+#REF!</f>
        <v>#REF!</v>
      </c>
      <c r="F1189" s="136"/>
      <c r="G1189" s="136"/>
      <c r="H1189" s="154" t="e">
        <f>+#REF!</f>
        <v>#REF!</v>
      </c>
      <c r="I1189" s="119" t="e">
        <f>+#REF!</f>
        <v>#REF!</v>
      </c>
      <c r="J1189" s="120" t="e">
        <f>+SUM(C1189:G1189)-(H1189+I1189)</f>
        <v>#REF!</v>
      </c>
      <c r="K1189" s="143" t="e">
        <f>J1189=#REF!</f>
        <v>#REF!</v>
      </c>
      <c r="L1189" s="5"/>
      <c r="M1189" s="5"/>
      <c r="N1189" s="5"/>
      <c r="O1189" s="5"/>
    </row>
    <row r="1190" spans="1:15">
      <c r="A1190" s="121" t="str">
        <f t="shared" si="660"/>
        <v>SEPTEMBRE</v>
      </c>
      <c r="B1190" s="128" t="s">
        <v>83</v>
      </c>
      <c r="C1190" s="119" t="e">
        <f>#REF!</f>
        <v>#REF!</v>
      </c>
      <c r="D1190" s="122"/>
      <c r="E1190" s="119" t="e">
        <f>+#REF!</f>
        <v>#REF!</v>
      </c>
      <c r="F1190" s="136"/>
      <c r="G1190" s="136"/>
      <c r="H1190" s="154" t="e">
        <f>+#REF!</f>
        <v>#REF!</v>
      </c>
      <c r="I1190" s="119" t="e">
        <f>+#REF!</f>
        <v>#REF!</v>
      </c>
      <c r="J1190" s="120" t="e">
        <f t="shared" ref="J1190:J1195" si="661">+SUM(C1190:G1190)-(H1190+I1190)</f>
        <v>#REF!</v>
      </c>
      <c r="K1190" s="143" t="e">
        <f>J1190=#REF!</f>
        <v>#REF!</v>
      </c>
      <c r="L1190" s="5"/>
      <c r="M1190" s="5"/>
      <c r="N1190" s="5"/>
      <c r="O1190" s="5"/>
    </row>
    <row r="1191" spans="1:15">
      <c r="A1191" s="121" t="str">
        <f t="shared" si="660"/>
        <v>SEPTEMBRE</v>
      </c>
      <c r="B1191" s="126" t="s">
        <v>143</v>
      </c>
      <c r="C1191" s="32" t="e">
        <f>#REF!</f>
        <v>#REF!</v>
      </c>
      <c r="D1191" s="31"/>
      <c r="E1191" s="32" t="e">
        <f>+#REF!</f>
        <v>#REF!</v>
      </c>
      <c r="F1191" s="32"/>
      <c r="G1191" s="103"/>
      <c r="H1191" s="55" t="e">
        <f>+#REF!</f>
        <v>#REF!</v>
      </c>
      <c r="I1191" s="32" t="e">
        <f>+#REF!</f>
        <v>#REF!</v>
      </c>
      <c r="J1191" s="30" t="e">
        <f t="shared" si="661"/>
        <v>#REF!</v>
      </c>
      <c r="K1191" s="143" t="e">
        <f>J1191=#REF!</f>
        <v>#REF!</v>
      </c>
      <c r="L1191" s="5"/>
      <c r="M1191" s="5"/>
      <c r="N1191" s="5"/>
      <c r="O1191" s="5"/>
    </row>
    <row r="1192" spans="1:15">
      <c r="A1192" s="121" t="str">
        <f t="shared" si="660"/>
        <v>SEPTEMBRE</v>
      </c>
      <c r="B1192" s="126" t="s">
        <v>30</v>
      </c>
      <c r="C1192" s="32" t="e">
        <f>#REF!</f>
        <v>#REF!</v>
      </c>
      <c r="D1192" s="31"/>
      <c r="E1192" s="32" t="e">
        <f>+#REF!</f>
        <v>#REF!</v>
      </c>
      <c r="F1192" s="32"/>
      <c r="G1192" s="103"/>
      <c r="H1192" s="55" t="e">
        <f>+#REF!</f>
        <v>#REF!</v>
      </c>
      <c r="I1192" s="32" t="e">
        <f>+#REF!</f>
        <v>#REF!</v>
      </c>
      <c r="J1192" s="30" t="e">
        <f t="shared" si="661"/>
        <v>#REF!</v>
      </c>
      <c r="K1192" s="143" t="e">
        <f>J1192=#REF!</f>
        <v>#REF!</v>
      </c>
      <c r="L1192" s="5"/>
      <c r="M1192" s="5"/>
      <c r="N1192" s="5"/>
      <c r="O1192" s="5"/>
    </row>
    <row r="1193" spans="1:15">
      <c r="A1193" s="121" t="str">
        <f t="shared" si="660"/>
        <v>SEPTEMBRE</v>
      </c>
      <c r="B1193" s="126" t="s">
        <v>93</v>
      </c>
      <c r="C1193" s="32" t="e">
        <f>#REF!</f>
        <v>#REF!</v>
      </c>
      <c r="D1193" s="31"/>
      <c r="E1193" s="32" t="e">
        <f>+#REF!</f>
        <v>#REF!</v>
      </c>
      <c r="F1193" s="32"/>
      <c r="G1193" s="103"/>
      <c r="H1193" s="55" t="e">
        <f>+#REF!</f>
        <v>#REF!</v>
      </c>
      <c r="I1193" s="32" t="e">
        <f>+#REF!</f>
        <v>#REF!</v>
      </c>
      <c r="J1193" s="30" t="e">
        <f t="shared" si="661"/>
        <v>#REF!</v>
      </c>
      <c r="K1193" s="143" t="e">
        <f>J1193=#REF!</f>
        <v>#REF!</v>
      </c>
      <c r="L1193" s="5"/>
      <c r="M1193" s="5"/>
      <c r="N1193" s="5"/>
      <c r="O1193" s="5"/>
    </row>
    <row r="1194" spans="1:15">
      <c r="A1194" s="121" t="str">
        <f t="shared" si="660"/>
        <v>SEPTEMBRE</v>
      </c>
      <c r="B1194" s="126" t="s">
        <v>147</v>
      </c>
      <c r="C1194" s="32" t="e">
        <f>#REF!</f>
        <v>#REF!</v>
      </c>
      <c r="D1194" s="31"/>
      <c r="E1194" s="32" t="e">
        <f>+#REF!</f>
        <v>#REF!</v>
      </c>
      <c r="F1194" s="32"/>
      <c r="G1194" s="103"/>
      <c r="H1194" s="55" t="e">
        <f>+#REF!</f>
        <v>#REF!</v>
      </c>
      <c r="I1194" s="32" t="e">
        <f>+#REF!</f>
        <v>#REF!</v>
      </c>
      <c r="J1194" s="30" t="e">
        <f t="shared" si="661"/>
        <v>#REF!</v>
      </c>
      <c r="K1194" s="143" t="e">
        <f>J1194=#REF!</f>
        <v>#REF!</v>
      </c>
      <c r="L1194" s="5"/>
      <c r="M1194" s="5"/>
      <c r="N1194" s="5"/>
      <c r="O1194" s="5"/>
    </row>
    <row r="1195" spans="1:15">
      <c r="A1195" s="121" t="str">
        <f t="shared" si="660"/>
        <v>SEPTEMBRE</v>
      </c>
      <c r="B1195" s="127" t="s">
        <v>113</v>
      </c>
      <c r="C1195" s="32" t="e">
        <f>#REF!</f>
        <v>#REF!</v>
      </c>
      <c r="D1195" s="118"/>
      <c r="E1195" s="32" t="e">
        <f>+#REF!</f>
        <v>#REF!</v>
      </c>
      <c r="F1195" s="51"/>
      <c r="G1195" s="137"/>
      <c r="H1195" s="55" t="e">
        <f>+#REF!</f>
        <v>#REF!</v>
      </c>
      <c r="I1195" s="32" t="e">
        <f>+#REF!</f>
        <v>#REF!</v>
      </c>
      <c r="J1195" s="30" t="e">
        <f t="shared" si="661"/>
        <v>#REF!</v>
      </c>
      <c r="K1195" s="143" t="e">
        <f>J1195=#REF!</f>
        <v>#REF!</v>
      </c>
      <c r="L1195" s="5"/>
      <c r="M1195" s="5"/>
      <c r="N1195" s="5"/>
      <c r="O1195" s="5"/>
    </row>
    <row r="1196" spans="1:15">
      <c r="A1196" s="34" t="s">
        <v>60</v>
      </c>
      <c r="B1196" s="35"/>
      <c r="C1196" s="35"/>
      <c r="D1196" s="35"/>
      <c r="E1196" s="35"/>
      <c r="F1196" s="35"/>
      <c r="G1196" s="35"/>
      <c r="H1196" s="35"/>
      <c r="I1196" s="35"/>
      <c r="J1196" s="36"/>
      <c r="K1196" s="142"/>
      <c r="L1196" s="5"/>
      <c r="M1196" s="5"/>
      <c r="N1196" s="5"/>
      <c r="O1196" s="5"/>
    </row>
    <row r="1197" spans="1:15">
      <c r="A1197" s="121" t="str">
        <f>+A1195</f>
        <v>SEPTEMBRE</v>
      </c>
      <c r="B1197" s="37" t="s">
        <v>61</v>
      </c>
      <c r="C1197" s="38" t="e">
        <f>#REF!</f>
        <v>#REF!</v>
      </c>
      <c r="D1197" s="49"/>
      <c r="E1197" s="49" t="e">
        <f>#REF!</f>
        <v>#REF!</v>
      </c>
      <c r="F1197" s="49"/>
      <c r="G1197" s="124"/>
      <c r="H1197" s="51" t="e">
        <f>+#REF!</f>
        <v>#REF!</v>
      </c>
      <c r="I1197" s="125" t="e">
        <f>+#REF!</f>
        <v>#REF!</v>
      </c>
      <c r="J1197" s="30" t="e">
        <f>+SUM(C1197:G1197)-(H1197+I1197)</f>
        <v>#REF!</v>
      </c>
      <c r="K1197" s="143" t="e">
        <f>J1197=#REF!</f>
        <v>#REF!</v>
      </c>
      <c r="L1197" s="5"/>
      <c r="M1197" s="5"/>
      <c r="N1197" s="5"/>
      <c r="O1197" s="5"/>
    </row>
    <row r="1198" spans="1:15">
      <c r="A1198" s="43" t="s">
        <v>62</v>
      </c>
      <c r="B1198" s="24"/>
      <c r="C1198" s="35"/>
      <c r="D1198" s="24"/>
      <c r="E1198" s="24"/>
      <c r="F1198" s="24"/>
      <c r="G1198" s="24"/>
      <c r="H1198" s="24"/>
      <c r="I1198" s="24"/>
      <c r="J1198" s="36"/>
      <c r="K1198" s="142"/>
      <c r="L1198" s="5"/>
      <c r="M1198" s="5"/>
      <c r="N1198" s="5"/>
      <c r="O1198" s="5"/>
    </row>
    <row r="1199" spans="1:15">
      <c r="A1199" s="121" t="str">
        <f>+A1197</f>
        <v>SEPTEMBRE</v>
      </c>
      <c r="B1199" s="37" t="s">
        <v>63</v>
      </c>
      <c r="C1199" s="124" t="e">
        <f>#REF!</f>
        <v>#REF!</v>
      </c>
      <c r="D1199" s="131"/>
      <c r="E1199" s="49"/>
      <c r="F1199" s="49"/>
      <c r="G1199" s="49"/>
      <c r="H1199" s="51" t="e">
        <f>+#REF!</f>
        <v>#REF!</v>
      </c>
      <c r="I1199" s="53" t="e">
        <f>+#REF!</f>
        <v>#REF!</v>
      </c>
      <c r="J1199" s="30" t="e">
        <f>+SUM(C1199:G1199)-(H1199+I1199)</f>
        <v>#REF!</v>
      </c>
      <c r="K1199" s="143" t="e">
        <f>+J1199=#REF!</f>
        <v>#REF!</v>
      </c>
      <c r="L1199" s="5"/>
      <c r="M1199" s="5"/>
      <c r="N1199" s="5"/>
      <c r="O1199" s="5"/>
    </row>
    <row r="1200" spans="1:15">
      <c r="A1200" s="121" t="str">
        <f t="shared" ref="A1200" si="662">+A1199</f>
        <v>SEPTEMBRE</v>
      </c>
      <c r="B1200" s="37" t="s">
        <v>64</v>
      </c>
      <c r="C1200" s="124" t="e">
        <f>#REF!</f>
        <v>#REF!</v>
      </c>
      <c r="D1200" s="49"/>
      <c r="E1200" s="48"/>
      <c r="F1200" s="48"/>
      <c r="G1200" s="48"/>
      <c r="H1200" s="32" t="e">
        <f>+#REF!</f>
        <v>#REF!</v>
      </c>
      <c r="I1200" s="50" t="e">
        <f>+#REF!</f>
        <v>#REF!</v>
      </c>
      <c r="J1200" s="30" t="e">
        <f>SUM(C1200:G1200)-(H1200+I1200)</f>
        <v>#REF!</v>
      </c>
      <c r="K1200" s="143" t="e">
        <f>+J1200=#REF!</f>
        <v>#REF!</v>
      </c>
      <c r="L1200" s="5"/>
      <c r="M1200" s="5"/>
      <c r="N1200" s="5"/>
      <c r="O1200" s="5"/>
    </row>
    <row r="1201" spans="1:15" ht="15.75">
      <c r="C1201" s="140" t="e">
        <f>SUM(C1186:C1200)</f>
        <v>#REF!</v>
      </c>
      <c r="I1201" s="139" t="e">
        <f>SUM(I1186:I1200)</f>
        <v>#REF!</v>
      </c>
      <c r="J1201" s="104" t="e">
        <f>+SUM(J1186:J1200)</f>
        <v>#REF!</v>
      </c>
      <c r="K1201" s="5" t="e">
        <f>J1201=#REF!</f>
        <v>#REF!</v>
      </c>
      <c r="L1201" s="5"/>
      <c r="M1201" s="5"/>
      <c r="N1201" s="5"/>
      <c r="O1201" s="5"/>
    </row>
    <row r="1202" spans="1:15">
      <c r="G1202" s="9"/>
      <c r="L1202" s="5"/>
      <c r="M1202" s="5"/>
      <c r="N1202" s="5"/>
      <c r="O1202" s="5"/>
    </row>
    <row r="1203" spans="1:15">
      <c r="A1203" s="16" t="s">
        <v>52</v>
      </c>
      <c r="B1203" s="16"/>
      <c r="C1203" s="16"/>
      <c r="D1203" s="17"/>
      <c r="E1203" s="17"/>
      <c r="F1203" s="17"/>
      <c r="G1203" s="17"/>
      <c r="H1203" s="17"/>
      <c r="I1203" s="17"/>
      <c r="L1203" s="5"/>
      <c r="M1203" s="5"/>
      <c r="N1203" s="5"/>
      <c r="O1203" s="5"/>
    </row>
    <row r="1204" spans="1:15">
      <c r="A1204" s="18" t="s">
        <v>141</v>
      </c>
      <c r="B1204" s="18"/>
      <c r="C1204" s="18"/>
      <c r="D1204" s="18"/>
      <c r="E1204" s="18"/>
      <c r="F1204" s="18"/>
      <c r="G1204" s="18"/>
      <c r="H1204" s="18"/>
      <c r="I1204" s="18"/>
      <c r="J1204" s="17"/>
      <c r="L1204" s="5"/>
      <c r="M1204" s="5"/>
      <c r="N1204" s="5"/>
      <c r="O1204" s="5"/>
    </row>
    <row r="1205" spans="1:15">
      <c r="A1205" s="19"/>
      <c r="B1205" s="17"/>
      <c r="C1205" s="20"/>
      <c r="D1205" s="20"/>
      <c r="E1205" s="20"/>
      <c r="F1205" s="20"/>
      <c r="G1205" s="20"/>
      <c r="H1205" s="17"/>
      <c r="I1205" s="17"/>
      <c r="J1205" s="18"/>
      <c r="L1205" s="5"/>
      <c r="M1205" s="5"/>
      <c r="N1205" s="5"/>
      <c r="O1205" s="5"/>
    </row>
    <row r="1206" spans="1:15">
      <c r="A1206" s="166" t="s">
        <v>53</v>
      </c>
      <c r="B1206" s="168" t="s">
        <v>54</v>
      </c>
      <c r="C1206" s="170" t="s">
        <v>140</v>
      </c>
      <c r="D1206" s="171" t="s">
        <v>55</v>
      </c>
      <c r="E1206" s="172"/>
      <c r="F1206" s="172"/>
      <c r="G1206" s="173"/>
      <c r="H1206" s="174" t="s">
        <v>56</v>
      </c>
      <c r="I1206" s="162" t="s">
        <v>57</v>
      </c>
      <c r="J1206" s="17"/>
      <c r="L1206" s="5"/>
      <c r="M1206" s="5"/>
      <c r="N1206" s="5"/>
      <c r="O1206" s="5"/>
    </row>
    <row r="1207" spans="1:15" ht="25.5">
      <c r="A1207" s="167"/>
      <c r="B1207" s="169"/>
      <c r="C1207" s="22"/>
      <c r="D1207" s="21" t="s">
        <v>24</v>
      </c>
      <c r="E1207" s="21" t="s">
        <v>25</v>
      </c>
      <c r="F1207" s="22" t="s">
        <v>123</v>
      </c>
      <c r="G1207" s="21" t="s">
        <v>58</v>
      </c>
      <c r="H1207" s="175"/>
      <c r="I1207" s="163"/>
      <c r="J1207" s="164" t="s">
        <v>142</v>
      </c>
      <c r="K1207" s="142"/>
      <c r="L1207" s="5"/>
      <c r="M1207" s="5"/>
      <c r="N1207" s="5"/>
      <c r="O1207" s="5"/>
    </row>
    <row r="1208" spans="1:15">
      <c r="A1208" s="23"/>
      <c r="B1208" s="24" t="s">
        <v>59</v>
      </c>
      <c r="C1208" s="25"/>
      <c r="D1208" s="25"/>
      <c r="E1208" s="25"/>
      <c r="F1208" s="25"/>
      <c r="G1208" s="25"/>
      <c r="H1208" s="25"/>
      <c r="I1208" s="26"/>
      <c r="J1208" s="165"/>
      <c r="K1208" s="142"/>
      <c r="L1208" s="5"/>
      <c r="M1208" s="5"/>
      <c r="N1208" s="5"/>
      <c r="O1208" s="5"/>
    </row>
    <row r="1209" spans="1:15">
      <c r="A1209" s="121" t="s">
        <v>139</v>
      </c>
      <c r="B1209" s="126" t="s">
        <v>47</v>
      </c>
      <c r="C1209" s="32" t="e">
        <f>#REF!</f>
        <v>#REF!</v>
      </c>
      <c r="D1209" s="31"/>
      <c r="E1209" s="32" t="e">
        <f>+#REF!</f>
        <v>#REF!</v>
      </c>
      <c r="F1209" s="32"/>
      <c r="G1209" s="32"/>
      <c r="H1209" s="55" t="e">
        <f>+#REF!</f>
        <v>#REF!</v>
      </c>
      <c r="I1209" s="32" t="e">
        <f>+#REF!</f>
        <v>#REF!</v>
      </c>
      <c r="J1209" s="30" t="e">
        <f t="shared" ref="J1209:J1210" si="663">+SUM(C1209:G1209)-(H1209+I1209)</f>
        <v>#REF!</v>
      </c>
      <c r="K1209" s="143" t="e">
        <f>J1209=#REF!</f>
        <v>#REF!</v>
      </c>
      <c r="L1209" s="5"/>
      <c r="M1209" s="5"/>
      <c r="N1209" s="5"/>
      <c r="O1209" s="5"/>
    </row>
    <row r="1210" spans="1:15">
      <c r="A1210" s="121" t="s">
        <v>139</v>
      </c>
      <c r="B1210" s="126" t="s">
        <v>31</v>
      </c>
      <c r="C1210" s="32" t="e">
        <f>#REF!</f>
        <v>#REF!</v>
      </c>
      <c r="D1210" s="31"/>
      <c r="E1210" s="32" t="e">
        <f>+#REF!</f>
        <v>#REF!</v>
      </c>
      <c r="F1210" s="32"/>
      <c r="G1210" s="32"/>
      <c r="H1210" s="55" t="e">
        <f>+#REF!</f>
        <v>#REF!</v>
      </c>
      <c r="I1210" s="32" t="e">
        <f>+#REF!</f>
        <v>#REF!</v>
      </c>
      <c r="J1210" s="100" t="e">
        <f t="shared" si="663"/>
        <v>#REF!</v>
      </c>
      <c r="K1210" s="143" t="e">
        <f>J1210=#REF!</f>
        <v>#REF!</v>
      </c>
      <c r="L1210" s="5"/>
      <c r="M1210" s="5"/>
      <c r="N1210" s="5"/>
      <c r="O1210" s="5"/>
    </row>
    <row r="1211" spans="1:15">
      <c r="A1211" s="121" t="s">
        <v>139</v>
      </c>
      <c r="B1211" s="127" t="s">
        <v>144</v>
      </c>
      <c r="C1211" s="32" t="e">
        <f>#REF!</f>
        <v>#REF!</v>
      </c>
      <c r="D1211" s="118"/>
      <c r="E1211" s="32">
        <v>30000</v>
      </c>
      <c r="F1211" s="51">
        <v>240000</v>
      </c>
      <c r="G1211" s="51"/>
      <c r="H1211" s="55" t="e">
        <f>+#REF!</f>
        <v>#REF!</v>
      </c>
      <c r="I1211" s="32" t="e">
        <f>+#REF!</f>
        <v>#REF!</v>
      </c>
      <c r="J1211" s="123" t="e">
        <f>+SUM(C1211:G1211)-(H1211+I1211)</f>
        <v>#REF!</v>
      </c>
      <c r="K1211" s="143" t="e">
        <f>J1211=#REF!</f>
        <v>#REF!</v>
      </c>
      <c r="L1211" s="5"/>
      <c r="M1211" s="5"/>
      <c r="N1211" s="5"/>
      <c r="O1211" s="5"/>
    </row>
    <row r="1212" spans="1:15">
      <c r="A1212" s="121" t="s">
        <v>139</v>
      </c>
      <c r="B1212" s="128" t="s">
        <v>84</v>
      </c>
      <c r="C1212" s="119" t="e">
        <f>#REF!</f>
        <v>#REF!</v>
      </c>
      <c r="D1212" s="122"/>
      <c r="E1212" s="119" t="e">
        <f>+#REF!</f>
        <v>#REF!</v>
      </c>
      <c r="F1212" s="136"/>
      <c r="G1212" s="136"/>
      <c r="H1212" s="154" t="e">
        <f>+#REF!</f>
        <v>#REF!</v>
      </c>
      <c r="I1212" s="119" t="e">
        <f>+#REF!</f>
        <v>#REF!</v>
      </c>
      <c r="J1212" s="120" t="e">
        <f>+SUM(C1212:G1212)-(H1212+I1212)</f>
        <v>#REF!</v>
      </c>
      <c r="K1212" s="143" t="e">
        <f>J1212=#REF!</f>
        <v>#REF!</v>
      </c>
      <c r="L1212" s="5"/>
      <c r="M1212" s="5"/>
      <c r="N1212" s="5"/>
      <c r="O1212" s="5"/>
    </row>
    <row r="1213" spans="1:15">
      <c r="A1213" s="121" t="s">
        <v>139</v>
      </c>
      <c r="B1213" s="128" t="s">
        <v>83</v>
      </c>
      <c r="C1213" s="119" t="e">
        <f>#REF!</f>
        <v>#REF!</v>
      </c>
      <c r="D1213" s="122"/>
      <c r="E1213" s="119" t="e">
        <f>+#REF!</f>
        <v>#REF!</v>
      </c>
      <c r="F1213" s="136"/>
      <c r="G1213" s="136"/>
      <c r="H1213" s="154" t="e">
        <f>+#REF!</f>
        <v>#REF!</v>
      </c>
      <c r="I1213" s="119" t="e">
        <f>+#REF!</f>
        <v>#REF!</v>
      </c>
      <c r="J1213" s="120" t="e">
        <f t="shared" ref="J1213:J1219" si="664">+SUM(C1213:G1213)-(H1213+I1213)</f>
        <v>#REF!</v>
      </c>
      <c r="K1213" s="143" t="e">
        <f>J1213=#REF!</f>
        <v>#REF!</v>
      </c>
      <c r="L1213" s="5"/>
      <c r="M1213" s="5"/>
      <c r="N1213" s="5"/>
      <c r="O1213" s="5"/>
    </row>
    <row r="1214" spans="1:15">
      <c r="A1214" s="121" t="s">
        <v>139</v>
      </c>
      <c r="B1214" s="126" t="s">
        <v>143</v>
      </c>
      <c r="C1214" s="32" t="e">
        <f>#REF!</f>
        <v>#REF!</v>
      </c>
      <c r="D1214" s="31"/>
      <c r="E1214" s="32" t="e">
        <f>+#REF!</f>
        <v>#REF!</v>
      </c>
      <c r="F1214" s="32"/>
      <c r="G1214" s="103"/>
      <c r="H1214" s="55" t="e">
        <f>+#REF!</f>
        <v>#REF!</v>
      </c>
      <c r="I1214" s="32" t="e">
        <f>+#REF!</f>
        <v>#REF!</v>
      </c>
      <c r="J1214" s="30" t="e">
        <f t="shared" si="664"/>
        <v>#REF!</v>
      </c>
      <c r="K1214" s="143" t="e">
        <f>J1214=#REF!</f>
        <v>#REF!</v>
      </c>
      <c r="L1214" s="5"/>
      <c r="M1214" s="5"/>
      <c r="N1214" s="5"/>
      <c r="O1214" s="5"/>
    </row>
    <row r="1215" spans="1:15">
      <c r="A1215" s="121" t="s">
        <v>139</v>
      </c>
      <c r="B1215" s="126" t="s">
        <v>30</v>
      </c>
      <c r="C1215" s="32" t="e">
        <f>#REF!</f>
        <v>#REF!</v>
      </c>
      <c r="D1215" s="31"/>
      <c r="E1215" s="32" t="e">
        <f>+#REF!</f>
        <v>#REF!</v>
      </c>
      <c r="F1215" s="32"/>
      <c r="G1215" s="103"/>
      <c r="H1215" s="55" t="e">
        <f>+#REF!</f>
        <v>#REF!</v>
      </c>
      <c r="I1215" s="32" t="e">
        <f>+#REF!</f>
        <v>#REF!</v>
      </c>
      <c r="J1215" s="30" t="e">
        <f t="shared" si="664"/>
        <v>#REF!</v>
      </c>
      <c r="K1215" s="143" t="e">
        <f>J1215=#REF!</f>
        <v>#REF!</v>
      </c>
      <c r="L1215" s="5"/>
      <c r="M1215" s="5"/>
      <c r="N1215" s="5"/>
      <c r="O1215" s="5"/>
    </row>
    <row r="1216" spans="1:15">
      <c r="A1216" s="121" t="s">
        <v>139</v>
      </c>
      <c r="B1216" s="126" t="s">
        <v>35</v>
      </c>
      <c r="C1216" s="32" t="e">
        <f>#REF!</f>
        <v>#REF!</v>
      </c>
      <c r="D1216" s="31"/>
      <c r="E1216" s="32">
        <v>15000</v>
      </c>
      <c r="F1216" s="32">
        <v>496625</v>
      </c>
      <c r="G1216" s="103"/>
      <c r="H1216" s="55" t="e">
        <f>+#REF!</f>
        <v>#REF!</v>
      </c>
      <c r="I1216" s="32" t="e">
        <f>+#REF!</f>
        <v>#REF!</v>
      </c>
      <c r="J1216" s="30" t="e">
        <f t="shared" si="664"/>
        <v>#REF!</v>
      </c>
      <c r="K1216" s="143" t="e">
        <f>J1216=#REF!</f>
        <v>#REF!</v>
      </c>
      <c r="L1216" s="5"/>
      <c r="M1216" s="5"/>
      <c r="N1216" s="5"/>
      <c r="O1216" s="5"/>
    </row>
    <row r="1217" spans="1:15">
      <c r="A1217" s="121" t="s">
        <v>139</v>
      </c>
      <c r="B1217" s="126" t="s">
        <v>93</v>
      </c>
      <c r="C1217" s="32" t="e">
        <f>#REF!</f>
        <v>#REF!</v>
      </c>
      <c r="D1217" s="31"/>
      <c r="E1217" s="32" t="e">
        <f>+#REF!</f>
        <v>#REF!</v>
      </c>
      <c r="F1217" s="32"/>
      <c r="G1217" s="103"/>
      <c r="H1217" s="55" t="e">
        <f>+#REF!</f>
        <v>#REF!</v>
      </c>
      <c r="I1217" s="32" t="e">
        <f>+#REF!</f>
        <v>#REF!</v>
      </c>
      <c r="J1217" s="30" t="e">
        <f t="shared" si="664"/>
        <v>#REF!</v>
      </c>
      <c r="K1217" s="143" t="e">
        <f>J1217=#REF!</f>
        <v>#REF!</v>
      </c>
      <c r="L1217" s="5"/>
      <c r="M1217" s="5"/>
      <c r="N1217" s="5"/>
      <c r="O1217" s="5"/>
    </row>
    <row r="1218" spans="1:15">
      <c r="A1218" s="121" t="s">
        <v>139</v>
      </c>
      <c r="B1218" s="126" t="s">
        <v>29</v>
      </c>
      <c r="C1218" s="32" t="e">
        <f>#REF!</f>
        <v>#REF!</v>
      </c>
      <c r="D1218" s="31"/>
      <c r="E1218" s="32" t="e">
        <f>+#REF!</f>
        <v>#REF!</v>
      </c>
      <c r="F1218" s="32"/>
      <c r="G1218" s="103"/>
      <c r="H1218" s="55" t="e">
        <f>+#REF!</f>
        <v>#REF!</v>
      </c>
      <c r="I1218" s="32" t="e">
        <f>+#REF!</f>
        <v>#REF!</v>
      </c>
      <c r="J1218" s="30" t="e">
        <f t="shared" ref="J1218" si="665">+SUM(C1218:G1218)-(H1218+I1218)</f>
        <v>#REF!</v>
      </c>
      <c r="K1218" s="143" t="e">
        <f>J1218=#REF!</f>
        <v>#REF!</v>
      </c>
      <c r="L1218" s="5"/>
      <c r="M1218" s="5"/>
      <c r="N1218" s="5"/>
      <c r="O1218" s="5"/>
    </row>
    <row r="1219" spans="1:15">
      <c r="A1219" s="121" t="s">
        <v>139</v>
      </c>
      <c r="B1219" s="127" t="s">
        <v>113</v>
      </c>
      <c r="C1219" s="32" t="e">
        <f>#REF!</f>
        <v>#REF!</v>
      </c>
      <c r="D1219" s="118"/>
      <c r="E1219" s="32" t="e">
        <f>+#REF!</f>
        <v>#REF!</v>
      </c>
      <c r="F1219" s="51"/>
      <c r="G1219" s="137"/>
      <c r="H1219" s="55" t="e">
        <f>+#REF!</f>
        <v>#REF!</v>
      </c>
      <c r="I1219" s="32" t="e">
        <f>+#REF!</f>
        <v>#REF!</v>
      </c>
      <c r="J1219" s="30" t="e">
        <f t="shared" si="664"/>
        <v>#REF!</v>
      </c>
      <c r="K1219" s="143" t="e">
        <f>J1219=#REF!</f>
        <v>#REF!</v>
      </c>
      <c r="L1219" s="5"/>
      <c r="M1219" s="5"/>
      <c r="N1219" s="5"/>
      <c r="O1219" s="5"/>
    </row>
    <row r="1220" spans="1:15">
      <c r="A1220" s="34" t="s">
        <v>60</v>
      </c>
      <c r="B1220" s="35"/>
      <c r="C1220" s="35"/>
      <c r="D1220" s="35"/>
      <c r="E1220" s="35"/>
      <c r="F1220" s="35"/>
      <c r="G1220" s="35"/>
      <c r="H1220" s="35"/>
      <c r="I1220" s="35"/>
      <c r="J1220" s="36"/>
      <c r="K1220" s="142"/>
      <c r="L1220" s="5"/>
      <c r="M1220" s="5"/>
      <c r="N1220" s="5"/>
      <c r="O1220" s="5"/>
    </row>
    <row r="1221" spans="1:15">
      <c r="A1221" s="121" t="s">
        <v>139</v>
      </c>
      <c r="B1221" s="37" t="s">
        <v>61</v>
      </c>
      <c r="C1221" s="38" t="e">
        <f>#REF!</f>
        <v>#REF!</v>
      </c>
      <c r="D1221" s="49">
        <v>4000000</v>
      </c>
      <c r="E1221" s="102"/>
      <c r="F1221" s="49"/>
      <c r="G1221" s="124">
        <v>15000</v>
      </c>
      <c r="H1221" s="51" t="e">
        <f>+#REF!</f>
        <v>#REF!</v>
      </c>
      <c r="I1221" s="125" t="e">
        <f>+#REF!</f>
        <v>#REF!</v>
      </c>
      <c r="J1221" s="30" t="e">
        <f>+SUM(C1221:G1221)-(H1221+I1221)</f>
        <v>#REF!</v>
      </c>
      <c r="K1221" s="143" t="e">
        <f>J1221=#REF!</f>
        <v>#REF!</v>
      </c>
      <c r="L1221" s="5"/>
      <c r="M1221" s="5"/>
      <c r="N1221" s="5"/>
      <c r="O1221" s="5"/>
    </row>
    <row r="1222" spans="1:15">
      <c r="A1222" s="43" t="s">
        <v>62</v>
      </c>
      <c r="B1222" s="24"/>
      <c r="C1222" s="35"/>
      <c r="D1222" s="24"/>
      <c r="E1222" s="24"/>
      <c r="F1222" s="24"/>
      <c r="G1222" s="24"/>
      <c r="H1222" s="24"/>
      <c r="I1222" s="24"/>
      <c r="J1222" s="36"/>
      <c r="K1222" s="142"/>
      <c r="L1222" s="5"/>
      <c r="M1222" s="5"/>
      <c r="N1222" s="5"/>
      <c r="O1222" s="5"/>
    </row>
    <row r="1223" spans="1:15">
      <c r="A1223" s="121" t="s">
        <v>139</v>
      </c>
      <c r="B1223" s="37" t="s">
        <v>63</v>
      </c>
      <c r="C1223" s="124" t="e">
        <f>#REF!</f>
        <v>#REF!</v>
      </c>
      <c r="D1223" s="131"/>
      <c r="E1223" s="49"/>
      <c r="F1223" s="49"/>
      <c r="G1223" s="49"/>
      <c r="H1223" s="51" t="e">
        <f>+#REF!</f>
        <v>#REF!</v>
      </c>
      <c r="I1223" s="53" t="e">
        <f>+#REF!</f>
        <v>#REF!</v>
      </c>
      <c r="J1223" s="30" t="e">
        <f>+SUM(C1223:G1223)-(H1223+I1223)</f>
        <v>#REF!</v>
      </c>
      <c r="K1223" s="143" t="e">
        <f>+J1223=#REF!</f>
        <v>#REF!</v>
      </c>
      <c r="L1223" s="5"/>
      <c r="M1223" s="5"/>
      <c r="N1223" s="5"/>
      <c r="O1223" s="5"/>
    </row>
    <row r="1224" spans="1:15">
      <c r="A1224" s="121" t="s">
        <v>139</v>
      </c>
      <c r="B1224" s="37" t="s">
        <v>64</v>
      </c>
      <c r="C1224" s="124" t="e">
        <f>#REF!</f>
        <v>#REF!</v>
      </c>
      <c r="D1224" s="49"/>
      <c r="E1224" s="48"/>
      <c r="F1224" s="48"/>
      <c r="G1224" s="48"/>
      <c r="H1224" s="32" t="e">
        <f>+#REF!</f>
        <v>#REF!</v>
      </c>
      <c r="I1224" s="50" t="e">
        <f>+#REF!</f>
        <v>#REF!</v>
      </c>
      <c r="J1224" s="30" t="e">
        <f>SUM(C1224:G1224)-(H1224+I1224)</f>
        <v>#REF!</v>
      </c>
      <c r="K1224" s="143" t="e">
        <f>+J1224=#REF!</f>
        <v>#REF!</v>
      </c>
    </row>
    <row r="1225" spans="1:15" ht="15.75">
      <c r="C1225" s="140" t="e">
        <f>SUM(C1209:C1224)</f>
        <v>#REF!</v>
      </c>
      <c r="I1225" s="139" t="e">
        <f>SUM(I1209:I1224)</f>
        <v>#REF!</v>
      </c>
      <c r="J1225" s="104" t="e">
        <f>+SUM(J1209:J1224)</f>
        <v>#REF!</v>
      </c>
      <c r="K1225" s="5" t="e">
        <f>J1225=#REF!</f>
        <v>#REF!</v>
      </c>
    </row>
    <row r="1226" spans="1:15" ht="16.5">
      <c r="A1226" s="14"/>
      <c r="B1226" s="15"/>
      <c r="C1226" s="152"/>
      <c r="D1226" s="152"/>
      <c r="E1226" s="151"/>
      <c r="F1226" s="152"/>
      <c r="G1226" s="152" t="e">
        <f>+#REF!-J1225</f>
        <v>#REF!</v>
      </c>
      <c r="H1226" s="152"/>
      <c r="I1226" s="152"/>
    </row>
    <row r="1227" spans="1:15">
      <c r="A1227" s="16" t="s">
        <v>52</v>
      </c>
      <c r="B1227" s="16"/>
      <c r="C1227" s="16"/>
      <c r="D1227" s="17"/>
      <c r="E1227" s="17"/>
      <c r="F1227" s="17"/>
      <c r="G1227" s="17"/>
      <c r="H1227" s="17"/>
      <c r="I1227" s="17"/>
    </row>
    <row r="1228" spans="1:15">
      <c r="A1228" s="18" t="s">
        <v>136</v>
      </c>
      <c r="B1228" s="18"/>
      <c r="C1228" s="18"/>
      <c r="D1228" s="18"/>
      <c r="E1228" s="18"/>
      <c r="F1228" s="18"/>
      <c r="G1228" s="18"/>
      <c r="H1228" s="18"/>
      <c r="I1228" s="18"/>
      <c r="J1228" s="17"/>
    </row>
    <row r="1229" spans="1:15">
      <c r="A1229" s="19"/>
      <c r="B1229" s="17"/>
      <c r="C1229" s="20"/>
      <c r="D1229" s="20"/>
      <c r="E1229" s="20"/>
      <c r="F1229" s="20"/>
      <c r="G1229" s="20"/>
      <c r="H1229" s="17"/>
      <c r="I1229" s="17"/>
      <c r="J1229" s="18"/>
    </row>
    <row r="1230" spans="1:15">
      <c r="A1230" s="166" t="s">
        <v>53</v>
      </c>
      <c r="B1230" s="168" t="s">
        <v>54</v>
      </c>
      <c r="C1230" s="170" t="s">
        <v>137</v>
      </c>
      <c r="D1230" s="171" t="s">
        <v>55</v>
      </c>
      <c r="E1230" s="172"/>
      <c r="F1230" s="172"/>
      <c r="G1230" s="173"/>
      <c r="H1230" s="174" t="s">
        <v>56</v>
      </c>
      <c r="I1230" s="162" t="s">
        <v>57</v>
      </c>
      <c r="J1230" s="17"/>
    </row>
    <row r="1231" spans="1:15" ht="25.5">
      <c r="A1231" s="167"/>
      <c r="B1231" s="169"/>
      <c r="C1231" s="22"/>
      <c r="D1231" s="21" t="s">
        <v>24</v>
      </c>
      <c r="E1231" s="21" t="s">
        <v>25</v>
      </c>
      <c r="F1231" s="22" t="s">
        <v>123</v>
      </c>
      <c r="G1231" s="21" t="s">
        <v>58</v>
      </c>
      <c r="H1231" s="175"/>
      <c r="I1231" s="163"/>
      <c r="J1231" s="164" t="s">
        <v>138</v>
      </c>
      <c r="K1231" s="142"/>
    </row>
    <row r="1232" spans="1:15">
      <c r="A1232" s="23"/>
      <c r="B1232" s="24" t="s">
        <v>59</v>
      </c>
      <c r="C1232" s="25"/>
      <c r="D1232" s="25"/>
      <c r="E1232" s="25"/>
      <c r="F1232" s="25"/>
      <c r="G1232" s="25"/>
      <c r="H1232" s="25"/>
      <c r="I1232" s="26"/>
      <c r="J1232" s="165"/>
      <c r="K1232" s="142"/>
    </row>
    <row r="1233" spans="1:11">
      <c r="A1233" s="121" t="s">
        <v>72</v>
      </c>
      <c r="B1233" s="126" t="s">
        <v>47</v>
      </c>
      <c r="C1233" s="32" t="e">
        <f>#REF!</f>
        <v>#REF!</v>
      </c>
      <c r="D1233" s="31"/>
      <c r="E1233" s="32">
        <v>970765</v>
      </c>
      <c r="F1233" s="32"/>
      <c r="G1233" s="32"/>
      <c r="H1233" s="55">
        <v>0</v>
      </c>
      <c r="I1233" s="32">
        <v>980165</v>
      </c>
      <c r="J1233" s="30" t="e">
        <f t="shared" ref="J1233:J1234" si="666">+SUM(C1233:G1233)-(H1233+I1233)</f>
        <v>#REF!</v>
      </c>
      <c r="K1233" s="143" t="e">
        <f>J1233=#REF!</f>
        <v>#REF!</v>
      </c>
    </row>
    <row r="1234" spans="1:11">
      <c r="A1234" s="121" t="s">
        <v>72</v>
      </c>
      <c r="B1234" s="126" t="s">
        <v>31</v>
      </c>
      <c r="C1234" s="32" t="e">
        <f>#REF!</f>
        <v>#REF!</v>
      </c>
      <c r="D1234" s="31"/>
      <c r="E1234" s="32">
        <v>58000</v>
      </c>
      <c r="F1234" s="32"/>
      <c r="G1234" s="32"/>
      <c r="H1234" s="32">
        <v>0</v>
      </c>
      <c r="I1234" s="32">
        <v>59500</v>
      </c>
      <c r="J1234" s="100" t="e">
        <f t="shared" si="666"/>
        <v>#REF!</v>
      </c>
      <c r="K1234" s="143" t="e">
        <f>J1234=#REF!</f>
        <v>#REF!</v>
      </c>
    </row>
    <row r="1235" spans="1:11">
      <c r="A1235" s="121" t="s">
        <v>72</v>
      </c>
      <c r="B1235" s="127" t="s">
        <v>30</v>
      </c>
      <c r="C1235" s="32" t="e">
        <f>#REF!</f>
        <v>#REF!</v>
      </c>
      <c r="D1235" s="118"/>
      <c r="E1235" s="51">
        <v>557150</v>
      </c>
      <c r="F1235" s="51"/>
      <c r="G1235" s="51"/>
      <c r="H1235" s="51">
        <v>0</v>
      </c>
      <c r="I1235" s="51">
        <v>556650</v>
      </c>
      <c r="J1235" s="123" t="e">
        <f>+SUM(C1235:G1235)-(H1235+I1235)</f>
        <v>#REF!</v>
      </c>
      <c r="K1235" s="143" t="e">
        <f>J1235=#REF!</f>
        <v>#REF!</v>
      </c>
    </row>
    <row r="1236" spans="1:11">
      <c r="A1236" s="121" t="s">
        <v>72</v>
      </c>
      <c r="B1236" s="128" t="s">
        <v>84</v>
      </c>
      <c r="C1236" s="119" t="e">
        <f>#REF!</f>
        <v>#REF!</v>
      </c>
      <c r="D1236" s="122"/>
      <c r="E1236" s="136"/>
      <c r="F1236" s="136"/>
      <c r="G1236" s="136"/>
      <c r="H1236" s="136">
        <v>0</v>
      </c>
      <c r="I1236" s="136">
        <v>0</v>
      </c>
      <c r="J1236" s="120" t="e">
        <f>+SUM(C1236:G1236)-(H1236+I1236)</f>
        <v>#REF!</v>
      </c>
      <c r="K1236" s="143" t="e">
        <f>J1236=#REF!</f>
        <v>#REF!</v>
      </c>
    </row>
    <row r="1237" spans="1:11">
      <c r="A1237" s="121" t="s">
        <v>72</v>
      </c>
      <c r="B1237" s="128" t="s">
        <v>83</v>
      </c>
      <c r="C1237" s="119" t="e">
        <f>#REF!</f>
        <v>#REF!</v>
      </c>
      <c r="D1237" s="122"/>
      <c r="E1237" s="136"/>
      <c r="F1237" s="136"/>
      <c r="G1237" s="136"/>
      <c r="H1237" s="136">
        <v>0</v>
      </c>
      <c r="I1237" s="136">
        <v>0</v>
      </c>
      <c r="J1237" s="120" t="e">
        <f t="shared" ref="J1237:J1242" si="667">+SUM(C1237:G1237)-(H1237+I1237)</f>
        <v>#REF!</v>
      </c>
      <c r="K1237" s="143" t="e">
        <f>J1237=#REF!</f>
        <v>#REF!</v>
      </c>
    </row>
    <row r="1238" spans="1:11">
      <c r="A1238" s="121" t="s">
        <v>72</v>
      </c>
      <c r="B1238" s="126" t="s">
        <v>35</v>
      </c>
      <c r="C1238" s="32" t="e">
        <f>#REF!</f>
        <v>#REF!</v>
      </c>
      <c r="D1238" s="31"/>
      <c r="E1238" s="32">
        <v>941000</v>
      </c>
      <c r="F1238" s="32"/>
      <c r="G1238" s="103"/>
      <c r="H1238" s="103">
        <v>0</v>
      </c>
      <c r="I1238" s="32">
        <v>1084725</v>
      </c>
      <c r="J1238" s="30" t="e">
        <f t="shared" si="667"/>
        <v>#REF!</v>
      </c>
      <c r="K1238" s="143" t="e">
        <f>J1238=#REF!</f>
        <v>#REF!</v>
      </c>
    </row>
    <row r="1239" spans="1:11">
      <c r="A1239" s="121" t="s">
        <v>72</v>
      </c>
      <c r="B1239" s="126" t="s">
        <v>93</v>
      </c>
      <c r="C1239" s="32" t="e">
        <f>#REF!</f>
        <v>#REF!</v>
      </c>
      <c r="D1239" s="31"/>
      <c r="E1239" s="32">
        <v>52000</v>
      </c>
      <c r="F1239" s="103"/>
      <c r="G1239" s="103"/>
      <c r="H1239" s="103">
        <v>0</v>
      </c>
      <c r="I1239" s="32">
        <v>67000</v>
      </c>
      <c r="J1239" s="30" t="e">
        <f t="shared" si="667"/>
        <v>#REF!</v>
      </c>
      <c r="K1239" s="143" t="e">
        <f>J1239=#REF!</f>
        <v>#REF!</v>
      </c>
    </row>
    <row r="1240" spans="1:11">
      <c r="A1240" s="121" t="s">
        <v>72</v>
      </c>
      <c r="B1240" s="126" t="s">
        <v>29</v>
      </c>
      <c r="C1240" s="32" t="e">
        <f>#REF!</f>
        <v>#REF!</v>
      </c>
      <c r="D1240" s="31"/>
      <c r="E1240" s="32">
        <v>515000</v>
      </c>
      <c r="F1240" s="103"/>
      <c r="G1240" s="103"/>
      <c r="H1240" s="103">
        <v>0</v>
      </c>
      <c r="I1240" s="32">
        <v>655500</v>
      </c>
      <c r="J1240" s="30" t="e">
        <f t="shared" si="667"/>
        <v>#REF!</v>
      </c>
      <c r="K1240" s="143" t="e">
        <f>J1240=#REF!</f>
        <v>#REF!</v>
      </c>
    </row>
    <row r="1241" spans="1:11">
      <c r="A1241" s="121" t="s">
        <v>72</v>
      </c>
      <c r="B1241" s="126" t="s">
        <v>32</v>
      </c>
      <c r="C1241" s="32" t="e">
        <f>#REF!</f>
        <v>#REF!</v>
      </c>
      <c r="D1241" s="31"/>
      <c r="E1241" s="32">
        <v>10000</v>
      </c>
      <c r="F1241" s="103"/>
      <c r="G1241" s="103"/>
      <c r="H1241" s="32">
        <v>500</v>
      </c>
      <c r="I1241" s="32">
        <v>15300</v>
      </c>
      <c r="J1241" s="30" t="e">
        <f t="shared" si="667"/>
        <v>#REF!</v>
      </c>
      <c r="K1241" s="143" t="e">
        <f>J1241=#REF!</f>
        <v>#REF!</v>
      </c>
    </row>
    <row r="1242" spans="1:11">
      <c r="A1242" s="121" t="s">
        <v>72</v>
      </c>
      <c r="B1242" s="127" t="s">
        <v>113</v>
      </c>
      <c r="C1242" s="32" t="e">
        <f>#REF!</f>
        <v>#REF!</v>
      </c>
      <c r="D1242" s="118"/>
      <c r="E1242" s="51">
        <v>20000</v>
      </c>
      <c r="F1242" s="51"/>
      <c r="G1242" s="137"/>
      <c r="H1242" s="51">
        <v>0</v>
      </c>
      <c r="I1242" s="51">
        <v>28000</v>
      </c>
      <c r="J1242" s="30" t="e">
        <f t="shared" si="667"/>
        <v>#REF!</v>
      </c>
      <c r="K1242" s="143" t="e">
        <f>J1242=#REF!</f>
        <v>#REF!</v>
      </c>
    </row>
    <row r="1243" spans="1:11">
      <c r="A1243" s="34" t="s">
        <v>60</v>
      </c>
      <c r="B1243" s="35"/>
      <c r="C1243" s="35"/>
      <c r="D1243" s="35"/>
      <c r="E1243" s="35"/>
      <c r="F1243" s="35"/>
      <c r="G1243" s="35"/>
      <c r="H1243" s="35"/>
      <c r="I1243" s="35"/>
      <c r="J1243" s="36"/>
      <c r="K1243" s="142"/>
    </row>
    <row r="1244" spans="1:11">
      <c r="A1244" s="121" t="s">
        <v>72</v>
      </c>
      <c r="B1244" s="37" t="s">
        <v>61</v>
      </c>
      <c r="C1244" s="38" t="e">
        <f>#REF!</f>
        <v>#REF!</v>
      </c>
      <c r="D1244" s="49">
        <v>6000500</v>
      </c>
      <c r="E1244" s="102"/>
      <c r="F1244" s="49"/>
      <c r="G1244" s="138"/>
      <c r="H1244" s="51">
        <v>3123915</v>
      </c>
      <c r="I1244" s="125">
        <v>3367697</v>
      </c>
      <c r="J1244" s="30" t="e">
        <f>+SUM(C1244:G1244)-(H1244+I1244)</f>
        <v>#REF!</v>
      </c>
      <c r="K1244" s="143" t="e">
        <f>J1244=#REF!</f>
        <v>#REF!</v>
      </c>
    </row>
    <row r="1245" spans="1:11">
      <c r="A1245" s="43" t="s">
        <v>62</v>
      </c>
      <c r="B1245" s="24"/>
      <c r="C1245" s="35"/>
      <c r="D1245" s="24"/>
      <c r="E1245" s="24"/>
      <c r="F1245" s="24"/>
      <c r="G1245" s="24"/>
      <c r="H1245" s="24"/>
      <c r="I1245" s="24"/>
      <c r="J1245" s="36"/>
      <c r="K1245" s="142"/>
    </row>
    <row r="1246" spans="1:11">
      <c r="A1246" s="121" t="s">
        <v>72</v>
      </c>
      <c r="B1246" s="37" t="s">
        <v>63</v>
      </c>
      <c r="C1246" s="124" t="e">
        <f>#REF!</f>
        <v>#REF!</v>
      </c>
      <c r="D1246" s="131"/>
      <c r="E1246" s="49"/>
      <c r="F1246" s="49"/>
      <c r="G1246" s="49"/>
      <c r="H1246" s="51">
        <v>2000000</v>
      </c>
      <c r="I1246" s="53">
        <v>271244</v>
      </c>
      <c r="J1246" s="30" t="e">
        <f>+SUM(C1246:G1246)-(H1246+I1246)</f>
        <v>#REF!</v>
      </c>
      <c r="K1246" s="143" t="e">
        <f>+J1246=#REF!</f>
        <v>#REF!</v>
      </c>
    </row>
    <row r="1247" spans="1:11">
      <c r="A1247" s="121" t="s">
        <v>72</v>
      </c>
      <c r="B1247" s="37" t="s">
        <v>64</v>
      </c>
      <c r="C1247" s="124" t="e">
        <f>#REF!</f>
        <v>#REF!</v>
      </c>
      <c r="D1247" s="49">
        <v>31201251</v>
      </c>
      <c r="E1247" s="48"/>
      <c r="F1247" s="48"/>
      <c r="G1247" s="48"/>
      <c r="H1247" s="32">
        <v>4000000</v>
      </c>
      <c r="I1247" s="50">
        <v>6204544</v>
      </c>
      <c r="J1247" s="30" t="e">
        <f>SUM(C1247:G1247)-(H1247+I1247)</f>
        <v>#REF!</v>
      </c>
      <c r="K1247" s="143" t="e">
        <f>+J1247=#REF!</f>
        <v>#REF!</v>
      </c>
    </row>
    <row r="1248" spans="1:11" ht="15.75">
      <c r="C1248" s="140" t="e">
        <f>SUM(C1233:C1247)</f>
        <v>#REF!</v>
      </c>
      <c r="I1248" s="139">
        <f>SUM(I1233:I1247)</f>
        <v>13290325</v>
      </c>
      <c r="J1248" s="104" t="e">
        <f>+SUM(J1233:J1247)</f>
        <v>#REF!</v>
      </c>
      <c r="K1248" s="5" t="e">
        <f>J1248=#REF!</f>
        <v>#REF!</v>
      </c>
    </row>
    <row r="1249" spans="1:15" ht="16.5">
      <c r="A1249" s="14"/>
      <c r="B1249" s="15"/>
      <c r="C1249" s="152"/>
      <c r="D1249" s="152"/>
      <c r="E1249" s="151"/>
      <c r="F1249" s="152"/>
      <c r="G1249" s="152" t="e">
        <f>+#REF!-J1248</f>
        <v>#REF!</v>
      </c>
      <c r="H1249" s="152"/>
      <c r="I1249" s="152"/>
    </row>
    <row r="1250" spans="1:15" ht="16.5">
      <c r="A1250" s="14"/>
      <c r="B1250" s="15"/>
      <c r="C1250" s="12"/>
      <c r="D1250" s="12"/>
      <c r="E1250" s="13"/>
      <c r="F1250" s="12"/>
      <c r="G1250" s="12"/>
      <c r="H1250" s="12"/>
      <c r="I1250" s="12"/>
    </row>
    <row r="1251" spans="1:15">
      <c r="A1251" s="16" t="s">
        <v>52</v>
      </c>
      <c r="B1251" s="16"/>
      <c r="C1251" s="16"/>
      <c r="D1251" s="17"/>
      <c r="E1251" s="17"/>
      <c r="F1251" s="17"/>
      <c r="G1251" s="17"/>
      <c r="H1251" s="17"/>
      <c r="I1251" s="17"/>
    </row>
    <row r="1252" spans="1:15">
      <c r="A1252" s="18" t="s">
        <v>132</v>
      </c>
      <c r="B1252" s="18"/>
      <c r="C1252" s="18"/>
      <c r="D1252" s="18"/>
      <c r="E1252" s="18"/>
      <c r="F1252" s="18"/>
      <c r="G1252" s="18"/>
      <c r="H1252" s="18"/>
      <c r="I1252" s="18"/>
      <c r="J1252" s="17"/>
    </row>
    <row r="1253" spans="1:15">
      <c r="A1253" s="19"/>
      <c r="B1253" s="17"/>
      <c r="C1253" s="20"/>
      <c r="D1253" s="20"/>
      <c r="E1253" s="20"/>
      <c r="F1253" s="20"/>
      <c r="G1253" s="20"/>
      <c r="H1253" s="17"/>
      <c r="I1253" s="17"/>
      <c r="J1253" s="18"/>
    </row>
    <row r="1254" spans="1:15">
      <c r="A1254" s="166" t="s">
        <v>53</v>
      </c>
      <c r="B1254" s="168" t="s">
        <v>54</v>
      </c>
      <c r="C1254" s="170" t="s">
        <v>134</v>
      </c>
      <c r="D1254" s="171" t="s">
        <v>55</v>
      </c>
      <c r="E1254" s="172"/>
      <c r="F1254" s="172"/>
      <c r="G1254" s="173"/>
      <c r="H1254" s="174" t="s">
        <v>56</v>
      </c>
      <c r="I1254" s="162" t="s">
        <v>57</v>
      </c>
      <c r="J1254" s="17"/>
    </row>
    <row r="1255" spans="1:15" ht="25.5">
      <c r="A1255" s="167"/>
      <c r="B1255" s="169"/>
      <c r="C1255" s="22"/>
      <c r="D1255" s="21" t="s">
        <v>24</v>
      </c>
      <c r="E1255" s="21" t="s">
        <v>25</v>
      </c>
      <c r="F1255" s="22" t="s">
        <v>123</v>
      </c>
      <c r="G1255" s="21" t="s">
        <v>58</v>
      </c>
      <c r="H1255" s="175"/>
      <c r="I1255" s="163"/>
      <c r="J1255" s="164" t="s">
        <v>133</v>
      </c>
      <c r="K1255" s="142"/>
    </row>
    <row r="1256" spans="1:15">
      <c r="A1256" s="23"/>
      <c r="B1256" s="24" t="s">
        <v>59</v>
      </c>
      <c r="C1256" s="25"/>
      <c r="D1256" s="25"/>
      <c r="E1256" s="25"/>
      <c r="F1256" s="25"/>
      <c r="G1256" s="25"/>
      <c r="H1256" s="25"/>
      <c r="I1256" s="26"/>
      <c r="J1256" s="165"/>
      <c r="K1256" s="142"/>
      <c r="L1256" s="5"/>
      <c r="M1256" s="5"/>
      <c r="N1256" s="5"/>
      <c r="O1256" s="5"/>
    </row>
    <row r="1257" spans="1:15">
      <c r="A1257" s="121" t="s">
        <v>135</v>
      </c>
      <c r="B1257" s="126" t="s">
        <v>76</v>
      </c>
      <c r="C1257" s="32" t="e">
        <f>+#REF!</f>
        <v>#REF!</v>
      </c>
      <c r="D1257" s="31"/>
      <c r="E1257" s="32">
        <v>114000</v>
      </c>
      <c r="F1257" s="32"/>
      <c r="G1257" s="32"/>
      <c r="H1257" s="55">
        <v>11050</v>
      </c>
      <c r="I1257" s="32">
        <v>112000</v>
      </c>
      <c r="J1257" s="30" t="e">
        <f>+SUM(C1257:G1257)-(H1257+I1257)</f>
        <v>#REF!</v>
      </c>
      <c r="K1257" s="143" t="e">
        <f>J1257=#REF!</f>
        <v>#REF!</v>
      </c>
      <c r="L1257" s="5"/>
      <c r="M1257" s="5"/>
      <c r="N1257" s="5"/>
      <c r="O1257" s="5"/>
    </row>
    <row r="1258" spans="1:15">
      <c r="A1258" s="121" t="s">
        <v>135</v>
      </c>
      <c r="B1258" s="126" t="s">
        <v>47</v>
      </c>
      <c r="C1258" s="32" t="e">
        <f t="shared" ref="C1258:C1268" si="668">+C1235</f>
        <v>#REF!</v>
      </c>
      <c r="D1258" s="31"/>
      <c r="E1258" s="32">
        <v>87350</v>
      </c>
      <c r="F1258" s="32">
        <f>60000+62000</f>
        <v>122000</v>
      </c>
      <c r="G1258" s="32"/>
      <c r="H1258" s="55">
        <v>161395</v>
      </c>
      <c r="I1258" s="32">
        <v>281200</v>
      </c>
      <c r="J1258" s="30" t="e">
        <f t="shared" ref="J1258:J1259" si="669">+SUM(C1258:G1258)-(H1258+I1258)</f>
        <v>#REF!</v>
      </c>
      <c r="K1258" s="143" t="e">
        <f t="shared" ref="K1258:K1268" si="670">J1258=I1235</f>
        <v>#REF!</v>
      </c>
      <c r="L1258" s="5"/>
      <c r="M1258" s="5"/>
      <c r="N1258" s="5"/>
      <c r="O1258" s="5"/>
    </row>
    <row r="1259" spans="1:15">
      <c r="A1259" s="121" t="s">
        <v>135</v>
      </c>
      <c r="B1259" s="126" t="s">
        <v>31</v>
      </c>
      <c r="C1259" s="32" t="e">
        <f t="shared" si="668"/>
        <v>#REF!</v>
      </c>
      <c r="D1259" s="31"/>
      <c r="E1259" s="32">
        <v>371500</v>
      </c>
      <c r="F1259" s="32"/>
      <c r="G1259" s="32"/>
      <c r="H1259" s="32">
        <f>62000+81500+137000</f>
        <v>280500</v>
      </c>
      <c r="I1259" s="32">
        <v>177000</v>
      </c>
      <c r="J1259" s="100" t="e">
        <f t="shared" si="669"/>
        <v>#REF!</v>
      </c>
      <c r="K1259" s="143" t="e">
        <f t="shared" si="670"/>
        <v>#REF!</v>
      </c>
      <c r="L1259" s="5"/>
      <c r="M1259" s="5"/>
      <c r="N1259" s="5"/>
      <c r="O1259" s="5"/>
    </row>
    <row r="1260" spans="1:15">
      <c r="A1260" s="121" t="s">
        <v>135</v>
      </c>
      <c r="B1260" s="126" t="s">
        <v>77</v>
      </c>
      <c r="C1260" s="32" t="e">
        <f t="shared" si="668"/>
        <v>#REF!</v>
      </c>
      <c r="D1260" s="103"/>
      <c r="E1260" s="32">
        <v>35560</v>
      </c>
      <c r="F1260" s="32">
        <f>10000+81500</f>
        <v>91500</v>
      </c>
      <c r="G1260" s="32"/>
      <c r="H1260" s="32">
        <v>35000</v>
      </c>
      <c r="I1260" s="32">
        <v>159750</v>
      </c>
      <c r="J1260" s="100" t="e">
        <f>+SUM(C1260:G1260)-(H1260+I1260)</f>
        <v>#REF!</v>
      </c>
      <c r="K1260" s="143" t="e">
        <f t="shared" si="670"/>
        <v>#REF!</v>
      </c>
      <c r="L1260" s="5"/>
      <c r="M1260" s="5"/>
      <c r="N1260" s="5"/>
      <c r="O1260" s="5"/>
    </row>
    <row r="1261" spans="1:15">
      <c r="A1261" s="121" t="s">
        <v>135</v>
      </c>
      <c r="B1261" s="127" t="s">
        <v>30</v>
      </c>
      <c r="C1261" s="32" t="e">
        <f t="shared" si="668"/>
        <v>#REF!</v>
      </c>
      <c r="D1261" s="118"/>
      <c r="E1261" s="51">
        <v>372085</v>
      </c>
      <c r="F1261" s="51"/>
      <c r="G1261" s="51"/>
      <c r="H1261" s="51"/>
      <c r="I1261" s="51">
        <v>336400</v>
      </c>
      <c r="J1261" s="123" t="e">
        <f>+SUM(C1261:G1261)-(H1261+I1261)</f>
        <v>#REF!</v>
      </c>
      <c r="K1261" s="143" t="e">
        <f t="shared" si="670"/>
        <v>#REF!</v>
      </c>
      <c r="L1261" s="5"/>
      <c r="M1261" s="5"/>
      <c r="N1261" s="5"/>
      <c r="O1261" s="5"/>
    </row>
    <row r="1262" spans="1:15">
      <c r="A1262" s="121" t="s">
        <v>135</v>
      </c>
      <c r="B1262" s="128" t="s">
        <v>84</v>
      </c>
      <c r="C1262" s="119" t="e">
        <f t="shared" si="668"/>
        <v>#REF!</v>
      </c>
      <c r="D1262" s="122"/>
      <c r="E1262" s="136"/>
      <c r="F1262" s="136"/>
      <c r="G1262" s="136"/>
      <c r="H1262" s="136"/>
      <c r="I1262" s="136"/>
      <c r="J1262" s="120" t="e">
        <f>+SUM(C1262:G1262)-(H1262+I1262)</f>
        <v>#REF!</v>
      </c>
      <c r="K1262" s="143" t="e">
        <f t="shared" si="670"/>
        <v>#REF!</v>
      </c>
      <c r="L1262" s="5"/>
      <c r="M1262" s="5"/>
      <c r="N1262" s="5"/>
      <c r="O1262" s="5"/>
    </row>
    <row r="1263" spans="1:15">
      <c r="A1263" s="121" t="s">
        <v>135</v>
      </c>
      <c r="B1263" s="128" t="s">
        <v>83</v>
      </c>
      <c r="C1263" s="119" t="e">
        <f t="shared" si="668"/>
        <v>#REF!</v>
      </c>
      <c r="D1263" s="122"/>
      <c r="E1263" s="136"/>
      <c r="F1263" s="136"/>
      <c r="G1263" s="136"/>
      <c r="H1263" s="136"/>
      <c r="I1263" s="136"/>
      <c r="J1263" s="120" t="e">
        <f t="shared" ref="J1263:J1268" si="671">+SUM(C1263:G1263)-(H1263+I1263)</f>
        <v>#REF!</v>
      </c>
      <c r="K1263" s="143" t="e">
        <f t="shared" si="670"/>
        <v>#REF!</v>
      </c>
      <c r="L1263" s="5"/>
      <c r="M1263" s="5"/>
      <c r="N1263" s="5"/>
      <c r="O1263" s="5"/>
    </row>
    <row r="1264" spans="1:15">
      <c r="A1264" s="121" t="s">
        <v>135</v>
      </c>
      <c r="B1264" s="126" t="s">
        <v>35</v>
      </c>
      <c r="C1264" s="32" t="e">
        <f t="shared" si="668"/>
        <v>#REF!</v>
      </c>
      <c r="D1264" s="31"/>
      <c r="E1264" s="32">
        <v>400000</v>
      </c>
      <c r="F1264" s="32">
        <v>137000</v>
      </c>
      <c r="G1264" s="103"/>
      <c r="H1264" s="103"/>
      <c r="I1264" s="32">
        <v>563500</v>
      </c>
      <c r="J1264" s="30" t="e">
        <f t="shared" si="671"/>
        <v>#REF!</v>
      </c>
      <c r="K1264" s="143" t="e">
        <f t="shared" si="670"/>
        <v>#REF!</v>
      </c>
      <c r="L1264" s="5"/>
      <c r="M1264" s="5"/>
      <c r="N1264" s="5"/>
      <c r="O1264" s="5"/>
    </row>
    <row r="1265" spans="1:15">
      <c r="A1265" s="121" t="s">
        <v>135</v>
      </c>
      <c r="B1265" s="126" t="s">
        <v>93</v>
      </c>
      <c r="C1265" s="32" t="e">
        <f t="shared" si="668"/>
        <v>#REF!</v>
      </c>
      <c r="D1265" s="31"/>
      <c r="E1265" s="32">
        <v>35000</v>
      </c>
      <c r="F1265" s="103"/>
      <c r="G1265" s="103"/>
      <c r="H1265" s="103"/>
      <c r="I1265" s="32">
        <v>23500</v>
      </c>
      <c r="J1265" s="30" t="e">
        <f t="shared" si="671"/>
        <v>#REF!</v>
      </c>
      <c r="K1265" s="143" t="e">
        <f t="shared" si="670"/>
        <v>#REF!</v>
      </c>
      <c r="L1265" s="5"/>
      <c r="M1265" s="5"/>
      <c r="N1265" s="5"/>
      <c r="O1265" s="5"/>
    </row>
    <row r="1266" spans="1:15">
      <c r="A1266" s="121" t="s">
        <v>135</v>
      </c>
      <c r="B1266" s="126" t="s">
        <v>29</v>
      </c>
      <c r="C1266" s="32">
        <f t="shared" si="668"/>
        <v>0</v>
      </c>
      <c r="D1266" s="31"/>
      <c r="E1266" s="32">
        <v>454000</v>
      </c>
      <c r="F1266" s="103"/>
      <c r="G1266" s="103"/>
      <c r="H1266" s="103"/>
      <c r="I1266" s="32">
        <v>329100</v>
      </c>
      <c r="J1266" s="30">
        <f t="shared" si="671"/>
        <v>124900</v>
      </c>
      <c r="K1266" s="143" t="b">
        <f t="shared" si="670"/>
        <v>0</v>
      </c>
      <c r="L1266" s="5"/>
      <c r="M1266" s="5"/>
      <c r="N1266" s="5"/>
      <c r="O1266" s="5"/>
    </row>
    <row r="1267" spans="1:15">
      <c r="A1267" s="121" t="s">
        <v>135</v>
      </c>
      <c r="B1267" s="126" t="s">
        <v>32</v>
      </c>
      <c r="C1267" s="32" t="e">
        <f t="shared" si="668"/>
        <v>#REF!</v>
      </c>
      <c r="D1267" s="31"/>
      <c r="E1267" s="32"/>
      <c r="F1267" s="103"/>
      <c r="G1267" s="103"/>
      <c r="H1267" s="32">
        <v>20000</v>
      </c>
      <c r="I1267" s="32">
        <v>5000</v>
      </c>
      <c r="J1267" s="30" t="e">
        <f t="shared" si="671"/>
        <v>#REF!</v>
      </c>
      <c r="K1267" s="143" t="e">
        <f t="shared" si="670"/>
        <v>#REF!</v>
      </c>
      <c r="L1267" s="5"/>
      <c r="M1267" s="5"/>
      <c r="N1267" s="5"/>
      <c r="O1267" s="5"/>
    </row>
    <row r="1268" spans="1:15">
      <c r="A1268" s="121" t="s">
        <v>135</v>
      </c>
      <c r="B1268" s="127" t="s">
        <v>113</v>
      </c>
      <c r="C1268" s="32">
        <f t="shared" si="668"/>
        <v>0</v>
      </c>
      <c r="D1268" s="118"/>
      <c r="E1268" s="51">
        <v>231000</v>
      </c>
      <c r="F1268" s="51"/>
      <c r="G1268" s="137"/>
      <c r="H1268" s="51">
        <v>90000</v>
      </c>
      <c r="I1268" s="51">
        <v>180000</v>
      </c>
      <c r="J1268" s="30">
        <f t="shared" si="671"/>
        <v>-39000</v>
      </c>
      <c r="K1268" s="143" t="b">
        <f t="shared" si="670"/>
        <v>0</v>
      </c>
      <c r="L1268" s="5"/>
      <c r="M1268" s="5"/>
      <c r="N1268" s="5"/>
      <c r="O1268" s="5"/>
    </row>
    <row r="1269" spans="1:15">
      <c r="A1269" s="34" t="s">
        <v>60</v>
      </c>
      <c r="B1269" s="35"/>
      <c r="C1269" s="35"/>
      <c r="D1269" s="35"/>
      <c r="E1269" s="35"/>
      <c r="F1269" s="35"/>
      <c r="G1269" s="35"/>
      <c r="H1269" s="35"/>
      <c r="I1269" s="35"/>
      <c r="J1269" s="36"/>
      <c r="K1269" s="142"/>
      <c r="L1269" s="5"/>
      <c r="M1269" s="5"/>
      <c r="N1269" s="5"/>
      <c r="O1269" s="5"/>
    </row>
    <row r="1270" spans="1:15">
      <c r="A1270" s="121" t="s">
        <v>135</v>
      </c>
      <c r="B1270" s="37" t="s">
        <v>61</v>
      </c>
      <c r="C1270" s="38" t="e">
        <f>+C1234</f>
        <v>#REF!</v>
      </c>
      <c r="D1270" s="49">
        <v>5000000</v>
      </c>
      <c r="E1270" s="102"/>
      <c r="F1270" s="49">
        <v>217445</v>
      </c>
      <c r="G1270" s="138"/>
      <c r="H1270" s="130">
        <v>2070495</v>
      </c>
      <c r="I1270" s="125">
        <v>3286349</v>
      </c>
      <c r="J1270" s="30" t="e">
        <f>+SUM(C1270:G1270)-(H1270+I1270)</f>
        <v>#REF!</v>
      </c>
      <c r="K1270" s="143" t="e">
        <f>J1270=I1234</f>
        <v>#REF!</v>
      </c>
      <c r="L1270" s="5"/>
      <c r="M1270" s="5"/>
      <c r="N1270" s="5"/>
      <c r="O1270" s="5"/>
    </row>
    <row r="1271" spans="1:15">
      <c r="A1271" s="43" t="s">
        <v>62</v>
      </c>
      <c r="B1271" s="24"/>
      <c r="C1271" s="35"/>
      <c r="D1271" s="24"/>
      <c r="E1271" s="24"/>
      <c r="F1271" s="24"/>
      <c r="G1271" s="24"/>
      <c r="H1271" s="24"/>
      <c r="I1271" s="24"/>
      <c r="J1271" s="36"/>
      <c r="K1271" s="142"/>
      <c r="L1271" s="5"/>
      <c r="M1271" s="5"/>
      <c r="N1271" s="5"/>
      <c r="O1271" s="5"/>
    </row>
    <row r="1272" spans="1:15">
      <c r="A1272" s="121" t="s">
        <v>135</v>
      </c>
      <c r="B1272" s="37" t="s">
        <v>63</v>
      </c>
      <c r="C1272" s="124" t="e">
        <f>+#REF!</f>
        <v>#REF!</v>
      </c>
      <c r="D1272" s="131">
        <v>7900099</v>
      </c>
      <c r="E1272" s="49"/>
      <c r="F1272" s="49"/>
      <c r="G1272" s="49"/>
      <c r="H1272" s="51">
        <v>3000000</v>
      </c>
      <c r="I1272" s="53">
        <v>379529</v>
      </c>
      <c r="J1272" s="30" t="e">
        <f>+SUM(C1272:G1272)-(H1272+I1272)</f>
        <v>#REF!</v>
      </c>
      <c r="K1272" s="143" t="e">
        <f>+J1272=#REF!</f>
        <v>#REF!</v>
      </c>
      <c r="L1272" s="5"/>
      <c r="M1272" s="5"/>
      <c r="N1272" s="5"/>
      <c r="O1272" s="5"/>
    </row>
    <row r="1273" spans="1:15">
      <c r="A1273" s="121" t="s">
        <v>135</v>
      </c>
      <c r="B1273" s="37" t="s">
        <v>64</v>
      </c>
      <c r="C1273" s="124" t="e">
        <f>+C1233</f>
        <v>#REF!</v>
      </c>
      <c r="D1273" s="49"/>
      <c r="E1273" s="48"/>
      <c r="F1273" s="48"/>
      <c r="G1273" s="48"/>
      <c r="H1273" s="32">
        <v>2000000</v>
      </c>
      <c r="I1273" s="50">
        <v>5392233</v>
      </c>
      <c r="J1273" s="30" t="e">
        <f>SUM(C1273:G1273)-(H1273+I1273)</f>
        <v>#REF!</v>
      </c>
      <c r="K1273" s="143" t="e">
        <f>+J1273=I1233</f>
        <v>#REF!</v>
      </c>
      <c r="L1273" s="5"/>
      <c r="M1273" s="5"/>
      <c r="N1273" s="5"/>
      <c r="O1273" s="5"/>
    </row>
    <row r="1274" spans="1:15" ht="15.75">
      <c r="C1274" s="140" t="e">
        <f>SUM(C1257:C1273)</f>
        <v>#REF!</v>
      </c>
      <c r="I1274" s="139">
        <f>SUM(I1257:I1273)</f>
        <v>11225561</v>
      </c>
      <c r="J1274" s="104" t="e">
        <f>+SUM(J1257:J1273)</f>
        <v>#REF!</v>
      </c>
      <c r="K1274" s="5" t="e">
        <f>J1274=I1246</f>
        <v>#REF!</v>
      </c>
      <c r="L1274" s="5"/>
      <c r="M1274" s="5"/>
      <c r="N1274" s="5"/>
      <c r="O1274" s="5"/>
    </row>
    <row r="1275" spans="1:15" ht="16.5">
      <c r="A1275" s="14"/>
      <c r="B1275" s="15"/>
      <c r="C1275" s="12"/>
      <c r="D1275" s="12"/>
      <c r="E1275" s="13"/>
      <c r="F1275" s="12"/>
      <c r="G1275" s="12"/>
      <c r="H1275" s="12"/>
      <c r="I1275" s="12"/>
      <c r="L1275" s="5"/>
      <c r="M1275" s="5"/>
      <c r="N1275" s="5"/>
      <c r="O1275" s="5"/>
    </row>
    <row r="1276" spans="1:15">
      <c r="A1276" s="16" t="s">
        <v>52</v>
      </c>
      <c r="B1276" s="16"/>
      <c r="C1276" s="16"/>
      <c r="D1276" s="17"/>
      <c r="E1276" s="17"/>
      <c r="F1276" s="17"/>
      <c r="G1276" s="17"/>
      <c r="H1276" s="17"/>
      <c r="I1276" s="17"/>
      <c r="L1276" s="5"/>
      <c r="M1276" s="5"/>
      <c r="N1276" s="5"/>
      <c r="O1276" s="5"/>
    </row>
    <row r="1277" spans="1:15">
      <c r="A1277" s="18" t="s">
        <v>128</v>
      </c>
      <c r="B1277" s="18"/>
      <c r="C1277" s="18"/>
      <c r="D1277" s="18"/>
      <c r="E1277" s="18"/>
      <c r="F1277" s="18"/>
      <c r="G1277" s="18"/>
      <c r="H1277" s="18"/>
      <c r="I1277" s="18"/>
      <c r="J1277" s="17"/>
      <c r="L1277" s="5"/>
      <c r="M1277" s="5"/>
      <c r="N1277" s="5"/>
      <c r="O1277" s="5"/>
    </row>
    <row r="1278" spans="1:15">
      <c r="A1278" s="19"/>
      <c r="B1278" s="17"/>
      <c r="C1278" s="20"/>
      <c r="D1278" s="20"/>
      <c r="E1278" s="20"/>
      <c r="F1278" s="20"/>
      <c r="G1278" s="20"/>
      <c r="H1278" s="17"/>
      <c r="I1278" s="17"/>
      <c r="J1278" s="18"/>
      <c r="L1278" s="5"/>
      <c r="M1278" s="5"/>
      <c r="N1278" s="5"/>
      <c r="O1278" s="5"/>
    </row>
    <row r="1279" spans="1:15">
      <c r="A1279" s="166" t="s">
        <v>53</v>
      </c>
      <c r="B1279" s="168" t="s">
        <v>54</v>
      </c>
      <c r="C1279" s="170" t="s">
        <v>129</v>
      </c>
      <c r="D1279" s="171" t="s">
        <v>55</v>
      </c>
      <c r="E1279" s="172"/>
      <c r="F1279" s="172"/>
      <c r="G1279" s="173"/>
      <c r="H1279" s="174" t="s">
        <v>56</v>
      </c>
      <c r="I1279" s="162" t="s">
        <v>57</v>
      </c>
      <c r="J1279" s="17"/>
      <c r="L1279" s="5"/>
      <c r="M1279" s="5"/>
      <c r="N1279" s="5"/>
      <c r="O1279" s="5"/>
    </row>
    <row r="1280" spans="1:15" ht="25.5">
      <c r="A1280" s="167"/>
      <c r="B1280" s="169"/>
      <c r="C1280" s="22"/>
      <c r="D1280" s="21" t="s">
        <v>24</v>
      </c>
      <c r="E1280" s="21" t="s">
        <v>25</v>
      </c>
      <c r="F1280" s="22" t="s">
        <v>123</v>
      </c>
      <c r="G1280" s="21" t="s">
        <v>58</v>
      </c>
      <c r="H1280" s="175"/>
      <c r="I1280" s="163"/>
      <c r="J1280" s="164" t="s">
        <v>130</v>
      </c>
      <c r="K1280" s="142"/>
      <c r="L1280" s="5"/>
      <c r="M1280" s="5"/>
      <c r="N1280" s="5"/>
      <c r="O1280" s="5"/>
    </row>
    <row r="1281" spans="1:15">
      <c r="A1281" s="23"/>
      <c r="B1281" s="24" t="s">
        <v>59</v>
      </c>
      <c r="C1281" s="25"/>
      <c r="D1281" s="25"/>
      <c r="E1281" s="25"/>
      <c r="F1281" s="25"/>
      <c r="G1281" s="25"/>
      <c r="H1281" s="25"/>
      <c r="I1281" s="26"/>
      <c r="J1281" s="165"/>
      <c r="K1281" s="142"/>
      <c r="L1281" s="5"/>
      <c r="M1281" s="5"/>
      <c r="N1281" s="5"/>
      <c r="O1281" s="5"/>
    </row>
    <row r="1282" spans="1:15">
      <c r="A1282" s="121" t="s">
        <v>131</v>
      </c>
      <c r="B1282" s="126" t="s">
        <v>76</v>
      </c>
      <c r="C1282" s="32">
        <v>40050</v>
      </c>
      <c r="D1282" s="31"/>
      <c r="E1282" s="32">
        <v>104000</v>
      </c>
      <c r="F1282" s="32"/>
      <c r="G1282" s="32"/>
      <c r="H1282" s="55">
        <v>54000</v>
      </c>
      <c r="I1282" s="32">
        <v>81000</v>
      </c>
      <c r="J1282" s="30">
        <f>+SUM(C1282:G1282)-(H1282+I1282)</f>
        <v>9050</v>
      </c>
      <c r="K1282" s="143" t="e">
        <f>J1282=#REF!</f>
        <v>#REF!</v>
      </c>
      <c r="L1282" s="5"/>
      <c r="M1282" s="5"/>
      <c r="N1282" s="5"/>
      <c r="O1282" s="5"/>
    </row>
    <row r="1283" spans="1:15">
      <c r="A1283" s="121" t="s">
        <v>131</v>
      </c>
      <c r="B1283" s="126" t="s">
        <v>47</v>
      </c>
      <c r="C1283" s="32">
        <v>38845</v>
      </c>
      <c r="D1283" s="31"/>
      <c r="E1283" s="32">
        <v>1550000</v>
      </c>
      <c r="F1283" s="32"/>
      <c r="G1283" s="32"/>
      <c r="H1283" s="55">
        <v>311000</v>
      </c>
      <c r="I1283" s="32">
        <v>1017400</v>
      </c>
      <c r="J1283" s="30">
        <f t="shared" ref="J1283:J1284" si="672">+SUM(C1283:G1283)-(H1283+I1283)</f>
        <v>260445</v>
      </c>
      <c r="K1283" s="143" t="b">
        <f>J1283=I1235</f>
        <v>0</v>
      </c>
      <c r="L1283" s="5"/>
      <c r="M1283" s="5"/>
      <c r="N1283" s="5"/>
      <c r="O1283" s="5"/>
    </row>
    <row r="1284" spans="1:15">
      <c r="A1284" s="121" t="s">
        <v>131</v>
      </c>
      <c r="B1284" s="126" t="s">
        <v>31</v>
      </c>
      <c r="C1284" s="32">
        <v>6895</v>
      </c>
      <c r="D1284" s="31"/>
      <c r="E1284" s="32">
        <v>581000</v>
      </c>
      <c r="F1284" s="32"/>
      <c r="G1284" s="32"/>
      <c r="H1284" s="32"/>
      <c r="I1284" s="32">
        <v>498900</v>
      </c>
      <c r="J1284" s="100">
        <f t="shared" si="672"/>
        <v>88995</v>
      </c>
      <c r="K1284" s="143" t="b">
        <f>J1284=I1236</f>
        <v>0</v>
      </c>
      <c r="L1284" s="5"/>
      <c r="M1284" s="5"/>
      <c r="N1284" s="5"/>
      <c r="O1284" s="5"/>
    </row>
    <row r="1285" spans="1:15">
      <c r="A1285" s="121" t="s">
        <v>131</v>
      </c>
      <c r="B1285" s="126" t="s">
        <v>77</v>
      </c>
      <c r="C1285" s="32">
        <v>28540</v>
      </c>
      <c r="D1285" s="103"/>
      <c r="E1285" s="32">
        <v>332000</v>
      </c>
      <c r="F1285" s="32">
        <v>10000</v>
      </c>
      <c r="G1285" s="32"/>
      <c r="H1285" s="32"/>
      <c r="I1285" s="32">
        <v>302850</v>
      </c>
      <c r="J1285" s="100">
        <f>+SUM(C1285:G1285)-(H1285+I1285)</f>
        <v>67690</v>
      </c>
      <c r="K1285" s="143" t="b">
        <f>J1285=I1237</f>
        <v>0</v>
      </c>
      <c r="L1285" s="5"/>
      <c r="M1285" s="5"/>
      <c r="N1285" s="5"/>
      <c r="O1285" s="5"/>
    </row>
    <row r="1286" spans="1:15">
      <c r="A1286" s="121" t="s">
        <v>131</v>
      </c>
      <c r="B1286" s="126" t="s">
        <v>69</v>
      </c>
      <c r="C1286" s="32">
        <v>184</v>
      </c>
      <c r="D1286" s="103"/>
      <c r="E1286" s="32"/>
      <c r="F1286" s="32"/>
      <c r="G1286" s="32"/>
      <c r="H1286" s="32">
        <v>184</v>
      </c>
      <c r="I1286" s="32"/>
      <c r="J1286" s="100">
        <f t="shared" ref="J1286" si="673">+SUM(C1286:G1286)-(H1286+I1286)</f>
        <v>0</v>
      </c>
      <c r="K1286" s="143" t="e">
        <f>J1286=#REF!</f>
        <v>#REF!</v>
      </c>
      <c r="L1286" s="5"/>
      <c r="M1286" s="5"/>
      <c r="N1286" s="5"/>
      <c r="O1286" s="5"/>
    </row>
    <row r="1287" spans="1:15">
      <c r="A1287" s="121" t="s">
        <v>131</v>
      </c>
      <c r="B1287" s="127" t="s">
        <v>30</v>
      </c>
      <c r="C1287" s="32">
        <v>68200</v>
      </c>
      <c r="D1287" s="118"/>
      <c r="E1287" s="51">
        <v>638000</v>
      </c>
      <c r="F1287" s="51">
        <v>45000</v>
      </c>
      <c r="G1287" s="51"/>
      <c r="H1287" s="51"/>
      <c r="I1287" s="51">
        <v>787385</v>
      </c>
      <c r="J1287" s="123">
        <f>+SUM(C1287:G1287)-(H1287+I1287)</f>
        <v>-36185</v>
      </c>
      <c r="K1287" s="143" t="b">
        <f t="shared" ref="K1287:K1294" si="674">J1287=I1238</f>
        <v>0</v>
      </c>
      <c r="L1287" s="5"/>
      <c r="M1287" s="5"/>
      <c r="N1287" s="5"/>
      <c r="O1287" s="5"/>
    </row>
    <row r="1288" spans="1:15">
      <c r="A1288" s="121" t="s">
        <v>131</v>
      </c>
      <c r="B1288" s="128" t="s">
        <v>84</v>
      </c>
      <c r="C1288" s="119">
        <v>233614</v>
      </c>
      <c r="D1288" s="122"/>
      <c r="E1288" s="136"/>
      <c r="F1288" s="136"/>
      <c r="G1288" s="136"/>
      <c r="H1288" s="136"/>
      <c r="I1288" s="136"/>
      <c r="J1288" s="120">
        <f>+SUM(C1288:G1288)-(H1288+I1288)</f>
        <v>233614</v>
      </c>
      <c r="K1288" s="143" t="b">
        <f t="shared" si="674"/>
        <v>0</v>
      </c>
      <c r="L1288" s="5"/>
      <c r="M1288" s="5"/>
      <c r="N1288" s="5"/>
      <c r="O1288" s="5"/>
    </row>
    <row r="1289" spans="1:15">
      <c r="A1289" s="121" t="s">
        <v>131</v>
      </c>
      <c r="B1289" s="128" t="s">
        <v>83</v>
      </c>
      <c r="C1289" s="119">
        <v>249769</v>
      </c>
      <c r="D1289" s="122"/>
      <c r="E1289" s="136"/>
      <c r="F1289" s="136"/>
      <c r="G1289" s="136"/>
      <c r="H1289" s="136"/>
      <c r="I1289" s="136"/>
      <c r="J1289" s="120">
        <f t="shared" ref="J1289:J1294" si="675">+SUM(C1289:G1289)-(H1289+I1289)</f>
        <v>249769</v>
      </c>
      <c r="K1289" s="143" t="b">
        <f t="shared" si="674"/>
        <v>0</v>
      </c>
      <c r="L1289" s="5"/>
      <c r="M1289" s="5"/>
      <c r="N1289" s="5"/>
      <c r="O1289" s="5"/>
    </row>
    <row r="1290" spans="1:15">
      <c r="A1290" s="121" t="s">
        <v>131</v>
      </c>
      <c r="B1290" s="126" t="s">
        <v>35</v>
      </c>
      <c r="C1290" s="32">
        <v>-4675</v>
      </c>
      <c r="D1290" s="31"/>
      <c r="E1290" s="32">
        <v>494000</v>
      </c>
      <c r="F1290" s="32">
        <v>256000</v>
      </c>
      <c r="G1290" s="103"/>
      <c r="H1290" s="103">
        <v>6500</v>
      </c>
      <c r="I1290" s="32">
        <v>607250</v>
      </c>
      <c r="J1290" s="30">
        <f t="shared" si="675"/>
        <v>131575</v>
      </c>
      <c r="K1290" s="143" t="b">
        <f t="shared" si="674"/>
        <v>0</v>
      </c>
      <c r="L1290" s="5"/>
      <c r="M1290" s="5"/>
      <c r="N1290" s="5"/>
      <c r="O1290" s="5"/>
    </row>
    <row r="1291" spans="1:15">
      <c r="A1291" s="121" t="s">
        <v>131</v>
      </c>
      <c r="B1291" s="126" t="s">
        <v>93</v>
      </c>
      <c r="C1291" s="32">
        <v>5000</v>
      </c>
      <c r="D1291" s="31"/>
      <c r="E1291" s="32">
        <v>30000</v>
      </c>
      <c r="F1291" s="103"/>
      <c r="G1291" s="103"/>
      <c r="H1291" s="103"/>
      <c r="I1291" s="32">
        <v>29500</v>
      </c>
      <c r="J1291" s="30">
        <f t="shared" si="675"/>
        <v>5500</v>
      </c>
      <c r="K1291" s="143" t="b">
        <f t="shared" si="674"/>
        <v>0</v>
      </c>
      <c r="L1291" s="5"/>
      <c r="M1291" s="5"/>
      <c r="N1291" s="5"/>
      <c r="O1291" s="5"/>
    </row>
    <row r="1292" spans="1:15">
      <c r="A1292" s="121" t="s">
        <v>131</v>
      </c>
      <c r="B1292" s="126" t="s">
        <v>29</v>
      </c>
      <c r="C1292" s="32">
        <v>72800</v>
      </c>
      <c r="D1292" s="31"/>
      <c r="E1292" s="32">
        <v>446000</v>
      </c>
      <c r="F1292" s="103"/>
      <c r="G1292" s="103"/>
      <c r="H1292" s="103"/>
      <c r="I1292" s="32">
        <v>512600</v>
      </c>
      <c r="J1292" s="30">
        <f t="shared" si="675"/>
        <v>6200</v>
      </c>
      <c r="K1292" s="143" t="b">
        <f t="shared" si="674"/>
        <v>0</v>
      </c>
      <c r="L1292" s="5"/>
      <c r="M1292" s="5"/>
      <c r="N1292" s="5"/>
      <c r="O1292" s="5"/>
    </row>
    <row r="1293" spans="1:15">
      <c r="A1293" s="121" t="s">
        <v>131</v>
      </c>
      <c r="B1293" s="126" t="s">
        <v>32</v>
      </c>
      <c r="C1293" s="32">
        <v>47300</v>
      </c>
      <c r="D1293" s="31"/>
      <c r="E1293" s="32">
        <v>5000</v>
      </c>
      <c r="F1293" s="103">
        <v>6500</v>
      </c>
      <c r="G1293" s="103"/>
      <c r="H1293" s="32">
        <v>20000</v>
      </c>
      <c r="I1293" s="32">
        <v>8000</v>
      </c>
      <c r="J1293" s="30">
        <f t="shared" si="675"/>
        <v>30800</v>
      </c>
      <c r="K1293" s="143" t="b">
        <f t="shared" si="674"/>
        <v>0</v>
      </c>
      <c r="L1293" s="5"/>
      <c r="M1293" s="5"/>
      <c r="N1293" s="5"/>
      <c r="O1293" s="5"/>
    </row>
    <row r="1294" spans="1:15">
      <c r="A1294" s="121" t="s">
        <v>131</v>
      </c>
      <c r="B1294" s="127" t="s">
        <v>113</v>
      </c>
      <c r="C1294" s="32">
        <v>79600</v>
      </c>
      <c r="D1294" s="118"/>
      <c r="E1294" s="51"/>
      <c r="F1294" s="51"/>
      <c r="G1294" s="137"/>
      <c r="H1294" s="51"/>
      <c r="I1294" s="51">
        <v>37707</v>
      </c>
      <c r="J1294" s="30">
        <f t="shared" si="675"/>
        <v>41893</v>
      </c>
      <c r="K1294" s="143" t="b">
        <f t="shared" si="674"/>
        <v>0</v>
      </c>
      <c r="L1294" s="5"/>
      <c r="M1294" s="5"/>
      <c r="N1294" s="5"/>
      <c r="O1294" s="5"/>
    </row>
    <row r="1295" spans="1:15">
      <c r="A1295" s="34" t="s">
        <v>60</v>
      </c>
      <c r="B1295" s="35"/>
      <c r="C1295" s="35"/>
      <c r="D1295" s="35"/>
      <c r="E1295" s="35"/>
      <c r="F1295" s="35"/>
      <c r="G1295" s="35"/>
      <c r="H1295" s="35"/>
      <c r="I1295" s="35"/>
      <c r="J1295" s="36"/>
      <c r="K1295" s="142"/>
      <c r="L1295" s="5"/>
      <c r="M1295" s="5"/>
      <c r="N1295" s="5"/>
      <c r="O1295" s="5"/>
    </row>
    <row r="1296" spans="1:15">
      <c r="A1296" s="121" t="s">
        <v>131</v>
      </c>
      <c r="B1296" s="37" t="s">
        <v>61</v>
      </c>
      <c r="C1296" s="38">
        <v>467929</v>
      </c>
      <c r="D1296" s="49">
        <v>6310000</v>
      </c>
      <c r="E1296" s="102"/>
      <c r="F1296" s="49">
        <v>74184</v>
      </c>
      <c r="G1296" s="138"/>
      <c r="H1296" s="130">
        <v>4180000</v>
      </c>
      <c r="I1296" s="125">
        <v>1710965</v>
      </c>
      <c r="J1296" s="30">
        <f>+SUM(C1296:G1296)-(H1296+I1296)</f>
        <v>961148</v>
      </c>
      <c r="K1296" s="143" t="b">
        <f>J1296=I1234</f>
        <v>0</v>
      </c>
      <c r="L1296" s="5"/>
      <c r="M1296" s="5"/>
      <c r="N1296" s="5"/>
      <c r="O1296" s="5"/>
    </row>
    <row r="1297" spans="1:15">
      <c r="A1297" s="43" t="s">
        <v>62</v>
      </c>
      <c r="B1297" s="24"/>
      <c r="C1297" s="35"/>
      <c r="D1297" s="24"/>
      <c r="E1297" s="24"/>
      <c r="F1297" s="24"/>
      <c r="G1297" s="24"/>
      <c r="H1297" s="24"/>
      <c r="I1297" s="24"/>
      <c r="J1297" s="36"/>
      <c r="K1297" s="142"/>
      <c r="L1297" s="5"/>
      <c r="M1297" s="5"/>
      <c r="N1297" s="5"/>
      <c r="O1297" s="5"/>
    </row>
    <row r="1298" spans="1:15">
      <c r="A1298" s="121" t="s">
        <v>131</v>
      </c>
      <c r="B1298" s="37" t="s">
        <v>63</v>
      </c>
      <c r="C1298" s="124">
        <v>7405927</v>
      </c>
      <c r="D1298" s="131"/>
      <c r="E1298" s="49"/>
      <c r="F1298" s="49"/>
      <c r="G1298" s="49"/>
      <c r="H1298" s="51">
        <v>2000000</v>
      </c>
      <c r="I1298" s="53">
        <v>1710232</v>
      </c>
      <c r="J1298" s="30">
        <f>+SUM(C1298:G1298)-(H1298+I1298)</f>
        <v>3695695</v>
      </c>
      <c r="K1298" s="143" t="e">
        <f>+J1298=#REF!</f>
        <v>#REF!</v>
      </c>
      <c r="L1298" s="5"/>
      <c r="M1298" s="5"/>
      <c r="N1298" s="5"/>
      <c r="O1298" s="5"/>
    </row>
    <row r="1299" spans="1:15">
      <c r="A1299" s="121" t="s">
        <v>131</v>
      </c>
      <c r="B1299" s="37" t="s">
        <v>64</v>
      </c>
      <c r="C1299" s="124">
        <v>22972065</v>
      </c>
      <c r="D1299" s="49"/>
      <c r="E1299" s="48"/>
      <c r="F1299" s="48"/>
      <c r="G1299" s="48"/>
      <c r="H1299" s="32">
        <v>4310000</v>
      </c>
      <c r="I1299" s="50">
        <v>3055511</v>
      </c>
      <c r="J1299" s="30">
        <f>SUM(C1299:G1299)-(H1299+I1299)</f>
        <v>15606554</v>
      </c>
      <c r="K1299" s="143" t="b">
        <f>+J1299=I1233</f>
        <v>0</v>
      </c>
      <c r="L1299" s="5"/>
      <c r="M1299" s="5"/>
      <c r="N1299" s="5"/>
      <c r="O1299" s="5"/>
    </row>
    <row r="1300" spans="1:15" ht="15.75">
      <c r="C1300" s="140">
        <f>SUM(C1282:C1299)</f>
        <v>31712043</v>
      </c>
      <c r="I1300" s="139">
        <f>SUM(I1282:I1299)</f>
        <v>10359300</v>
      </c>
      <c r="J1300" s="104">
        <f>+SUM(J1282:J1299)</f>
        <v>21352743</v>
      </c>
      <c r="K1300" s="5" t="b">
        <f>J1300=I1246</f>
        <v>0</v>
      </c>
      <c r="L1300" s="5"/>
      <c r="M1300" s="5"/>
      <c r="N1300" s="5"/>
      <c r="O1300" s="5"/>
    </row>
    <row r="1301" spans="1:15" ht="16.5">
      <c r="A1301" s="14"/>
      <c r="B1301" s="15"/>
      <c r="C1301" s="12"/>
      <c r="D1301" s="12"/>
      <c r="E1301" s="13"/>
      <c r="F1301" s="12"/>
      <c r="G1301" s="12"/>
      <c r="H1301" s="12"/>
      <c r="I1301" s="12"/>
      <c r="L1301" s="5"/>
      <c r="M1301" s="5"/>
      <c r="N1301" s="5"/>
      <c r="O1301" s="5"/>
    </row>
    <row r="1302" spans="1:15">
      <c r="A1302" s="16" t="s">
        <v>52</v>
      </c>
      <c r="B1302" s="16"/>
      <c r="C1302" s="16"/>
      <c r="D1302" s="17"/>
      <c r="E1302" s="17"/>
      <c r="F1302" s="17"/>
      <c r="G1302" s="17"/>
      <c r="H1302" s="17"/>
      <c r="I1302" s="17"/>
      <c r="L1302" s="5"/>
      <c r="M1302" s="5"/>
      <c r="N1302" s="5"/>
      <c r="O1302" s="5"/>
    </row>
    <row r="1303" spans="1:15">
      <c r="A1303" s="18" t="s">
        <v>124</v>
      </c>
      <c r="B1303" s="18"/>
      <c r="C1303" s="18"/>
      <c r="D1303" s="18"/>
      <c r="E1303" s="18"/>
      <c r="F1303" s="18"/>
      <c r="G1303" s="18"/>
      <c r="H1303" s="18"/>
      <c r="I1303" s="18"/>
      <c r="J1303" s="17"/>
      <c r="L1303" s="5"/>
      <c r="M1303" s="5"/>
      <c r="N1303" s="5"/>
      <c r="O1303" s="5"/>
    </row>
    <row r="1304" spans="1:15">
      <c r="A1304" s="19"/>
      <c r="B1304" s="17"/>
      <c r="C1304" s="20"/>
      <c r="D1304" s="20"/>
      <c r="E1304" s="20"/>
      <c r="F1304" s="20"/>
      <c r="G1304" s="20"/>
      <c r="H1304" s="17"/>
      <c r="I1304" s="17"/>
      <c r="J1304" s="18"/>
      <c r="L1304" s="5"/>
      <c r="M1304" s="5"/>
      <c r="N1304" s="5"/>
      <c r="O1304" s="5"/>
    </row>
    <row r="1305" spans="1:15">
      <c r="A1305" s="166" t="s">
        <v>53</v>
      </c>
      <c r="B1305" s="168" t="s">
        <v>54</v>
      </c>
      <c r="C1305" s="170" t="s">
        <v>125</v>
      </c>
      <c r="D1305" s="171" t="s">
        <v>55</v>
      </c>
      <c r="E1305" s="172"/>
      <c r="F1305" s="172"/>
      <c r="G1305" s="173"/>
      <c r="H1305" s="174" t="s">
        <v>56</v>
      </c>
      <c r="I1305" s="162" t="s">
        <v>57</v>
      </c>
      <c r="J1305" s="17"/>
      <c r="L1305" s="5"/>
      <c r="M1305" s="5"/>
      <c r="N1305" s="5"/>
      <c r="O1305" s="5"/>
    </row>
    <row r="1306" spans="1:15" ht="25.5">
      <c r="A1306" s="167"/>
      <c r="B1306" s="169"/>
      <c r="C1306" s="22"/>
      <c r="D1306" s="21" t="s">
        <v>24</v>
      </c>
      <c r="E1306" s="21" t="s">
        <v>25</v>
      </c>
      <c r="F1306" s="22" t="s">
        <v>123</v>
      </c>
      <c r="G1306" s="21" t="s">
        <v>58</v>
      </c>
      <c r="H1306" s="175"/>
      <c r="I1306" s="163"/>
      <c r="J1306" s="164" t="s">
        <v>126</v>
      </c>
      <c r="K1306" s="142"/>
      <c r="L1306" s="5"/>
      <c r="M1306" s="5"/>
      <c r="N1306" s="5"/>
      <c r="O1306" s="5"/>
    </row>
    <row r="1307" spans="1:15">
      <c r="A1307" s="23"/>
      <c r="B1307" s="24" t="s">
        <v>59</v>
      </c>
      <c r="C1307" s="25"/>
      <c r="D1307" s="25"/>
      <c r="E1307" s="25"/>
      <c r="F1307" s="25"/>
      <c r="G1307" s="25"/>
      <c r="H1307" s="25"/>
      <c r="I1307" s="26"/>
      <c r="J1307" s="165"/>
      <c r="K1307" s="142"/>
      <c r="L1307" s="5"/>
      <c r="M1307" s="5"/>
      <c r="N1307" s="5"/>
      <c r="O1307" s="5"/>
    </row>
    <row r="1308" spans="1:15">
      <c r="A1308" s="121" t="s">
        <v>127</v>
      </c>
      <c r="B1308" s="126" t="s">
        <v>76</v>
      </c>
      <c r="C1308" s="32">
        <v>-450</v>
      </c>
      <c r="D1308" s="31"/>
      <c r="E1308" s="32">
        <v>168000</v>
      </c>
      <c r="F1308" s="32">
        <v>55000</v>
      </c>
      <c r="G1308" s="32"/>
      <c r="H1308" s="55"/>
      <c r="I1308" s="32">
        <v>182500</v>
      </c>
      <c r="J1308" s="30">
        <f>+SUM(C1308:G1308)-(H1308+I1308)</f>
        <v>40050</v>
      </c>
      <c r="K1308" s="143"/>
      <c r="L1308" s="5"/>
      <c r="M1308" s="5"/>
      <c r="N1308" s="5"/>
      <c r="O1308" s="5"/>
    </row>
    <row r="1309" spans="1:15">
      <c r="A1309" s="121" t="s">
        <v>127</v>
      </c>
      <c r="B1309" s="126" t="s">
        <v>47</v>
      </c>
      <c r="C1309" s="32">
        <v>12510</v>
      </c>
      <c r="D1309" s="31"/>
      <c r="E1309" s="32">
        <v>303000</v>
      </c>
      <c r="F1309" s="32"/>
      <c r="G1309" s="32"/>
      <c r="H1309" s="55"/>
      <c r="I1309" s="32">
        <v>276665</v>
      </c>
      <c r="J1309" s="30">
        <f t="shared" ref="J1309:J1310" si="676">+SUM(C1309:G1309)-(H1309+I1309)</f>
        <v>38845</v>
      </c>
      <c r="K1309" s="143"/>
      <c r="L1309" s="5"/>
      <c r="M1309" s="5"/>
      <c r="N1309" s="5"/>
      <c r="O1309" s="5"/>
    </row>
    <row r="1310" spans="1:15">
      <c r="A1310" s="121" t="s">
        <v>127</v>
      </c>
      <c r="B1310" s="126" t="s">
        <v>31</v>
      </c>
      <c r="C1310" s="32">
        <v>2895</v>
      </c>
      <c r="D1310" s="31"/>
      <c r="E1310" s="32">
        <v>40000</v>
      </c>
      <c r="F1310" s="32"/>
      <c r="G1310" s="32"/>
      <c r="H1310" s="32"/>
      <c r="I1310" s="32">
        <v>36000</v>
      </c>
      <c r="J1310" s="100">
        <f t="shared" si="676"/>
        <v>6895</v>
      </c>
      <c r="K1310" s="143"/>
      <c r="L1310" s="5"/>
      <c r="M1310" s="5"/>
      <c r="N1310" s="5"/>
      <c r="O1310" s="5"/>
    </row>
    <row r="1311" spans="1:15">
      <c r="A1311" s="121" t="s">
        <v>127</v>
      </c>
      <c r="B1311" s="126" t="s">
        <v>77</v>
      </c>
      <c r="C1311" s="32">
        <v>62040</v>
      </c>
      <c r="D1311" s="103"/>
      <c r="E1311" s="32"/>
      <c r="F1311" s="32"/>
      <c r="G1311" s="32"/>
      <c r="H1311" s="32">
        <v>25000</v>
      </c>
      <c r="I1311" s="32">
        <v>8500</v>
      </c>
      <c r="J1311" s="100">
        <f>+SUM(C1311:G1311)-(H1311+I1311)</f>
        <v>28540</v>
      </c>
      <c r="K1311" s="143"/>
      <c r="L1311" s="5"/>
      <c r="M1311" s="5"/>
      <c r="N1311" s="5"/>
      <c r="O1311" s="5"/>
    </row>
    <row r="1312" spans="1:15">
      <c r="A1312" s="121" t="s">
        <v>127</v>
      </c>
      <c r="B1312" s="126" t="s">
        <v>69</v>
      </c>
      <c r="C1312" s="32">
        <v>184</v>
      </c>
      <c r="D1312" s="103"/>
      <c r="E1312" s="32">
        <v>0</v>
      </c>
      <c r="F1312" s="32"/>
      <c r="G1312" s="32"/>
      <c r="H1312" s="32"/>
      <c r="I1312" s="32">
        <v>0</v>
      </c>
      <c r="J1312" s="100">
        <f t="shared" ref="J1312" si="677">+SUM(C1312:G1312)-(H1312+I1312)</f>
        <v>184</v>
      </c>
      <c r="K1312" s="143"/>
      <c r="L1312" s="5"/>
      <c r="M1312" s="5"/>
      <c r="N1312" s="5"/>
      <c r="O1312" s="5"/>
    </row>
    <row r="1313" spans="1:15">
      <c r="A1313" s="121" t="s">
        <v>127</v>
      </c>
      <c r="B1313" s="127" t="s">
        <v>30</v>
      </c>
      <c r="C1313" s="32">
        <v>-36500</v>
      </c>
      <c r="D1313" s="118"/>
      <c r="E1313" s="51">
        <v>523500</v>
      </c>
      <c r="F1313" s="51"/>
      <c r="G1313" s="51"/>
      <c r="H1313" s="51"/>
      <c r="I1313" s="51">
        <v>418800</v>
      </c>
      <c r="J1313" s="123">
        <f>+SUM(C1313:G1313)-(H1313+I1313)</f>
        <v>68200</v>
      </c>
      <c r="K1313" s="143"/>
      <c r="L1313" s="5"/>
      <c r="M1313" s="5"/>
      <c r="N1313" s="5"/>
      <c r="O1313" s="5"/>
    </row>
    <row r="1314" spans="1:15">
      <c r="A1314" s="121" t="s">
        <v>127</v>
      </c>
      <c r="B1314" s="128" t="s">
        <v>84</v>
      </c>
      <c r="C1314" s="119">
        <v>233614</v>
      </c>
      <c r="D1314" s="122"/>
      <c r="E1314" s="136"/>
      <c r="F1314" s="136"/>
      <c r="G1314" s="136"/>
      <c r="H1314" s="136"/>
      <c r="I1314" s="136"/>
      <c r="J1314" s="120">
        <f>+SUM(C1314:G1314)-(H1314+I1314)</f>
        <v>233614</v>
      </c>
      <c r="K1314" s="143"/>
      <c r="L1314" s="5"/>
      <c r="M1314" s="5"/>
      <c r="N1314" s="5"/>
      <c r="O1314" s="5"/>
    </row>
    <row r="1315" spans="1:15">
      <c r="A1315" s="121" t="s">
        <v>127</v>
      </c>
      <c r="B1315" s="128" t="s">
        <v>83</v>
      </c>
      <c r="C1315" s="119">
        <v>249769</v>
      </c>
      <c r="D1315" s="122"/>
      <c r="E1315" s="136"/>
      <c r="F1315" s="136"/>
      <c r="G1315" s="136"/>
      <c r="H1315" s="136"/>
      <c r="I1315" s="136"/>
      <c r="J1315" s="120">
        <f t="shared" ref="J1315:J1320" si="678">+SUM(C1315:G1315)-(H1315+I1315)</f>
        <v>249769</v>
      </c>
      <c r="K1315" s="143"/>
      <c r="L1315" s="5"/>
      <c r="M1315" s="5"/>
      <c r="N1315" s="5"/>
      <c r="O1315" s="5"/>
    </row>
    <row r="1316" spans="1:15">
      <c r="A1316" s="121" t="s">
        <v>127</v>
      </c>
      <c r="B1316" s="126" t="s">
        <v>35</v>
      </c>
      <c r="C1316" s="32">
        <v>71200</v>
      </c>
      <c r="D1316" s="31"/>
      <c r="E1316" s="32">
        <v>1056000</v>
      </c>
      <c r="F1316" s="32"/>
      <c r="G1316" s="103"/>
      <c r="H1316" s="103">
        <v>55000</v>
      </c>
      <c r="I1316" s="32">
        <v>1076875</v>
      </c>
      <c r="J1316" s="30">
        <f t="shared" si="678"/>
        <v>-4675</v>
      </c>
      <c r="K1316" s="143"/>
      <c r="L1316" s="5"/>
      <c r="M1316" s="5"/>
      <c r="N1316" s="5"/>
      <c r="O1316" s="5"/>
    </row>
    <row r="1317" spans="1:15">
      <c r="A1317" s="121" t="s">
        <v>127</v>
      </c>
      <c r="B1317" s="126" t="s">
        <v>93</v>
      </c>
      <c r="C1317" s="32">
        <v>6000</v>
      </c>
      <c r="D1317" s="31"/>
      <c r="E1317" s="32">
        <v>20000</v>
      </c>
      <c r="F1317" s="103"/>
      <c r="G1317" s="103"/>
      <c r="H1317" s="103"/>
      <c r="I1317" s="32">
        <v>21000</v>
      </c>
      <c r="J1317" s="30">
        <f t="shared" si="678"/>
        <v>5000</v>
      </c>
      <c r="K1317" s="143"/>
      <c r="L1317" s="5"/>
      <c r="M1317" s="5"/>
      <c r="N1317" s="5"/>
      <c r="O1317" s="5"/>
    </row>
    <row r="1318" spans="1:15">
      <c r="A1318" s="121" t="s">
        <v>127</v>
      </c>
      <c r="B1318" s="126" t="s">
        <v>29</v>
      </c>
      <c r="C1318" s="32">
        <v>167700</v>
      </c>
      <c r="D1318" s="31"/>
      <c r="E1318" s="32">
        <v>473000</v>
      </c>
      <c r="F1318" s="103"/>
      <c r="G1318" s="103"/>
      <c r="H1318" s="103"/>
      <c r="I1318" s="32">
        <v>567900</v>
      </c>
      <c r="J1318" s="30">
        <f t="shared" si="678"/>
        <v>72800</v>
      </c>
      <c r="K1318" s="143"/>
      <c r="L1318" s="5"/>
      <c r="M1318" s="5"/>
      <c r="N1318" s="5"/>
      <c r="O1318" s="5"/>
    </row>
    <row r="1319" spans="1:15">
      <c r="A1319" s="121" t="s">
        <v>127</v>
      </c>
      <c r="B1319" s="126" t="s">
        <v>32</v>
      </c>
      <c r="C1319" s="32">
        <v>65300</v>
      </c>
      <c r="D1319" s="31"/>
      <c r="E1319" s="32">
        <v>10000</v>
      </c>
      <c r="F1319" s="103"/>
      <c r="G1319" s="103"/>
      <c r="H1319" s="103">
        <v>20000</v>
      </c>
      <c r="I1319" s="32">
        <v>8000</v>
      </c>
      <c r="J1319" s="30">
        <f t="shared" si="678"/>
        <v>47300</v>
      </c>
      <c r="K1319" s="143"/>
      <c r="L1319" s="5"/>
      <c r="M1319" s="5"/>
      <c r="N1319" s="5"/>
      <c r="O1319" s="5"/>
    </row>
    <row r="1320" spans="1:15">
      <c r="A1320" s="121" t="s">
        <v>127</v>
      </c>
      <c r="B1320" s="127" t="s">
        <v>113</v>
      </c>
      <c r="C1320" s="32">
        <v>-11700</v>
      </c>
      <c r="D1320" s="118"/>
      <c r="E1320" s="51">
        <v>385800</v>
      </c>
      <c r="F1320" s="51"/>
      <c r="G1320" s="137"/>
      <c r="H1320" s="51"/>
      <c r="I1320" s="51">
        <v>294500</v>
      </c>
      <c r="J1320" s="30">
        <f t="shared" si="678"/>
        <v>79600</v>
      </c>
      <c r="K1320" s="143"/>
      <c r="L1320" s="5"/>
      <c r="M1320" s="5"/>
      <c r="N1320" s="5"/>
      <c r="O1320" s="5"/>
    </row>
    <row r="1321" spans="1:15">
      <c r="A1321" s="34" t="s">
        <v>60</v>
      </c>
      <c r="B1321" s="35"/>
      <c r="C1321" s="35"/>
      <c r="D1321" s="35"/>
      <c r="E1321" s="35"/>
      <c r="F1321" s="35"/>
      <c r="G1321" s="35"/>
      <c r="H1321" s="35"/>
      <c r="I1321" s="35"/>
      <c r="J1321" s="36"/>
      <c r="K1321" s="142"/>
      <c r="L1321" s="5"/>
      <c r="M1321" s="5"/>
      <c r="N1321" s="5"/>
      <c r="O1321" s="5"/>
    </row>
    <row r="1322" spans="1:15">
      <c r="A1322" s="121" t="s">
        <v>127</v>
      </c>
      <c r="B1322" s="37" t="s">
        <v>61</v>
      </c>
      <c r="C1322" s="38">
        <v>1672959</v>
      </c>
      <c r="D1322" s="49">
        <v>3341000</v>
      </c>
      <c r="E1322" s="102"/>
      <c r="F1322" s="102">
        <v>45000</v>
      </c>
      <c r="G1322" s="138"/>
      <c r="H1322" s="130">
        <v>2979300</v>
      </c>
      <c r="I1322" s="125">
        <v>1611730</v>
      </c>
      <c r="J1322" s="30">
        <f>+SUM(C1322:G1322)-(H1322+I1322)</f>
        <v>467929</v>
      </c>
      <c r="K1322" s="143"/>
      <c r="L1322" s="5"/>
      <c r="M1322" s="5"/>
      <c r="N1322" s="5"/>
      <c r="O1322" s="5"/>
    </row>
    <row r="1323" spans="1:15">
      <c r="A1323" s="43" t="s">
        <v>62</v>
      </c>
      <c r="B1323" s="24"/>
      <c r="C1323" s="35"/>
      <c r="D1323" s="24"/>
      <c r="E1323" s="24"/>
      <c r="F1323" s="24"/>
      <c r="G1323" s="24"/>
      <c r="H1323" s="24"/>
      <c r="I1323" s="24"/>
      <c r="J1323" s="36"/>
      <c r="K1323" s="142"/>
      <c r="L1323" s="5"/>
      <c r="M1323" s="5"/>
      <c r="N1323" s="5"/>
      <c r="O1323" s="5"/>
    </row>
    <row r="1324" spans="1:15">
      <c r="A1324" s="121" t="s">
        <v>127</v>
      </c>
      <c r="B1324" s="37" t="s">
        <v>63</v>
      </c>
      <c r="C1324" s="124">
        <v>2957378</v>
      </c>
      <c r="D1324" s="131">
        <v>7828953</v>
      </c>
      <c r="E1324" s="49"/>
      <c r="F1324" s="49"/>
      <c r="G1324" s="49"/>
      <c r="H1324" s="51">
        <v>3000000</v>
      </c>
      <c r="I1324" s="53">
        <v>380404</v>
      </c>
      <c r="J1324" s="30">
        <f>+SUM(C1324:G1324)-(H1324+I1324)</f>
        <v>7405927</v>
      </c>
      <c r="K1324" s="143"/>
      <c r="L1324" s="5"/>
      <c r="M1324" s="5"/>
      <c r="N1324" s="5"/>
      <c r="O1324" s="5"/>
    </row>
    <row r="1325" spans="1:15">
      <c r="A1325" s="121" t="s">
        <v>127</v>
      </c>
      <c r="B1325" s="37" t="s">
        <v>64</v>
      </c>
      <c r="C1325" s="124">
        <v>28018504</v>
      </c>
      <c r="D1325" s="49"/>
      <c r="E1325" s="48"/>
      <c r="F1325" s="48"/>
      <c r="G1325" s="48"/>
      <c r="H1325" s="32">
        <v>341000</v>
      </c>
      <c r="I1325" s="50">
        <v>4705439</v>
      </c>
      <c r="J1325" s="30">
        <f>SUM(C1325:G1325)-(H1325+I1325)</f>
        <v>22972065</v>
      </c>
      <c r="K1325" s="143"/>
      <c r="L1325" s="5"/>
      <c r="M1325" s="5"/>
      <c r="N1325" s="5"/>
      <c r="O1325" s="5"/>
    </row>
    <row r="1326" spans="1:15" ht="15.75">
      <c r="C1326" s="140">
        <f>SUM(C1308:C1325)</f>
        <v>33471403</v>
      </c>
      <c r="I1326" s="139">
        <f>SUM(I1308:I1325)</f>
        <v>9588313</v>
      </c>
      <c r="J1326" s="104">
        <f>+SUM(J1308:J1325)</f>
        <v>31712043</v>
      </c>
      <c r="L1326" s="5"/>
      <c r="M1326" s="5"/>
      <c r="N1326" s="5"/>
      <c r="O1326" s="5"/>
    </row>
    <row r="1327" spans="1:15" ht="16.5">
      <c r="A1327" s="14"/>
      <c r="B1327" s="15"/>
      <c r="C1327" s="12" t="e">
        <f>C1326=C1246</f>
        <v>#REF!</v>
      </c>
      <c r="D1327" s="12"/>
      <c r="E1327" s="13"/>
      <c r="F1327" s="12"/>
      <c r="G1327" s="12"/>
      <c r="H1327" s="12"/>
      <c r="I1327" s="12"/>
      <c r="L1327" s="5"/>
      <c r="M1327" s="5"/>
      <c r="N1327" s="5"/>
      <c r="O1327" s="5"/>
    </row>
    <row r="1328" spans="1:15">
      <c r="A1328" s="16" t="s">
        <v>52</v>
      </c>
      <c r="B1328" s="16"/>
      <c r="C1328" s="16"/>
      <c r="D1328" s="17"/>
      <c r="E1328" s="17"/>
      <c r="F1328" s="17"/>
      <c r="G1328" s="17"/>
      <c r="H1328" s="17"/>
      <c r="I1328" s="17"/>
      <c r="L1328" s="5"/>
      <c r="M1328" s="5"/>
      <c r="N1328" s="5"/>
      <c r="O1328" s="5"/>
    </row>
    <row r="1329" spans="1:15">
      <c r="A1329" s="18" t="s">
        <v>119</v>
      </c>
      <c r="B1329" s="18"/>
      <c r="C1329" s="18"/>
      <c r="D1329" s="18"/>
      <c r="E1329" s="18"/>
      <c r="F1329" s="18"/>
      <c r="G1329" s="18"/>
      <c r="H1329" s="18"/>
      <c r="I1329" s="18"/>
      <c r="J1329" s="17"/>
      <c r="L1329" s="5"/>
      <c r="M1329" s="5"/>
      <c r="N1329" s="5"/>
      <c r="O1329" s="5"/>
    </row>
    <row r="1330" spans="1:15">
      <c r="A1330" s="19"/>
      <c r="B1330" s="17"/>
      <c r="C1330" s="20"/>
      <c r="D1330" s="20"/>
      <c r="E1330" s="20"/>
      <c r="F1330" s="20"/>
      <c r="G1330" s="20"/>
      <c r="H1330" s="17"/>
      <c r="I1330" s="17"/>
      <c r="J1330" s="18"/>
      <c r="L1330" s="5"/>
      <c r="M1330" s="5"/>
      <c r="N1330" s="5"/>
      <c r="O1330" s="5"/>
    </row>
    <row r="1331" spans="1:15">
      <c r="A1331" s="166" t="s">
        <v>53</v>
      </c>
      <c r="B1331" s="168" t="s">
        <v>54</v>
      </c>
      <c r="C1331" s="170" t="s">
        <v>121</v>
      </c>
      <c r="D1331" s="171" t="s">
        <v>55</v>
      </c>
      <c r="E1331" s="172"/>
      <c r="F1331" s="172"/>
      <c r="G1331" s="173"/>
      <c r="H1331" s="174" t="s">
        <v>56</v>
      </c>
      <c r="I1331" s="162" t="s">
        <v>57</v>
      </c>
      <c r="J1331" s="17"/>
      <c r="L1331" s="5"/>
      <c r="M1331" s="5"/>
      <c r="N1331" s="5"/>
      <c r="O1331" s="5"/>
    </row>
    <row r="1332" spans="1:15" ht="25.5">
      <c r="A1332" s="167"/>
      <c r="B1332" s="169"/>
      <c r="C1332" s="22"/>
      <c r="D1332" s="21" t="s">
        <v>24</v>
      </c>
      <c r="E1332" s="21" t="s">
        <v>25</v>
      </c>
      <c r="F1332" s="22" t="s">
        <v>123</v>
      </c>
      <c r="G1332" s="21" t="s">
        <v>58</v>
      </c>
      <c r="H1332" s="175"/>
      <c r="I1332" s="163"/>
      <c r="J1332" s="164" t="s">
        <v>122</v>
      </c>
      <c r="K1332" s="142"/>
      <c r="L1332" s="5"/>
      <c r="M1332" s="5"/>
      <c r="N1332" s="5"/>
      <c r="O1332" s="5"/>
    </row>
    <row r="1333" spans="1:15">
      <c r="A1333" s="23"/>
      <c r="B1333" s="24" t="s">
        <v>59</v>
      </c>
      <c r="C1333" s="25"/>
      <c r="D1333" s="25"/>
      <c r="E1333" s="25"/>
      <c r="F1333" s="25"/>
      <c r="G1333" s="25"/>
      <c r="H1333" s="25"/>
      <c r="I1333" s="26"/>
      <c r="J1333" s="165"/>
      <c r="K1333" s="142"/>
      <c r="L1333" s="5"/>
      <c r="M1333" s="5"/>
      <c r="N1333" s="5"/>
      <c r="O1333" s="5"/>
    </row>
    <row r="1334" spans="1:15">
      <c r="A1334" s="121" t="s">
        <v>120</v>
      </c>
      <c r="B1334" s="126" t="s">
        <v>76</v>
      </c>
      <c r="C1334" s="32">
        <v>7670</v>
      </c>
      <c r="D1334" s="31"/>
      <c r="E1334" s="32">
        <v>438000</v>
      </c>
      <c r="F1334" s="32"/>
      <c r="G1334" s="32"/>
      <c r="H1334" s="55">
        <v>40000</v>
      </c>
      <c r="I1334" s="32">
        <v>406120</v>
      </c>
      <c r="J1334" s="30">
        <f>+SUM(C1334:G1334)-(H1334+I1334)</f>
        <v>-450</v>
      </c>
      <c r="K1334" s="143" t="e">
        <f>J1334=#REF!</f>
        <v>#REF!</v>
      </c>
      <c r="L1334" s="5"/>
      <c r="M1334" s="5"/>
      <c r="N1334" s="5"/>
      <c r="O1334" s="5"/>
    </row>
    <row r="1335" spans="1:15">
      <c r="A1335" s="121" t="s">
        <v>120</v>
      </c>
      <c r="B1335" s="126" t="s">
        <v>47</v>
      </c>
      <c r="C1335" s="32">
        <v>4710</v>
      </c>
      <c r="D1335" s="31"/>
      <c r="E1335" s="32">
        <v>303000</v>
      </c>
      <c r="F1335" s="32">
        <f>25000+91000+62000</f>
        <v>178000</v>
      </c>
      <c r="G1335" s="32"/>
      <c r="H1335" s="55">
        <v>29000</v>
      </c>
      <c r="I1335" s="32">
        <v>444200</v>
      </c>
      <c r="J1335" s="30">
        <f t="shared" ref="J1335:J1336" si="679">+SUM(C1335:G1335)-(H1335+I1335)</f>
        <v>12510</v>
      </c>
      <c r="K1335" s="143" t="b">
        <f>J1335=I1235</f>
        <v>0</v>
      </c>
      <c r="L1335" s="5"/>
      <c r="M1335" s="5"/>
      <c r="N1335" s="5"/>
      <c r="O1335" s="5"/>
    </row>
    <row r="1336" spans="1:15">
      <c r="A1336" s="121" t="s">
        <v>120</v>
      </c>
      <c r="B1336" s="126" t="s">
        <v>31</v>
      </c>
      <c r="C1336" s="32">
        <v>9295</v>
      </c>
      <c r="D1336" s="31"/>
      <c r="E1336" s="32">
        <v>743000</v>
      </c>
      <c r="F1336" s="32">
        <v>2000</v>
      </c>
      <c r="G1336" s="32"/>
      <c r="H1336" s="32">
        <f>103000+91000+137000+101000+91000</f>
        <v>523000</v>
      </c>
      <c r="I1336" s="32">
        <v>228400</v>
      </c>
      <c r="J1336" s="100">
        <f t="shared" si="679"/>
        <v>2895</v>
      </c>
      <c r="K1336" s="143" t="b">
        <f>J1336=I1236</f>
        <v>0</v>
      </c>
      <c r="L1336" s="5"/>
      <c r="M1336" s="5"/>
      <c r="N1336" s="5"/>
      <c r="O1336" s="5"/>
    </row>
    <row r="1337" spans="1:15">
      <c r="A1337" s="121" t="s">
        <v>120</v>
      </c>
      <c r="B1337" s="126" t="s">
        <v>77</v>
      </c>
      <c r="C1337" s="32">
        <v>-25100</v>
      </c>
      <c r="D1337" s="103"/>
      <c r="E1337" s="32">
        <v>121100</v>
      </c>
      <c r="F1337" s="32">
        <f>103000+1000+28000+137000</f>
        <v>269000</v>
      </c>
      <c r="G1337" s="32"/>
      <c r="H1337" s="32"/>
      <c r="I1337" s="32">
        <v>302960</v>
      </c>
      <c r="J1337" s="100">
        <f>+SUM(C1337:G1337)-(H1337+I1337)</f>
        <v>62040</v>
      </c>
      <c r="K1337" s="143" t="b">
        <f>J1337=I1237</f>
        <v>0</v>
      </c>
      <c r="L1337" s="5"/>
      <c r="M1337" s="5"/>
      <c r="N1337" s="5"/>
      <c r="O1337" s="5"/>
    </row>
    <row r="1338" spans="1:15">
      <c r="A1338" s="121" t="s">
        <v>120</v>
      </c>
      <c r="B1338" s="126" t="s">
        <v>69</v>
      </c>
      <c r="C1338" s="32">
        <v>7384</v>
      </c>
      <c r="D1338" s="103"/>
      <c r="E1338" s="32">
        <v>319000</v>
      </c>
      <c r="F1338" s="32">
        <v>101000</v>
      </c>
      <c r="G1338" s="32"/>
      <c r="H1338" s="32">
        <v>62000</v>
      </c>
      <c r="I1338" s="32">
        <v>365200</v>
      </c>
      <c r="J1338" s="100">
        <f t="shared" ref="J1338" si="680">+SUM(C1338:G1338)-(H1338+I1338)</f>
        <v>184</v>
      </c>
      <c r="K1338" s="143" t="e">
        <f>J1338=#REF!</f>
        <v>#REF!</v>
      </c>
      <c r="L1338" s="5"/>
      <c r="M1338" s="5"/>
      <c r="N1338" s="5"/>
      <c r="O1338" s="5"/>
    </row>
    <row r="1339" spans="1:15">
      <c r="A1339" s="121" t="s">
        <v>120</v>
      </c>
      <c r="B1339" s="127" t="s">
        <v>30</v>
      </c>
      <c r="C1339" s="32">
        <v>61300</v>
      </c>
      <c r="D1339" s="118"/>
      <c r="E1339" s="51">
        <v>931200</v>
      </c>
      <c r="F1339" s="51"/>
      <c r="G1339" s="51"/>
      <c r="H1339" s="51">
        <v>28000</v>
      </c>
      <c r="I1339" s="51">
        <v>1001000</v>
      </c>
      <c r="J1339" s="123">
        <f>+SUM(C1339:G1339)-(H1339+I1339)</f>
        <v>-36500</v>
      </c>
      <c r="K1339" s="143" t="b">
        <f t="shared" ref="K1339:K1346" si="681">J1339=I1238</f>
        <v>0</v>
      </c>
      <c r="L1339" s="5"/>
      <c r="M1339" s="5"/>
      <c r="N1339" s="5"/>
      <c r="O1339" s="5"/>
    </row>
    <row r="1340" spans="1:15">
      <c r="A1340" s="121" t="s">
        <v>120</v>
      </c>
      <c r="B1340" s="128" t="s">
        <v>84</v>
      </c>
      <c r="C1340" s="119">
        <v>233614</v>
      </c>
      <c r="D1340" s="122"/>
      <c r="E1340" s="136"/>
      <c r="F1340" s="136"/>
      <c r="G1340" s="136"/>
      <c r="H1340" s="136"/>
      <c r="I1340" s="136"/>
      <c r="J1340" s="120">
        <f>+SUM(C1340:G1340)-(H1340+I1340)</f>
        <v>233614</v>
      </c>
      <c r="K1340" s="143" t="b">
        <f t="shared" si="681"/>
        <v>0</v>
      </c>
      <c r="L1340" s="5"/>
      <c r="M1340" s="5"/>
      <c r="N1340" s="5"/>
      <c r="O1340" s="5"/>
    </row>
    <row r="1341" spans="1:15">
      <c r="A1341" s="121" t="s">
        <v>120</v>
      </c>
      <c r="B1341" s="128" t="s">
        <v>83</v>
      </c>
      <c r="C1341" s="119">
        <v>249769</v>
      </c>
      <c r="D1341" s="122"/>
      <c r="E1341" s="136"/>
      <c r="F1341" s="136"/>
      <c r="G1341" s="136"/>
      <c r="H1341" s="136"/>
      <c r="I1341" s="136"/>
      <c r="J1341" s="120">
        <f t="shared" ref="J1341:J1344" si="682">+SUM(C1341:G1341)-(H1341+I1341)</f>
        <v>249769</v>
      </c>
      <c r="K1341" s="143" t="b">
        <f t="shared" si="681"/>
        <v>0</v>
      </c>
      <c r="L1341" s="5"/>
      <c r="M1341" s="5"/>
      <c r="N1341" s="5"/>
      <c r="O1341" s="5"/>
    </row>
    <row r="1342" spans="1:15">
      <c r="A1342" s="121" t="s">
        <v>120</v>
      </c>
      <c r="B1342" s="126" t="s">
        <v>35</v>
      </c>
      <c r="C1342" s="32">
        <v>4500</v>
      </c>
      <c r="D1342" s="31"/>
      <c r="E1342" s="32">
        <v>234000</v>
      </c>
      <c r="F1342" s="32">
        <v>40000</v>
      </c>
      <c r="G1342" s="103"/>
      <c r="H1342" s="103"/>
      <c r="I1342" s="32">
        <v>207300</v>
      </c>
      <c r="J1342" s="30">
        <f t="shared" si="682"/>
        <v>71200</v>
      </c>
      <c r="K1342" s="143" t="b">
        <f t="shared" si="681"/>
        <v>0</v>
      </c>
      <c r="L1342" s="5"/>
      <c r="M1342" s="5"/>
      <c r="N1342" s="5"/>
      <c r="O1342" s="5"/>
    </row>
    <row r="1343" spans="1:15">
      <c r="A1343" s="121" t="s">
        <v>120</v>
      </c>
      <c r="B1343" s="126" t="s">
        <v>93</v>
      </c>
      <c r="C1343" s="32">
        <v>-6000</v>
      </c>
      <c r="D1343" s="31"/>
      <c r="E1343" s="32">
        <v>61000</v>
      </c>
      <c r="F1343" s="103"/>
      <c r="G1343" s="103"/>
      <c r="H1343" s="103"/>
      <c r="I1343" s="32">
        <v>49000</v>
      </c>
      <c r="J1343" s="30">
        <f t="shared" si="682"/>
        <v>6000</v>
      </c>
      <c r="K1343" s="143" t="b">
        <f t="shared" si="681"/>
        <v>0</v>
      </c>
      <c r="L1343" s="5"/>
      <c r="M1343" s="5"/>
      <c r="N1343" s="5"/>
      <c r="O1343" s="5"/>
    </row>
    <row r="1344" spans="1:15">
      <c r="A1344" s="121" t="s">
        <v>120</v>
      </c>
      <c r="B1344" s="126" t="s">
        <v>29</v>
      </c>
      <c r="C1344" s="32">
        <v>72200</v>
      </c>
      <c r="D1344" s="31"/>
      <c r="E1344" s="32">
        <v>722000</v>
      </c>
      <c r="F1344" s="103"/>
      <c r="G1344" s="103"/>
      <c r="H1344" s="103"/>
      <c r="I1344" s="32">
        <v>626500</v>
      </c>
      <c r="J1344" s="30">
        <f t="shared" si="682"/>
        <v>167700</v>
      </c>
      <c r="K1344" s="143" t="b">
        <f t="shared" si="681"/>
        <v>0</v>
      </c>
      <c r="L1344" s="5"/>
      <c r="M1344" s="5"/>
      <c r="N1344" s="5"/>
      <c r="O1344" s="5"/>
    </row>
    <row r="1345" spans="1:15">
      <c r="A1345" s="121" t="s">
        <v>120</v>
      </c>
      <c r="B1345" s="126" t="s">
        <v>32</v>
      </c>
      <c r="C1345" s="32">
        <v>9300</v>
      </c>
      <c r="D1345" s="31"/>
      <c r="E1345" s="32">
        <v>60000</v>
      </c>
      <c r="F1345" s="103"/>
      <c r="G1345" s="103"/>
      <c r="H1345" s="103"/>
      <c r="I1345" s="32">
        <v>4000</v>
      </c>
      <c r="J1345" s="30">
        <f t="shared" ref="J1345:J1346" si="683">+SUM(C1345:G1345)-(H1345+I1345)</f>
        <v>65300</v>
      </c>
      <c r="K1345" s="143" t="b">
        <f t="shared" si="681"/>
        <v>0</v>
      </c>
      <c r="L1345" s="5"/>
      <c r="M1345" s="5"/>
      <c r="N1345" s="5"/>
      <c r="O1345" s="5"/>
    </row>
    <row r="1346" spans="1:15">
      <c r="A1346" s="121" t="s">
        <v>120</v>
      </c>
      <c r="B1346" s="127" t="s">
        <v>113</v>
      </c>
      <c r="C1346" s="32">
        <v>-14000</v>
      </c>
      <c r="D1346" s="118"/>
      <c r="E1346" s="51">
        <v>378000</v>
      </c>
      <c r="F1346" s="51">
        <f>29000+91000</f>
        <v>120000</v>
      </c>
      <c r="G1346" s="137"/>
      <c r="H1346" s="51">
        <f>2000+1000+25000</f>
        <v>28000</v>
      </c>
      <c r="I1346" s="51">
        <v>467700</v>
      </c>
      <c r="J1346" s="30">
        <f t="shared" si="683"/>
        <v>-11700</v>
      </c>
      <c r="K1346" s="143" t="b">
        <f t="shared" si="681"/>
        <v>0</v>
      </c>
      <c r="L1346" s="5"/>
      <c r="M1346" s="5"/>
      <c r="N1346" s="5"/>
      <c r="O1346" s="5"/>
    </row>
    <row r="1347" spans="1:15">
      <c r="A1347" s="34" t="s">
        <v>60</v>
      </c>
      <c r="B1347" s="35"/>
      <c r="C1347" s="35"/>
      <c r="D1347" s="35"/>
      <c r="E1347" s="35"/>
      <c r="F1347" s="35"/>
      <c r="G1347" s="35"/>
      <c r="H1347" s="35"/>
      <c r="I1347" s="35"/>
      <c r="J1347" s="36"/>
      <c r="K1347" s="142"/>
      <c r="L1347" s="5"/>
      <c r="M1347" s="5"/>
      <c r="N1347" s="5"/>
      <c r="O1347" s="5"/>
    </row>
    <row r="1348" spans="1:15">
      <c r="A1348" s="121" t="s">
        <v>120</v>
      </c>
      <c r="B1348" s="37" t="s">
        <v>61</v>
      </c>
      <c r="C1348" s="38">
        <v>1148337</v>
      </c>
      <c r="D1348" s="49">
        <v>7000000</v>
      </c>
      <c r="E1348" s="102"/>
      <c r="F1348" s="102"/>
      <c r="G1348" s="138"/>
      <c r="H1348" s="130">
        <v>4310300</v>
      </c>
      <c r="I1348" s="125">
        <v>2165078</v>
      </c>
      <c r="J1348" s="30">
        <f>+SUM(C1348:G1348)-(H1348+I1348)</f>
        <v>1672959</v>
      </c>
      <c r="K1348" s="143" t="b">
        <f>J1348=I1234</f>
        <v>0</v>
      </c>
      <c r="L1348" s="5"/>
      <c r="M1348" s="5"/>
      <c r="N1348" s="5"/>
      <c r="O1348" s="5"/>
    </row>
    <row r="1349" spans="1:15">
      <c r="A1349" s="43" t="s">
        <v>62</v>
      </c>
      <c r="B1349" s="24"/>
      <c r="C1349" s="35"/>
      <c r="D1349" s="24"/>
      <c r="E1349" s="24"/>
      <c r="F1349" s="24"/>
      <c r="G1349" s="24"/>
      <c r="H1349" s="24"/>
      <c r="I1349" s="24"/>
      <c r="J1349" s="36"/>
      <c r="K1349" s="142"/>
      <c r="L1349" s="5"/>
      <c r="M1349" s="5"/>
      <c r="N1349" s="5"/>
      <c r="O1349" s="5"/>
    </row>
    <row r="1350" spans="1:15">
      <c r="A1350" s="121" t="s">
        <v>120</v>
      </c>
      <c r="B1350" s="37" t="s">
        <v>63</v>
      </c>
      <c r="C1350" s="124">
        <v>10113263</v>
      </c>
      <c r="D1350" s="131">
        <v>0</v>
      </c>
      <c r="E1350" s="49"/>
      <c r="F1350" s="49"/>
      <c r="G1350" s="49"/>
      <c r="H1350" s="51">
        <v>7000000</v>
      </c>
      <c r="I1350" s="53">
        <v>155885</v>
      </c>
      <c r="J1350" s="30">
        <f>+SUM(C1350:G1350)-(H1350+I1350)</f>
        <v>2957378</v>
      </c>
      <c r="K1350" s="143" t="e">
        <f>+J1350=#REF!</f>
        <v>#REF!</v>
      </c>
      <c r="L1350" s="5"/>
      <c r="M1350" s="5"/>
      <c r="N1350" s="5"/>
      <c r="O1350" s="5"/>
    </row>
    <row r="1351" spans="1:15">
      <c r="A1351" s="121" t="s">
        <v>120</v>
      </c>
      <c r="B1351" s="37" t="s">
        <v>64</v>
      </c>
      <c r="C1351" s="124">
        <v>6219904</v>
      </c>
      <c r="D1351" s="49">
        <v>28506579</v>
      </c>
      <c r="E1351" s="48"/>
      <c r="F1351" s="48"/>
      <c r="G1351" s="48"/>
      <c r="H1351" s="32"/>
      <c r="I1351" s="50">
        <v>6707979</v>
      </c>
      <c r="J1351" s="30">
        <f>SUM(C1351:G1351)-(H1351+I1351)</f>
        <v>28018504</v>
      </c>
      <c r="K1351" s="143" t="b">
        <f>+J1351=I1233</f>
        <v>0</v>
      </c>
      <c r="L1351" s="5"/>
      <c r="M1351" s="5"/>
      <c r="N1351" s="5"/>
      <c r="O1351" s="5"/>
    </row>
    <row r="1352" spans="1:15" ht="15.75">
      <c r="C1352" s="140">
        <f>SUM(C1334:C1351)</f>
        <v>18096146</v>
      </c>
      <c r="I1352" s="139">
        <f>SUM(I1334:I1351)</f>
        <v>13131322</v>
      </c>
      <c r="J1352" s="104">
        <f>+SUM(J1334:J1351)</f>
        <v>33471403</v>
      </c>
      <c r="K1352" s="5" t="b">
        <f>J1352=I1246</f>
        <v>0</v>
      </c>
      <c r="L1352" s="5"/>
      <c r="M1352" s="5"/>
      <c r="N1352" s="5"/>
      <c r="O1352" s="5"/>
    </row>
    <row r="1353" spans="1:15" ht="16.5">
      <c r="A1353" s="14"/>
      <c r="B1353" s="15"/>
      <c r="C1353" s="12" t="e">
        <f>C1352=C1246</f>
        <v>#REF!</v>
      </c>
      <c r="D1353" s="12"/>
      <c r="E1353" s="13"/>
      <c r="F1353" s="12"/>
      <c r="G1353" s="12"/>
      <c r="H1353" s="12"/>
      <c r="I1353" s="12"/>
      <c r="L1353" s="5"/>
      <c r="M1353" s="5"/>
      <c r="N1353" s="5"/>
      <c r="O1353" s="5"/>
    </row>
    <row r="1354" spans="1:15" ht="16.5">
      <c r="A1354" s="14"/>
      <c r="B1354" s="15"/>
      <c r="C1354" s="12"/>
      <c r="D1354" s="12"/>
      <c r="E1354" s="13"/>
      <c r="F1354" s="12"/>
      <c r="G1354" s="12"/>
      <c r="H1354" s="12"/>
      <c r="I1354" s="12"/>
      <c r="L1354" s="5"/>
      <c r="M1354" s="5"/>
      <c r="N1354" s="5"/>
      <c r="O1354" s="5"/>
    </row>
    <row r="1355" spans="1:15">
      <c r="A1355" s="16" t="s">
        <v>52</v>
      </c>
      <c r="B1355" s="16"/>
      <c r="C1355" s="16"/>
      <c r="D1355" s="17"/>
      <c r="E1355" s="17"/>
      <c r="F1355" s="17"/>
      <c r="G1355" s="17"/>
      <c r="H1355" s="17"/>
      <c r="I1355" s="17"/>
      <c r="L1355" s="5"/>
      <c r="M1355" s="5"/>
      <c r="N1355" s="5"/>
      <c r="O1355" s="5"/>
    </row>
    <row r="1356" spans="1:15">
      <c r="A1356" s="18" t="s">
        <v>114</v>
      </c>
      <c r="B1356" s="18"/>
      <c r="C1356" s="18"/>
      <c r="D1356" s="18"/>
      <c r="E1356" s="18"/>
      <c r="F1356" s="18"/>
      <c r="G1356" s="18"/>
      <c r="H1356" s="18"/>
      <c r="I1356" s="18"/>
      <c r="J1356" s="17"/>
      <c r="L1356" s="5"/>
      <c r="M1356" s="5"/>
      <c r="N1356" s="5"/>
      <c r="O1356" s="5"/>
    </row>
    <row r="1357" spans="1:15">
      <c r="A1357" s="19"/>
      <c r="B1357" s="17"/>
      <c r="C1357" s="20"/>
      <c r="D1357" s="20"/>
      <c r="E1357" s="20"/>
      <c r="F1357" s="20"/>
      <c r="G1357" s="20"/>
      <c r="H1357" s="17"/>
      <c r="I1357" s="17"/>
      <c r="J1357" s="18"/>
      <c r="L1357" s="5"/>
      <c r="M1357" s="5"/>
      <c r="N1357" s="5"/>
      <c r="O1357" s="5"/>
    </row>
    <row r="1358" spans="1:15">
      <c r="A1358" s="166" t="s">
        <v>53</v>
      </c>
      <c r="B1358" s="168" t="s">
        <v>54</v>
      </c>
      <c r="C1358" s="170" t="s">
        <v>116</v>
      </c>
      <c r="D1358" s="171" t="s">
        <v>55</v>
      </c>
      <c r="E1358" s="172"/>
      <c r="F1358" s="172"/>
      <c r="G1358" s="173"/>
      <c r="H1358" s="174" t="s">
        <v>56</v>
      </c>
      <c r="I1358" s="162" t="s">
        <v>57</v>
      </c>
      <c r="J1358" s="17"/>
      <c r="L1358" s="5"/>
      <c r="M1358" s="5"/>
      <c r="N1358" s="5"/>
      <c r="O1358" s="5"/>
    </row>
    <row r="1359" spans="1:15" ht="25.5">
      <c r="A1359" s="167"/>
      <c r="B1359" s="169"/>
      <c r="C1359" s="22"/>
      <c r="D1359" s="21" t="s">
        <v>24</v>
      </c>
      <c r="E1359" s="21" t="s">
        <v>25</v>
      </c>
      <c r="F1359" s="22" t="s">
        <v>118</v>
      </c>
      <c r="G1359" s="21" t="s">
        <v>58</v>
      </c>
      <c r="H1359" s="175"/>
      <c r="I1359" s="163"/>
      <c r="J1359" s="164" t="s">
        <v>117</v>
      </c>
      <c r="L1359" s="5"/>
      <c r="M1359" s="5"/>
      <c r="N1359" s="5"/>
      <c r="O1359" s="5"/>
    </row>
    <row r="1360" spans="1:15">
      <c r="A1360" s="23"/>
      <c r="B1360" s="24" t="s">
        <v>59</v>
      </c>
      <c r="C1360" s="25"/>
      <c r="D1360" s="25"/>
      <c r="E1360" s="25"/>
      <c r="F1360" s="25"/>
      <c r="G1360" s="25"/>
      <c r="H1360" s="25"/>
      <c r="I1360" s="26"/>
      <c r="J1360" s="165"/>
      <c r="L1360" s="5"/>
      <c r="M1360" s="5"/>
      <c r="N1360" s="5"/>
      <c r="O1360" s="5"/>
    </row>
    <row r="1361" spans="1:15">
      <c r="A1361" s="121" t="s">
        <v>115</v>
      </c>
      <c r="B1361" s="126" t="s">
        <v>76</v>
      </c>
      <c r="C1361" s="32">
        <v>3670</v>
      </c>
      <c r="D1361" s="31"/>
      <c r="E1361" s="32">
        <v>118000</v>
      </c>
      <c r="F1361" s="32">
        <v>4000</v>
      </c>
      <c r="G1361" s="32"/>
      <c r="H1361" s="55"/>
      <c r="I1361" s="32">
        <v>118000</v>
      </c>
      <c r="J1361" s="30">
        <f>+SUM(C1361:G1361)-(H1361+I1361)</f>
        <v>7670</v>
      </c>
      <c r="K1361" s="141"/>
      <c r="L1361" s="5"/>
      <c r="M1361" s="5"/>
      <c r="N1361" s="5"/>
      <c r="O1361" s="5"/>
    </row>
    <row r="1362" spans="1:15">
      <c r="A1362" s="121" t="s">
        <v>115</v>
      </c>
      <c r="B1362" s="126" t="s">
        <v>47</v>
      </c>
      <c r="C1362" s="32">
        <v>-540</v>
      </c>
      <c r="D1362" s="31"/>
      <c r="E1362" s="32">
        <v>209750</v>
      </c>
      <c r="F1362" s="32">
        <v>5000</v>
      </c>
      <c r="G1362" s="32"/>
      <c r="H1362" s="55"/>
      <c r="I1362" s="32">
        <v>209500</v>
      </c>
      <c r="J1362" s="30">
        <f t="shared" ref="J1362:J1363" si="684">+SUM(C1362:G1362)-(H1362+I1362)</f>
        <v>4710</v>
      </c>
      <c r="K1362" s="141"/>
      <c r="L1362" s="5"/>
      <c r="M1362" s="5"/>
      <c r="N1362" s="5"/>
      <c r="O1362" s="5"/>
    </row>
    <row r="1363" spans="1:15">
      <c r="A1363" s="121" t="s">
        <v>115</v>
      </c>
      <c r="B1363" s="126" t="s">
        <v>31</v>
      </c>
      <c r="C1363" s="32">
        <v>2395</v>
      </c>
      <c r="D1363" s="31"/>
      <c r="E1363" s="32">
        <v>70000</v>
      </c>
      <c r="F1363" s="32">
        <v>4000</v>
      </c>
      <c r="G1363" s="32"/>
      <c r="H1363" s="32"/>
      <c r="I1363" s="32">
        <v>67100</v>
      </c>
      <c r="J1363" s="100">
        <f t="shared" si="684"/>
        <v>9295</v>
      </c>
      <c r="K1363" s="141"/>
      <c r="L1363" s="5"/>
      <c r="M1363" s="5"/>
      <c r="N1363" s="5"/>
      <c r="O1363" s="5"/>
    </row>
    <row r="1364" spans="1:15">
      <c r="A1364" s="121" t="s">
        <v>115</v>
      </c>
      <c r="B1364" s="126" t="s">
        <v>77</v>
      </c>
      <c r="C1364" s="32">
        <v>96100</v>
      </c>
      <c r="D1364" s="103"/>
      <c r="E1364" s="32">
        <v>488100</v>
      </c>
      <c r="F1364" s="32">
        <v>4000</v>
      </c>
      <c r="G1364" s="32"/>
      <c r="H1364" s="32">
        <v>61600</v>
      </c>
      <c r="I1364" s="32">
        <v>551700</v>
      </c>
      <c r="J1364" s="100">
        <f>+SUM(C1364:G1364)-(H1364+I1364)</f>
        <v>-25100</v>
      </c>
      <c r="K1364" s="141"/>
      <c r="L1364" s="5"/>
      <c r="M1364" s="5"/>
      <c r="N1364" s="5"/>
      <c r="O1364" s="5"/>
    </row>
    <row r="1365" spans="1:15">
      <c r="A1365" s="121" t="s">
        <v>115</v>
      </c>
      <c r="B1365" s="126" t="s">
        <v>69</v>
      </c>
      <c r="C1365" s="32">
        <v>13884</v>
      </c>
      <c r="D1365" s="103"/>
      <c r="E1365" s="32">
        <v>194000</v>
      </c>
      <c r="F1365" s="32"/>
      <c r="G1365" s="32"/>
      <c r="H1365" s="32">
        <v>17000</v>
      </c>
      <c r="I1365" s="32">
        <v>183500</v>
      </c>
      <c r="J1365" s="100">
        <f t="shared" ref="J1365" si="685">+SUM(C1365:G1365)-(H1365+I1365)</f>
        <v>7384</v>
      </c>
      <c r="K1365" s="141"/>
      <c r="L1365" s="5"/>
      <c r="M1365" s="5"/>
      <c r="N1365" s="5"/>
      <c r="O1365" s="5"/>
    </row>
    <row r="1366" spans="1:15">
      <c r="A1366" s="121" t="s">
        <v>115</v>
      </c>
      <c r="B1366" s="127" t="s">
        <v>30</v>
      </c>
      <c r="C1366" s="32">
        <v>72400</v>
      </c>
      <c r="D1366" s="118"/>
      <c r="E1366" s="51">
        <v>599900</v>
      </c>
      <c r="F1366" s="51"/>
      <c r="G1366" s="51"/>
      <c r="H1366" s="51"/>
      <c r="I1366" s="51">
        <v>611000</v>
      </c>
      <c r="J1366" s="123">
        <f>+SUM(C1366:G1366)-(H1366+I1366)</f>
        <v>61300</v>
      </c>
      <c r="K1366" s="141"/>
      <c r="L1366" s="5"/>
      <c r="M1366" s="5"/>
      <c r="N1366" s="5"/>
      <c r="O1366" s="5"/>
    </row>
    <row r="1367" spans="1:15">
      <c r="A1367" s="121" t="s">
        <v>115</v>
      </c>
      <c r="B1367" s="128" t="s">
        <v>84</v>
      </c>
      <c r="C1367" s="119">
        <v>233614</v>
      </c>
      <c r="D1367" s="122"/>
      <c r="E1367" s="136"/>
      <c r="F1367" s="136"/>
      <c r="G1367" s="136"/>
      <c r="H1367" s="136"/>
      <c r="I1367" s="136"/>
      <c r="J1367" s="120">
        <f>+SUM(C1367:G1367)-(H1367+I1367)</f>
        <v>233614</v>
      </c>
      <c r="K1367" s="141"/>
      <c r="L1367" s="5"/>
      <c r="M1367" s="5"/>
      <c r="N1367" s="5"/>
      <c r="O1367" s="5"/>
    </row>
    <row r="1368" spans="1:15">
      <c r="A1368" s="121" t="s">
        <v>115</v>
      </c>
      <c r="B1368" s="128" t="s">
        <v>83</v>
      </c>
      <c r="C1368" s="119">
        <v>249769</v>
      </c>
      <c r="D1368" s="122"/>
      <c r="E1368" s="136"/>
      <c r="F1368" s="136"/>
      <c r="G1368" s="136"/>
      <c r="H1368" s="136"/>
      <c r="I1368" s="136"/>
      <c r="J1368" s="120">
        <f t="shared" ref="J1368:J1375" si="686">+SUM(C1368:G1368)-(H1368+I1368)</f>
        <v>249769</v>
      </c>
      <c r="K1368" s="141"/>
      <c r="L1368" s="5"/>
      <c r="M1368" s="5"/>
      <c r="N1368" s="5"/>
      <c r="O1368" s="5"/>
    </row>
    <row r="1369" spans="1:15">
      <c r="A1369" s="121" t="s">
        <v>115</v>
      </c>
      <c r="B1369" s="126" t="s">
        <v>35</v>
      </c>
      <c r="C1369" s="32">
        <v>18490</v>
      </c>
      <c r="D1369" s="31"/>
      <c r="E1369" s="32">
        <v>796460</v>
      </c>
      <c r="F1369" s="32">
        <v>61600</v>
      </c>
      <c r="G1369" s="103"/>
      <c r="H1369" s="103"/>
      <c r="I1369" s="32">
        <v>872050</v>
      </c>
      <c r="J1369" s="30">
        <f t="shared" si="686"/>
        <v>4500</v>
      </c>
      <c r="K1369" s="141"/>
      <c r="L1369" s="5"/>
      <c r="M1369" s="5"/>
      <c r="N1369" s="5"/>
      <c r="O1369" s="5"/>
    </row>
    <row r="1370" spans="1:15">
      <c r="A1370" s="121" t="s">
        <v>115</v>
      </c>
      <c r="B1370" s="126" t="s">
        <v>93</v>
      </c>
      <c r="C1370" s="32">
        <v>4500</v>
      </c>
      <c r="D1370" s="31"/>
      <c r="E1370" s="32">
        <v>40000</v>
      </c>
      <c r="F1370" s="103"/>
      <c r="G1370" s="103"/>
      <c r="H1370" s="103"/>
      <c r="I1370" s="32">
        <v>50500</v>
      </c>
      <c r="J1370" s="30">
        <f t="shared" si="686"/>
        <v>-6000</v>
      </c>
      <c r="K1370" s="141"/>
      <c r="L1370" s="5"/>
      <c r="M1370" s="5"/>
      <c r="N1370" s="5"/>
      <c r="O1370" s="5"/>
    </row>
    <row r="1371" spans="1:15">
      <c r="A1371" s="121" t="s">
        <v>115</v>
      </c>
      <c r="B1371" s="126" t="s">
        <v>29</v>
      </c>
      <c r="C1371" s="32">
        <v>44200</v>
      </c>
      <c r="D1371" s="31"/>
      <c r="E1371" s="32">
        <v>60000</v>
      </c>
      <c r="F1371" s="103"/>
      <c r="G1371" s="103"/>
      <c r="H1371" s="103"/>
      <c r="I1371" s="32">
        <v>32000</v>
      </c>
      <c r="J1371" s="30">
        <f t="shared" si="686"/>
        <v>72200</v>
      </c>
      <c r="K1371" s="141"/>
      <c r="L1371" s="5"/>
      <c r="M1371" s="5"/>
      <c r="N1371" s="5"/>
      <c r="O1371" s="5"/>
    </row>
    <row r="1372" spans="1:15">
      <c r="A1372" s="121" t="s">
        <v>115</v>
      </c>
      <c r="B1372" s="126" t="s">
        <v>94</v>
      </c>
      <c r="C1372" s="32">
        <v>-851709</v>
      </c>
      <c r="D1372" s="31"/>
      <c r="E1372" s="32">
        <v>851709</v>
      </c>
      <c r="F1372" s="103"/>
      <c r="G1372" s="103"/>
      <c r="H1372" s="103"/>
      <c r="I1372" s="32"/>
      <c r="J1372" s="30">
        <f>+SUM(C1372:G1372)-(H1372+I1372)</f>
        <v>0</v>
      </c>
      <c r="K1372" s="141"/>
      <c r="L1372" s="5"/>
      <c r="M1372" s="5"/>
      <c r="N1372" s="5"/>
      <c r="O1372" s="5"/>
    </row>
    <row r="1373" spans="1:15">
      <c r="A1373" s="121" t="s">
        <v>115</v>
      </c>
      <c r="B1373" s="126" t="s">
        <v>101</v>
      </c>
      <c r="C1373" s="32">
        <v>90300</v>
      </c>
      <c r="D1373" s="31"/>
      <c r="E1373" s="32">
        <v>69200</v>
      </c>
      <c r="F1373" s="103"/>
      <c r="G1373" s="103"/>
      <c r="H1373" s="103"/>
      <c r="I1373" s="32">
        <v>159500</v>
      </c>
      <c r="J1373" s="30">
        <f t="shared" si="686"/>
        <v>0</v>
      </c>
      <c r="K1373" s="141"/>
      <c r="L1373" s="5"/>
      <c r="M1373" s="5"/>
      <c r="N1373" s="5"/>
      <c r="O1373" s="5"/>
    </row>
    <row r="1374" spans="1:15">
      <c r="A1374" s="121" t="s">
        <v>115</v>
      </c>
      <c r="B1374" s="126" t="s">
        <v>32</v>
      </c>
      <c r="C1374" s="32">
        <v>300</v>
      </c>
      <c r="D1374" s="31"/>
      <c r="E1374" s="32">
        <v>20000</v>
      </c>
      <c r="F1374" s="103"/>
      <c r="G1374" s="103"/>
      <c r="H1374" s="103"/>
      <c r="I1374" s="32">
        <v>11000</v>
      </c>
      <c r="J1374" s="30">
        <f t="shared" si="686"/>
        <v>9300</v>
      </c>
      <c r="K1374" s="141"/>
      <c r="L1374" s="5"/>
      <c r="M1374" s="5"/>
      <c r="N1374" s="5"/>
      <c r="O1374" s="5"/>
    </row>
    <row r="1375" spans="1:15">
      <c r="A1375" s="121" t="s">
        <v>115</v>
      </c>
      <c r="B1375" s="127" t="s">
        <v>113</v>
      </c>
      <c r="C1375" s="32">
        <v>0</v>
      </c>
      <c r="D1375" s="118"/>
      <c r="E1375" s="135"/>
      <c r="F1375" s="135"/>
      <c r="G1375" s="137"/>
      <c r="H1375" s="135"/>
      <c r="I1375" s="51">
        <v>14000</v>
      </c>
      <c r="J1375" s="30">
        <f t="shared" si="686"/>
        <v>-14000</v>
      </c>
      <c r="K1375" s="141"/>
      <c r="L1375" s="5"/>
      <c r="M1375" s="5"/>
      <c r="N1375" s="5"/>
      <c r="O1375" s="5"/>
    </row>
    <row r="1376" spans="1:15">
      <c r="A1376" s="34" t="s">
        <v>60</v>
      </c>
      <c r="B1376" s="35"/>
      <c r="C1376" s="35"/>
      <c r="D1376" s="35"/>
      <c r="E1376" s="35"/>
      <c r="F1376" s="35"/>
      <c r="G1376" s="35"/>
      <c r="H1376" s="35"/>
      <c r="I1376" s="35"/>
      <c r="J1376" s="36"/>
      <c r="L1376" s="5"/>
      <c r="M1376" s="5"/>
      <c r="N1376" s="5"/>
      <c r="O1376" s="5"/>
    </row>
    <row r="1377" spans="1:15">
      <c r="A1377" s="121" t="s">
        <v>115</v>
      </c>
      <c r="B1377" s="37" t="s">
        <v>61</v>
      </c>
      <c r="C1377" s="38" t="e">
        <f>C1234</f>
        <v>#REF!</v>
      </c>
      <c r="D1377" s="49">
        <v>5872000</v>
      </c>
      <c r="E1377" s="102"/>
      <c r="F1377" s="102"/>
      <c r="G1377" s="138"/>
      <c r="H1377" s="130">
        <v>3517119</v>
      </c>
      <c r="I1377" s="125">
        <v>1523260</v>
      </c>
      <c r="J1377" s="30" t="e">
        <f>+SUM(C1377:G1377)-(H1377+I1377)</f>
        <v>#REF!</v>
      </c>
      <c r="K1377" s="141"/>
      <c r="L1377" s="5"/>
      <c r="M1377" s="5"/>
      <c r="N1377" s="5"/>
      <c r="O1377" s="5"/>
    </row>
    <row r="1378" spans="1:15">
      <c r="A1378" s="43" t="s">
        <v>62</v>
      </c>
      <c r="B1378" s="24"/>
      <c r="C1378" s="35"/>
      <c r="D1378" s="24"/>
      <c r="E1378" s="24"/>
      <c r="F1378" s="24"/>
      <c r="G1378" s="24"/>
      <c r="H1378" s="24"/>
      <c r="I1378" s="24"/>
      <c r="J1378" s="36"/>
      <c r="L1378" s="5"/>
      <c r="M1378" s="5"/>
      <c r="N1378" s="5"/>
      <c r="O1378" s="5"/>
    </row>
    <row r="1379" spans="1:15">
      <c r="A1379" s="121" t="s">
        <v>115</v>
      </c>
      <c r="B1379" s="37" t="s">
        <v>63</v>
      </c>
      <c r="C1379" s="124" t="e">
        <f>#REF!</f>
        <v>#REF!</v>
      </c>
      <c r="D1379" s="131">
        <v>10380044</v>
      </c>
      <c r="E1379" s="49"/>
      <c r="F1379" s="49"/>
      <c r="G1379" s="49"/>
      <c r="H1379" s="51">
        <v>5500000</v>
      </c>
      <c r="I1379" s="53">
        <v>277455</v>
      </c>
      <c r="J1379" s="30" t="e">
        <f>+SUM(C1379:G1379)-(H1379+I1379)</f>
        <v>#REF!</v>
      </c>
      <c r="K1379" s="141"/>
      <c r="L1379" s="5"/>
      <c r="M1379" s="5"/>
      <c r="N1379" s="5"/>
      <c r="O1379" s="5"/>
    </row>
    <row r="1380" spans="1:15">
      <c r="A1380" s="121" t="s">
        <v>115</v>
      </c>
      <c r="B1380" s="37" t="s">
        <v>64</v>
      </c>
      <c r="C1380" s="124" t="e">
        <f>C1233</f>
        <v>#REF!</v>
      </c>
      <c r="D1380" s="49"/>
      <c r="E1380" s="48"/>
      <c r="F1380" s="48"/>
      <c r="G1380" s="48"/>
      <c r="H1380" s="32">
        <v>372000</v>
      </c>
      <c r="I1380" s="50">
        <v>4601760</v>
      </c>
      <c r="J1380" s="30" t="e">
        <f>SUM(C1380:G1380)-(H1380+I1380)</f>
        <v>#REF!</v>
      </c>
      <c r="K1380" s="141"/>
      <c r="L1380" s="5"/>
      <c r="M1380" s="5"/>
      <c r="N1380" s="5"/>
      <c r="O1380" s="5"/>
    </row>
    <row r="1381" spans="1:15" ht="15.75">
      <c r="C1381" s="140" t="e">
        <f>SUM(C1361:C1380)</f>
        <v>#REF!</v>
      </c>
      <c r="I1381" s="139">
        <f>SUM(I1361:I1380)</f>
        <v>9282325</v>
      </c>
      <c r="J1381" s="104" t="e">
        <f>+SUM(J1361:J1380)</f>
        <v>#REF!</v>
      </c>
      <c r="L1381" s="5"/>
      <c r="M1381" s="5"/>
      <c r="N1381" s="5"/>
      <c r="O1381" s="5"/>
    </row>
    <row r="1382" spans="1:15" ht="16.5">
      <c r="A1382" s="14"/>
      <c r="B1382" s="15"/>
      <c r="C1382" s="12"/>
      <c r="D1382" s="12"/>
      <c r="E1382" s="13"/>
      <c r="F1382" s="12"/>
      <c r="G1382" s="12"/>
      <c r="H1382" s="12"/>
      <c r="I1382" s="12"/>
      <c r="L1382" s="5"/>
      <c r="M1382" s="5"/>
      <c r="N1382" s="5"/>
      <c r="O1382" s="5"/>
    </row>
    <row r="1383" spans="1:15">
      <c r="A1383" s="16" t="s">
        <v>52</v>
      </c>
      <c r="B1383" s="16"/>
      <c r="C1383" s="16"/>
      <c r="D1383" s="17"/>
      <c r="E1383" s="17"/>
      <c r="F1383" s="17"/>
      <c r="G1383" s="17"/>
      <c r="H1383" s="17"/>
      <c r="I1383" s="17"/>
      <c r="L1383" s="5"/>
      <c r="M1383" s="5"/>
      <c r="N1383" s="5"/>
      <c r="O1383" s="5"/>
    </row>
    <row r="1384" spans="1:15">
      <c r="A1384" s="18" t="s">
        <v>109</v>
      </c>
      <c r="B1384" s="18"/>
      <c r="C1384" s="18"/>
      <c r="D1384" s="18"/>
      <c r="E1384" s="18"/>
      <c r="F1384" s="18"/>
      <c r="G1384" s="18"/>
      <c r="H1384" s="18"/>
      <c r="I1384" s="18"/>
      <c r="J1384" s="17"/>
      <c r="L1384" s="5"/>
      <c r="M1384" s="5"/>
      <c r="N1384" s="5"/>
      <c r="O1384" s="5"/>
    </row>
    <row r="1385" spans="1:15">
      <c r="A1385" s="19"/>
      <c r="B1385" s="17"/>
      <c r="C1385" s="20"/>
      <c r="D1385" s="20"/>
      <c r="E1385" s="20"/>
      <c r="F1385" s="20"/>
      <c r="G1385" s="20"/>
      <c r="H1385" s="17"/>
      <c r="I1385" s="17"/>
      <c r="J1385" s="18"/>
      <c r="L1385" s="5"/>
      <c r="M1385" s="5"/>
      <c r="N1385" s="5"/>
      <c r="O1385" s="5"/>
    </row>
    <row r="1386" spans="1:15">
      <c r="A1386" s="166" t="s">
        <v>53</v>
      </c>
      <c r="B1386" s="168" t="s">
        <v>54</v>
      </c>
      <c r="C1386" s="170" t="s">
        <v>110</v>
      </c>
      <c r="D1386" s="171" t="s">
        <v>55</v>
      </c>
      <c r="E1386" s="172"/>
      <c r="F1386" s="172"/>
      <c r="G1386" s="173"/>
      <c r="H1386" s="174" t="s">
        <v>56</v>
      </c>
      <c r="I1386" s="162" t="s">
        <v>57</v>
      </c>
      <c r="J1386" s="17"/>
      <c r="L1386" s="5"/>
      <c r="M1386" s="5"/>
      <c r="N1386" s="5"/>
      <c r="O1386" s="5"/>
    </row>
    <row r="1387" spans="1:15" ht="25.5">
      <c r="A1387" s="167"/>
      <c r="B1387" s="169"/>
      <c r="C1387" s="22"/>
      <c r="D1387" s="21" t="s">
        <v>24</v>
      </c>
      <c r="E1387" s="21" t="s">
        <v>25</v>
      </c>
      <c r="F1387" s="22" t="s">
        <v>112</v>
      </c>
      <c r="G1387" s="21" t="s">
        <v>58</v>
      </c>
      <c r="H1387" s="175"/>
      <c r="I1387" s="163"/>
      <c r="J1387" s="164" t="s">
        <v>111</v>
      </c>
      <c r="L1387" s="5"/>
      <c r="M1387" s="5"/>
      <c r="N1387" s="5"/>
      <c r="O1387" s="5"/>
    </row>
    <row r="1388" spans="1:15">
      <c r="A1388" s="23"/>
      <c r="B1388" s="24" t="s">
        <v>59</v>
      </c>
      <c r="C1388" s="25"/>
      <c r="D1388" s="25"/>
      <c r="E1388" s="25"/>
      <c r="F1388" s="25"/>
      <c r="G1388" s="25"/>
      <c r="H1388" s="25"/>
      <c r="I1388" s="26"/>
      <c r="J1388" s="165"/>
      <c r="L1388" s="5"/>
      <c r="M1388" s="5"/>
      <c r="N1388" s="5"/>
      <c r="O1388" s="5"/>
    </row>
    <row r="1389" spans="1:15">
      <c r="A1389" s="121" t="s">
        <v>108</v>
      </c>
      <c r="B1389" s="126" t="s">
        <v>76</v>
      </c>
      <c r="C1389" s="32">
        <v>-11330</v>
      </c>
      <c r="D1389" s="31"/>
      <c r="E1389" s="32">
        <v>201400</v>
      </c>
      <c r="F1389" s="32">
        <v>184300</v>
      </c>
      <c r="G1389" s="32"/>
      <c r="H1389" s="55"/>
      <c r="I1389" s="32">
        <v>370700</v>
      </c>
      <c r="J1389" s="30">
        <f>+SUM(C1389:G1389)-(H1389+I1389)</f>
        <v>3670</v>
      </c>
      <c r="K1389" s="68"/>
      <c r="L1389" s="5"/>
      <c r="M1389" s="5"/>
      <c r="N1389" s="5"/>
      <c r="O1389" s="5"/>
    </row>
    <row r="1390" spans="1:15">
      <c r="A1390" s="121" t="s">
        <v>108</v>
      </c>
      <c r="B1390" s="126" t="s">
        <v>47</v>
      </c>
      <c r="C1390" s="32">
        <v>8260</v>
      </c>
      <c r="D1390" s="31"/>
      <c r="E1390" s="32">
        <v>357900</v>
      </c>
      <c r="F1390" s="32"/>
      <c r="G1390" s="32"/>
      <c r="H1390" s="55">
        <v>50000</v>
      </c>
      <c r="I1390" s="32">
        <v>316700</v>
      </c>
      <c r="J1390" s="30">
        <f t="shared" ref="J1390:J1391" si="687">+SUM(C1390:G1390)-(H1390+I1390)</f>
        <v>-540</v>
      </c>
      <c r="K1390" s="68"/>
      <c r="L1390" s="5"/>
      <c r="M1390" s="5"/>
      <c r="N1390" s="5"/>
      <c r="O1390" s="5"/>
    </row>
    <row r="1391" spans="1:15">
      <c r="A1391" s="121" t="s">
        <v>108</v>
      </c>
      <c r="B1391" s="126" t="s">
        <v>31</v>
      </c>
      <c r="C1391" s="32">
        <v>3795</v>
      </c>
      <c r="D1391" s="31"/>
      <c r="E1391" s="32">
        <v>20000</v>
      </c>
      <c r="F1391" s="32"/>
      <c r="G1391" s="32"/>
      <c r="H1391" s="32"/>
      <c r="I1391" s="32">
        <v>21400</v>
      </c>
      <c r="J1391" s="100">
        <f t="shared" si="687"/>
        <v>2395</v>
      </c>
      <c r="K1391" s="68"/>
      <c r="L1391" s="5"/>
      <c r="M1391" s="5"/>
      <c r="N1391" s="5"/>
      <c r="O1391" s="5"/>
    </row>
    <row r="1392" spans="1:15">
      <c r="A1392" s="121" t="s">
        <v>108</v>
      </c>
      <c r="B1392" s="126" t="s">
        <v>77</v>
      </c>
      <c r="C1392" s="32">
        <v>-83100</v>
      </c>
      <c r="D1392" s="103"/>
      <c r="E1392" s="32">
        <v>699200</v>
      </c>
      <c r="F1392" s="32"/>
      <c r="G1392" s="32"/>
      <c r="H1392" s="32"/>
      <c r="I1392" s="32">
        <v>520000</v>
      </c>
      <c r="J1392" s="100">
        <f>+SUM(C1392:G1392)-(H1392+I1392)</f>
        <v>96100</v>
      </c>
      <c r="K1392" s="68"/>
      <c r="L1392" s="5"/>
      <c r="M1392" s="5"/>
      <c r="N1392" s="5"/>
      <c r="O1392" s="5"/>
    </row>
    <row r="1393" spans="1:15">
      <c r="A1393" s="121" t="s">
        <v>108</v>
      </c>
      <c r="B1393" s="126" t="s">
        <v>69</v>
      </c>
      <c r="C1393" s="32">
        <v>1784</v>
      </c>
      <c r="D1393" s="103"/>
      <c r="E1393" s="32">
        <v>568600</v>
      </c>
      <c r="F1393" s="32">
        <v>50000</v>
      </c>
      <c r="G1393" s="32"/>
      <c r="H1393" s="32">
        <v>184300</v>
      </c>
      <c r="I1393" s="32">
        <v>422200</v>
      </c>
      <c r="J1393" s="100">
        <f t="shared" ref="J1393" si="688">+SUM(C1393:G1393)-(H1393+I1393)</f>
        <v>13884</v>
      </c>
      <c r="K1393" s="68"/>
      <c r="L1393" s="5"/>
      <c r="M1393" s="5"/>
      <c r="N1393" s="5"/>
      <c r="O1393" s="5"/>
    </row>
    <row r="1394" spans="1:15">
      <c r="A1394" s="121" t="s">
        <v>108</v>
      </c>
      <c r="B1394" s="127" t="s">
        <v>30</v>
      </c>
      <c r="C1394" s="32">
        <v>88800</v>
      </c>
      <c r="D1394" s="118"/>
      <c r="E1394" s="51">
        <v>694600</v>
      </c>
      <c r="F1394" s="51"/>
      <c r="G1394" s="51"/>
      <c r="H1394" s="51"/>
      <c r="I1394" s="51">
        <v>711000</v>
      </c>
      <c r="J1394" s="123">
        <f>+SUM(C1394:G1394)-(H1394+I1394)</f>
        <v>72400</v>
      </c>
      <c r="K1394" s="68"/>
      <c r="L1394" s="5"/>
      <c r="M1394" s="5"/>
      <c r="N1394" s="5"/>
      <c r="O1394" s="5"/>
    </row>
    <row r="1395" spans="1:15">
      <c r="A1395" s="121" t="s">
        <v>108</v>
      </c>
      <c r="B1395" s="128" t="s">
        <v>84</v>
      </c>
      <c r="C1395" s="119">
        <v>233614</v>
      </c>
      <c r="D1395" s="122"/>
      <c r="E1395" s="136"/>
      <c r="F1395" s="136"/>
      <c r="G1395" s="136"/>
      <c r="H1395" s="136"/>
      <c r="I1395" s="136"/>
      <c r="J1395" s="120">
        <f>+SUM(C1395:G1395)-(H1395+I1395)</f>
        <v>233614</v>
      </c>
      <c r="K1395" s="68"/>
      <c r="L1395" s="5"/>
      <c r="M1395" s="5"/>
      <c r="N1395" s="5"/>
      <c r="O1395" s="5"/>
    </row>
    <row r="1396" spans="1:15">
      <c r="A1396" s="121" t="s">
        <v>108</v>
      </c>
      <c r="B1396" s="128" t="s">
        <v>83</v>
      </c>
      <c r="C1396" s="119">
        <v>249769</v>
      </c>
      <c r="D1396" s="122"/>
      <c r="E1396" s="136"/>
      <c r="F1396" s="136"/>
      <c r="G1396" s="136"/>
      <c r="H1396" s="136"/>
      <c r="I1396" s="136"/>
      <c r="J1396" s="120">
        <f t="shared" ref="J1396:J1400" si="689">+SUM(C1396:G1396)-(H1396+I1396)</f>
        <v>249769</v>
      </c>
      <c r="K1396" s="68"/>
      <c r="L1396" s="5"/>
      <c r="M1396" s="5"/>
      <c r="N1396" s="5"/>
      <c r="O1396" s="5"/>
    </row>
    <row r="1397" spans="1:15">
      <c r="A1397" s="121" t="s">
        <v>108</v>
      </c>
      <c r="B1397" s="126" t="s">
        <v>35</v>
      </c>
      <c r="C1397" s="32">
        <v>7890</v>
      </c>
      <c r="D1397" s="31"/>
      <c r="E1397" s="32">
        <v>135600</v>
      </c>
      <c r="F1397" s="103"/>
      <c r="G1397" s="103"/>
      <c r="H1397" s="103"/>
      <c r="I1397" s="32">
        <v>125000</v>
      </c>
      <c r="J1397" s="30">
        <f t="shared" si="689"/>
        <v>18490</v>
      </c>
      <c r="K1397" s="68"/>
      <c r="L1397" s="5"/>
      <c r="M1397" s="5"/>
      <c r="N1397" s="5"/>
      <c r="O1397" s="5"/>
    </row>
    <row r="1398" spans="1:15">
      <c r="A1398" s="121" t="s">
        <v>108</v>
      </c>
      <c r="B1398" s="126" t="s">
        <v>93</v>
      </c>
      <c r="C1398" s="32">
        <v>5000</v>
      </c>
      <c r="D1398" s="31"/>
      <c r="E1398" s="32">
        <v>30000</v>
      </c>
      <c r="F1398" s="103"/>
      <c r="G1398" s="103"/>
      <c r="H1398" s="103"/>
      <c r="I1398" s="32">
        <v>30500</v>
      </c>
      <c r="J1398" s="30">
        <f t="shared" si="689"/>
        <v>4500</v>
      </c>
      <c r="K1398" s="68"/>
      <c r="L1398" s="5"/>
      <c r="M1398" s="5"/>
      <c r="N1398" s="5"/>
      <c r="O1398" s="5"/>
    </row>
    <row r="1399" spans="1:15">
      <c r="A1399" s="121" t="s">
        <v>108</v>
      </c>
      <c r="B1399" s="126" t="s">
        <v>29</v>
      </c>
      <c r="C1399" s="32">
        <v>57700</v>
      </c>
      <c r="D1399" s="31"/>
      <c r="E1399" s="32">
        <v>639000</v>
      </c>
      <c r="F1399" s="103"/>
      <c r="G1399" s="103"/>
      <c r="H1399" s="103"/>
      <c r="I1399" s="32">
        <v>652500</v>
      </c>
      <c r="J1399" s="30">
        <f t="shared" si="689"/>
        <v>44200</v>
      </c>
      <c r="K1399" s="68"/>
      <c r="L1399" s="5"/>
      <c r="M1399" s="5"/>
      <c r="N1399" s="5"/>
      <c r="O1399" s="5"/>
    </row>
    <row r="1400" spans="1:15">
      <c r="A1400" s="121" t="s">
        <v>108</v>
      </c>
      <c r="B1400" s="126" t="s">
        <v>94</v>
      </c>
      <c r="C1400" s="32">
        <v>-32081</v>
      </c>
      <c r="D1400" s="31"/>
      <c r="E1400" s="103"/>
      <c r="F1400" s="103"/>
      <c r="G1400" s="103"/>
      <c r="H1400" s="103"/>
      <c r="I1400" s="32">
        <v>819628</v>
      </c>
      <c r="J1400" s="30">
        <f t="shared" si="689"/>
        <v>-851709</v>
      </c>
      <c r="K1400" s="68"/>
      <c r="L1400" s="5"/>
      <c r="M1400" s="5"/>
      <c r="N1400" s="5"/>
      <c r="O1400" s="5"/>
    </row>
    <row r="1401" spans="1:15">
      <c r="A1401" s="121" t="s">
        <v>108</v>
      </c>
      <c r="B1401" s="126" t="s">
        <v>101</v>
      </c>
      <c r="C1401" s="32">
        <v>62000</v>
      </c>
      <c r="D1401" s="31"/>
      <c r="E1401" s="32">
        <v>622600</v>
      </c>
      <c r="F1401" s="103"/>
      <c r="G1401" s="103"/>
      <c r="H1401" s="103"/>
      <c r="I1401" s="32">
        <v>594300</v>
      </c>
      <c r="J1401" s="30">
        <f>+SUM(C1401:G1401)-(H1401+I1401)</f>
        <v>90300</v>
      </c>
      <c r="K1401" s="68"/>
      <c r="L1401" s="5"/>
      <c r="M1401" s="5"/>
      <c r="N1401" s="5"/>
      <c r="O1401" s="5"/>
    </row>
    <row r="1402" spans="1:15">
      <c r="A1402" s="121" t="s">
        <v>108</v>
      </c>
      <c r="B1402" s="127" t="s">
        <v>32</v>
      </c>
      <c r="C1402" s="32">
        <v>4300</v>
      </c>
      <c r="D1402" s="118"/>
      <c r="E1402" s="135"/>
      <c r="F1402" s="135"/>
      <c r="G1402" s="137"/>
      <c r="H1402" s="135"/>
      <c r="I1402" s="51">
        <v>4000</v>
      </c>
      <c r="J1402" s="30">
        <f t="shared" ref="J1402" si="690">+SUM(C1402:G1402)-(H1402+I1402)</f>
        <v>300</v>
      </c>
      <c r="K1402" s="68"/>
      <c r="L1402" s="5"/>
      <c r="M1402" s="5"/>
      <c r="N1402" s="5"/>
      <c r="O1402" s="5"/>
    </row>
    <row r="1403" spans="1:15">
      <c r="A1403" s="34" t="s">
        <v>60</v>
      </c>
      <c r="B1403" s="35"/>
      <c r="C1403" s="35"/>
      <c r="D1403" s="35"/>
      <c r="E1403" s="35"/>
      <c r="F1403" s="35"/>
      <c r="G1403" s="35"/>
      <c r="H1403" s="35"/>
      <c r="I1403" s="35"/>
      <c r="J1403" s="36"/>
      <c r="K1403" s="68"/>
      <c r="L1403" s="5"/>
      <c r="M1403" s="5"/>
      <c r="N1403" s="5"/>
      <c r="O1403" s="5"/>
    </row>
    <row r="1404" spans="1:15">
      <c r="A1404" s="121" t="s">
        <v>108</v>
      </c>
      <c r="B1404" s="37" t="s">
        <v>61</v>
      </c>
      <c r="C1404" s="38">
        <v>62150</v>
      </c>
      <c r="D1404" s="49">
        <v>5500000</v>
      </c>
      <c r="E1404" s="102"/>
      <c r="F1404" s="102"/>
      <c r="G1404" s="138"/>
      <c r="H1404" s="130">
        <v>3968900</v>
      </c>
      <c r="I1404" s="125">
        <v>1276534</v>
      </c>
      <c r="J1404" s="30">
        <f>+SUM(C1404:G1404)-(H1404+I1404)</f>
        <v>316716</v>
      </c>
      <c r="K1404" s="68"/>
      <c r="L1404" s="5"/>
      <c r="M1404" s="5"/>
      <c r="N1404" s="5"/>
      <c r="O1404" s="5"/>
    </row>
    <row r="1405" spans="1:15">
      <c r="A1405" s="43" t="s">
        <v>62</v>
      </c>
      <c r="B1405" s="24"/>
      <c r="C1405" s="35"/>
      <c r="D1405" s="24"/>
      <c r="E1405" s="24"/>
      <c r="F1405" s="24"/>
      <c r="G1405" s="24"/>
      <c r="H1405" s="24"/>
      <c r="I1405" s="24"/>
      <c r="J1405" s="36"/>
      <c r="L1405" s="5"/>
      <c r="M1405" s="5"/>
      <c r="N1405" s="5"/>
      <c r="O1405" s="5"/>
    </row>
    <row r="1406" spans="1:15">
      <c r="A1406" s="121" t="s">
        <v>108</v>
      </c>
      <c r="B1406" s="37" t="s">
        <v>63</v>
      </c>
      <c r="C1406" s="124">
        <v>11284555</v>
      </c>
      <c r="D1406" s="131"/>
      <c r="E1406" s="49"/>
      <c r="F1406" s="49"/>
      <c r="G1406" s="49"/>
      <c r="H1406" s="51">
        <v>5500000</v>
      </c>
      <c r="I1406" s="53">
        <v>273881</v>
      </c>
      <c r="J1406" s="30">
        <f>+SUM(C1406:G1406)-(H1406+I1406)</f>
        <v>5510674</v>
      </c>
      <c r="K1406" s="68"/>
      <c r="L1406" s="5"/>
      <c r="M1406" s="5"/>
      <c r="N1406" s="5"/>
      <c r="O1406" s="5"/>
    </row>
    <row r="1407" spans="1:15">
      <c r="A1407" s="121" t="s">
        <v>108</v>
      </c>
      <c r="B1407" s="37" t="s">
        <v>64</v>
      </c>
      <c r="C1407" s="124">
        <v>2158645</v>
      </c>
      <c r="D1407" s="49">
        <v>15435980</v>
      </c>
      <c r="E1407" s="48"/>
      <c r="F1407" s="48"/>
      <c r="G1407" s="48"/>
      <c r="H1407" s="32"/>
      <c r="I1407" s="50">
        <v>6400961</v>
      </c>
      <c r="J1407" s="30">
        <f>SUM(C1407:G1407)-(H1407+I1407)</f>
        <v>11193664</v>
      </c>
      <c r="K1407" s="68"/>
      <c r="L1407" s="5"/>
      <c r="M1407" s="5"/>
      <c r="N1407" s="5"/>
      <c r="O1407" s="5"/>
    </row>
    <row r="1408" spans="1:15" ht="15.75">
      <c r="C1408" s="140">
        <f>SUM(C1389:C1407)</f>
        <v>14101751</v>
      </c>
      <c r="I1408" s="139">
        <f>SUM(I1389:I1407)</f>
        <v>12539304</v>
      </c>
      <c r="J1408" s="104">
        <f>+SUM(J1389:J1407)</f>
        <v>16998427</v>
      </c>
      <c r="L1408" s="5"/>
      <c r="M1408" s="5"/>
      <c r="N1408" s="5"/>
      <c r="O1408" s="5"/>
    </row>
    <row r="1409" spans="1:15" ht="16.5">
      <c r="A1409" s="10"/>
      <c r="B1409" s="11"/>
      <c r="C1409" s="12"/>
      <c r="D1409" s="12"/>
      <c r="E1409" s="12"/>
      <c r="F1409" s="12"/>
      <c r="G1409" s="12"/>
      <c r="H1409" s="12"/>
      <c r="I1409" s="12"/>
      <c r="J1409" s="132"/>
      <c r="L1409" s="5"/>
      <c r="M1409" s="5"/>
      <c r="N1409" s="5"/>
      <c r="O1409" s="5"/>
    </row>
    <row r="1410" spans="1:15" ht="16.5">
      <c r="A1410" s="14"/>
      <c r="B1410" s="15"/>
      <c r="C1410" s="12"/>
      <c r="D1410" s="12"/>
      <c r="E1410" s="13"/>
      <c r="F1410" s="12"/>
      <c r="G1410" s="12"/>
      <c r="H1410" s="12"/>
      <c r="I1410" s="12"/>
      <c r="L1410" s="5"/>
      <c r="M1410" s="5"/>
      <c r="N1410" s="5"/>
      <c r="O1410" s="5"/>
    </row>
    <row r="1411" spans="1:15">
      <c r="A1411" s="16" t="s">
        <v>52</v>
      </c>
      <c r="B1411" s="16"/>
      <c r="C1411" s="16"/>
      <c r="D1411" s="17"/>
      <c r="E1411" s="17"/>
      <c r="F1411" s="17"/>
      <c r="G1411" s="17"/>
      <c r="H1411" s="17"/>
      <c r="I1411" s="17"/>
      <c r="L1411" s="5"/>
      <c r="M1411" s="5"/>
      <c r="N1411" s="5"/>
      <c r="O1411" s="5"/>
    </row>
    <row r="1412" spans="1:15">
      <c r="A1412" s="18" t="s">
        <v>106</v>
      </c>
      <c r="B1412" s="18"/>
      <c r="C1412" s="18"/>
      <c r="D1412" s="18"/>
      <c r="E1412" s="18"/>
      <c r="F1412" s="18"/>
      <c r="G1412" s="18"/>
      <c r="H1412" s="18"/>
      <c r="I1412" s="18"/>
      <c r="J1412" s="17"/>
      <c r="L1412" s="5"/>
      <c r="M1412" s="5"/>
      <c r="N1412" s="5"/>
      <c r="O1412" s="5"/>
    </row>
    <row r="1413" spans="1:15">
      <c r="A1413" s="19"/>
      <c r="B1413" s="17"/>
      <c r="C1413" s="20"/>
      <c r="D1413" s="20"/>
      <c r="E1413" s="20"/>
      <c r="F1413" s="20"/>
      <c r="G1413" s="20"/>
      <c r="H1413" s="17"/>
      <c r="I1413" s="17"/>
      <c r="J1413" s="18"/>
      <c r="L1413" s="5"/>
      <c r="M1413" s="5"/>
      <c r="N1413" s="5"/>
      <c r="O1413" s="5"/>
    </row>
    <row r="1414" spans="1:15" ht="25.5">
      <c r="A1414" s="166" t="s">
        <v>53</v>
      </c>
      <c r="B1414" s="168" t="s">
        <v>54</v>
      </c>
      <c r="C1414" s="170" t="s">
        <v>104</v>
      </c>
      <c r="D1414" s="171" t="s">
        <v>55</v>
      </c>
      <c r="E1414" s="172"/>
      <c r="F1414" s="172"/>
      <c r="G1414" s="173"/>
      <c r="H1414" s="174" t="s">
        <v>56</v>
      </c>
      <c r="I1414" s="162" t="s">
        <v>57</v>
      </c>
      <c r="J1414" s="17"/>
      <c r="L1414" s="5"/>
      <c r="M1414" s="5"/>
      <c r="N1414" s="5"/>
      <c r="O1414" s="5"/>
    </row>
    <row r="1415" spans="1:15" ht="25.5">
      <c r="A1415" s="167"/>
      <c r="B1415" s="169"/>
      <c r="C1415" s="22"/>
      <c r="D1415" s="21" t="s">
        <v>24</v>
      </c>
      <c r="E1415" s="21" t="s">
        <v>25</v>
      </c>
      <c r="F1415" s="22" t="s">
        <v>107</v>
      </c>
      <c r="G1415" s="21" t="s">
        <v>58</v>
      </c>
      <c r="H1415" s="175"/>
      <c r="I1415" s="163"/>
      <c r="J1415" s="164" t="s">
        <v>105</v>
      </c>
      <c r="L1415" s="5"/>
      <c r="M1415" s="5"/>
      <c r="N1415" s="5"/>
      <c r="O1415" s="5"/>
    </row>
    <row r="1416" spans="1:15">
      <c r="A1416" s="23"/>
      <c r="B1416" s="24" t="s">
        <v>59</v>
      </c>
      <c r="C1416" s="25"/>
      <c r="D1416" s="25"/>
      <c r="E1416" s="25"/>
      <c r="F1416" s="25"/>
      <c r="G1416" s="25"/>
      <c r="H1416" s="25"/>
      <c r="I1416" s="26"/>
      <c r="J1416" s="165"/>
      <c r="L1416" s="5"/>
      <c r="M1416" s="5"/>
      <c r="N1416" s="5"/>
      <c r="O1416" s="5"/>
    </row>
    <row r="1417" spans="1:15">
      <c r="A1417" s="121" t="s">
        <v>103</v>
      </c>
      <c r="B1417" s="126" t="s">
        <v>76</v>
      </c>
      <c r="C1417" s="32">
        <v>22200</v>
      </c>
      <c r="D1417" s="31"/>
      <c r="E1417" s="32">
        <v>439970</v>
      </c>
      <c r="F1417" s="103"/>
      <c r="G1417" s="103"/>
      <c r="H1417" s="134"/>
      <c r="I1417" s="32">
        <v>473500</v>
      </c>
      <c r="J1417" s="30">
        <f>+SUM(C1417:G1417)-(H1417+I1417)</f>
        <v>-11330</v>
      </c>
      <c r="K1417" s="68"/>
      <c r="L1417" s="5"/>
      <c r="M1417" s="5"/>
      <c r="N1417" s="5"/>
      <c r="O1417" s="5"/>
    </row>
    <row r="1418" spans="1:15">
      <c r="A1418" s="121" t="s">
        <v>103</v>
      </c>
      <c r="B1418" s="126" t="s">
        <v>47</v>
      </c>
      <c r="C1418" s="32">
        <v>3060</v>
      </c>
      <c r="D1418" s="31"/>
      <c r="E1418" s="32">
        <v>157200</v>
      </c>
      <c r="F1418" s="32"/>
      <c r="G1418" s="32"/>
      <c r="H1418" s="55"/>
      <c r="I1418" s="32">
        <v>152000</v>
      </c>
      <c r="J1418" s="30">
        <f t="shared" ref="J1418:J1419" si="691">+SUM(C1418:G1418)-(H1418+I1418)</f>
        <v>8260</v>
      </c>
      <c r="K1418" s="68"/>
      <c r="L1418" s="5"/>
      <c r="M1418" s="5"/>
      <c r="N1418" s="5"/>
      <c r="O1418" s="5"/>
    </row>
    <row r="1419" spans="1:15">
      <c r="A1419" s="121" t="s">
        <v>103</v>
      </c>
      <c r="B1419" s="126" t="s">
        <v>31</v>
      </c>
      <c r="C1419" s="32">
        <v>3795</v>
      </c>
      <c r="D1419" s="31"/>
      <c r="E1419" s="32">
        <v>45000</v>
      </c>
      <c r="F1419" s="32"/>
      <c r="G1419" s="32"/>
      <c r="H1419" s="32"/>
      <c r="I1419" s="32">
        <v>45000</v>
      </c>
      <c r="J1419" s="100">
        <f t="shared" si="691"/>
        <v>3795</v>
      </c>
      <c r="K1419" s="68"/>
      <c r="L1419" s="5"/>
      <c r="M1419" s="5"/>
      <c r="N1419" s="5"/>
      <c r="O1419" s="5"/>
    </row>
    <row r="1420" spans="1:15">
      <c r="A1420" s="121" t="s">
        <v>103</v>
      </c>
      <c r="B1420" s="126" t="s">
        <v>77</v>
      </c>
      <c r="C1420" s="32">
        <v>2300</v>
      </c>
      <c r="D1420" s="103"/>
      <c r="E1420" s="32">
        <v>266600</v>
      </c>
      <c r="F1420" s="32">
        <v>159900</v>
      </c>
      <c r="G1420" s="32"/>
      <c r="H1420" s="32">
        <v>25000</v>
      </c>
      <c r="I1420" s="32">
        <v>486900</v>
      </c>
      <c r="J1420" s="100">
        <f>+SUM(C1420:G1420)-(H1420+I1420)</f>
        <v>-83100</v>
      </c>
      <c r="K1420" s="68"/>
      <c r="L1420" s="5"/>
      <c r="M1420" s="5"/>
      <c r="N1420" s="5"/>
      <c r="O1420" s="5"/>
    </row>
    <row r="1421" spans="1:15">
      <c r="A1421" s="121" t="s">
        <v>103</v>
      </c>
      <c r="B1421" s="126" t="s">
        <v>69</v>
      </c>
      <c r="C1421" s="32">
        <v>-14216</v>
      </c>
      <c r="D1421" s="103"/>
      <c r="E1421" s="32">
        <v>622600</v>
      </c>
      <c r="F1421" s="32">
        <v>25000</v>
      </c>
      <c r="G1421" s="32"/>
      <c r="H1421" s="32">
        <v>260700</v>
      </c>
      <c r="I1421" s="32">
        <v>370900</v>
      </c>
      <c r="J1421" s="100">
        <f>+SUM(C1421:G1421)-(H1421+I1421)</f>
        <v>1784</v>
      </c>
      <c r="K1421" s="68"/>
      <c r="L1421" s="5"/>
      <c r="M1421" s="5"/>
      <c r="N1421" s="5"/>
      <c r="O1421" s="5"/>
    </row>
    <row r="1422" spans="1:15">
      <c r="A1422" s="121" t="s">
        <v>103</v>
      </c>
      <c r="B1422" s="127" t="s">
        <v>30</v>
      </c>
      <c r="C1422" s="51">
        <v>143300</v>
      </c>
      <c r="D1422" s="118"/>
      <c r="E1422" s="51">
        <v>466500</v>
      </c>
      <c r="F1422" s="135"/>
      <c r="G1422" s="135"/>
      <c r="H1422" s="135"/>
      <c r="I1422" s="51">
        <v>521000</v>
      </c>
      <c r="J1422" s="123">
        <f>+SUM(C1422:G1422)-(H1422+I1422)</f>
        <v>88800</v>
      </c>
      <c r="K1422" s="68"/>
      <c r="L1422" s="5"/>
      <c r="M1422" s="5"/>
      <c r="N1422" s="5"/>
      <c r="O1422" s="5"/>
    </row>
    <row r="1423" spans="1:15">
      <c r="A1423" s="121" t="s">
        <v>103</v>
      </c>
      <c r="B1423" s="128" t="s">
        <v>84</v>
      </c>
      <c r="C1423" s="119">
        <v>233614</v>
      </c>
      <c r="D1423" s="122"/>
      <c r="E1423" s="136"/>
      <c r="F1423" s="136"/>
      <c r="G1423" s="136"/>
      <c r="H1423" s="136"/>
      <c r="I1423" s="136"/>
      <c r="J1423" s="120">
        <f>+SUM(C1423:G1423)-(H1423+I1423)</f>
        <v>233614</v>
      </c>
      <c r="K1423" s="68"/>
      <c r="L1423" s="5"/>
      <c r="M1423" s="5"/>
      <c r="N1423" s="5"/>
      <c r="O1423" s="5"/>
    </row>
    <row r="1424" spans="1:15">
      <c r="A1424" s="121" t="s">
        <v>103</v>
      </c>
      <c r="B1424" s="128" t="s">
        <v>83</v>
      </c>
      <c r="C1424" s="119">
        <v>249768</v>
      </c>
      <c r="D1424" s="122"/>
      <c r="E1424" s="136"/>
      <c r="F1424" s="136"/>
      <c r="G1424" s="136"/>
      <c r="H1424" s="136"/>
      <c r="I1424" s="136"/>
      <c r="J1424" s="120">
        <f t="shared" ref="J1424:J1430" si="692">+SUM(C1424:G1424)-(H1424+I1424)</f>
        <v>249768</v>
      </c>
      <c r="K1424" s="68"/>
      <c r="L1424" s="5"/>
      <c r="M1424" s="5"/>
      <c r="N1424" s="5"/>
      <c r="O1424" s="5"/>
    </row>
    <row r="1425" spans="1:15">
      <c r="A1425" s="121" t="s">
        <v>103</v>
      </c>
      <c r="B1425" s="126" t="s">
        <v>35</v>
      </c>
      <c r="C1425" s="32">
        <v>55090</v>
      </c>
      <c r="D1425" s="31"/>
      <c r="E1425" s="32">
        <v>143000</v>
      </c>
      <c r="F1425" s="32">
        <v>70800</v>
      </c>
      <c r="G1425" s="103"/>
      <c r="H1425" s="103"/>
      <c r="I1425" s="32">
        <v>261000</v>
      </c>
      <c r="J1425" s="30">
        <f t="shared" si="692"/>
        <v>7890</v>
      </c>
      <c r="K1425" s="68"/>
      <c r="L1425" s="5"/>
      <c r="M1425" s="5"/>
      <c r="N1425" s="5"/>
      <c r="O1425" s="5"/>
    </row>
    <row r="1426" spans="1:15">
      <c r="A1426" s="121" t="s">
        <v>103</v>
      </c>
      <c r="B1426" s="126" t="s">
        <v>93</v>
      </c>
      <c r="C1426" s="32">
        <v>0</v>
      </c>
      <c r="D1426" s="31"/>
      <c r="E1426" s="32">
        <v>30000</v>
      </c>
      <c r="F1426" s="103"/>
      <c r="G1426" s="103"/>
      <c r="H1426" s="103"/>
      <c r="I1426" s="32">
        <v>25000</v>
      </c>
      <c r="J1426" s="30">
        <f t="shared" si="692"/>
        <v>5000</v>
      </c>
      <c r="K1426" s="68"/>
      <c r="L1426" s="5"/>
      <c r="M1426" s="5"/>
      <c r="N1426" s="5"/>
      <c r="O1426" s="5"/>
    </row>
    <row r="1427" spans="1:15">
      <c r="A1427" s="121" t="s">
        <v>103</v>
      </c>
      <c r="B1427" s="126" t="s">
        <v>29</v>
      </c>
      <c r="C1427" s="32">
        <v>110700</v>
      </c>
      <c r="D1427" s="31"/>
      <c r="E1427" s="32">
        <v>375000</v>
      </c>
      <c r="F1427" s="32">
        <v>30000</v>
      </c>
      <c r="G1427" s="103"/>
      <c r="H1427" s="103"/>
      <c r="I1427" s="32">
        <v>458000</v>
      </c>
      <c r="J1427" s="30">
        <f t="shared" si="692"/>
        <v>57700</v>
      </c>
      <c r="K1427" s="68"/>
      <c r="L1427" s="5"/>
      <c r="M1427" s="5"/>
      <c r="N1427" s="5"/>
      <c r="O1427" s="5"/>
    </row>
    <row r="1428" spans="1:15">
      <c r="A1428" s="121" t="s">
        <v>103</v>
      </c>
      <c r="B1428" s="126" t="s">
        <v>94</v>
      </c>
      <c r="C1428" s="32">
        <v>-32081</v>
      </c>
      <c r="D1428" s="31"/>
      <c r="E1428" s="103">
        <v>0</v>
      </c>
      <c r="F1428" s="103"/>
      <c r="G1428" s="103"/>
      <c r="H1428" s="103"/>
      <c r="I1428" s="103">
        <v>0</v>
      </c>
      <c r="J1428" s="30">
        <f t="shared" si="692"/>
        <v>-32081</v>
      </c>
      <c r="K1428" s="68"/>
      <c r="L1428" s="5"/>
      <c r="M1428" s="5"/>
      <c r="N1428" s="5"/>
      <c r="O1428" s="5"/>
    </row>
    <row r="1429" spans="1:15">
      <c r="A1429" s="121" t="s">
        <v>103</v>
      </c>
      <c r="B1429" s="126" t="s">
        <v>101</v>
      </c>
      <c r="C1429" s="32">
        <v>0</v>
      </c>
      <c r="D1429" s="31"/>
      <c r="E1429" s="32">
        <v>82000</v>
      </c>
      <c r="F1429" s="103"/>
      <c r="G1429" s="103"/>
      <c r="H1429" s="103"/>
      <c r="I1429" s="32">
        <v>20000</v>
      </c>
      <c r="J1429" s="30">
        <f>+SUM(C1429:G1429)-(H1429+I1429)</f>
        <v>62000</v>
      </c>
      <c r="K1429" s="68"/>
      <c r="L1429" s="5"/>
      <c r="M1429" s="5"/>
      <c r="N1429" s="5"/>
      <c r="O1429" s="5"/>
    </row>
    <row r="1430" spans="1:15">
      <c r="A1430" s="121" t="s">
        <v>103</v>
      </c>
      <c r="B1430" s="127" t="s">
        <v>32</v>
      </c>
      <c r="C1430" s="51">
        <v>7300</v>
      </c>
      <c r="D1430" s="118"/>
      <c r="E1430" s="135"/>
      <c r="F1430" s="135"/>
      <c r="G1430" s="137"/>
      <c r="H1430" s="135"/>
      <c r="I1430" s="51">
        <v>3000</v>
      </c>
      <c r="J1430" s="30">
        <f t="shared" si="692"/>
        <v>4300</v>
      </c>
      <c r="K1430" s="68"/>
      <c r="L1430" s="5"/>
      <c r="M1430" s="5"/>
      <c r="N1430" s="5"/>
      <c r="O1430" s="5"/>
    </row>
    <row r="1431" spans="1:15">
      <c r="A1431" s="34" t="s">
        <v>60</v>
      </c>
      <c r="B1431" s="35"/>
      <c r="C1431" s="35"/>
      <c r="D1431" s="35"/>
      <c r="E1431" s="35"/>
      <c r="F1431" s="35"/>
      <c r="G1431" s="35"/>
      <c r="H1431" s="35"/>
      <c r="I1431" s="35"/>
      <c r="J1431" s="36"/>
      <c r="K1431" s="68"/>
      <c r="L1431" s="5"/>
      <c r="M1431" s="5"/>
      <c r="N1431" s="5"/>
      <c r="O1431" s="5"/>
    </row>
    <row r="1432" spans="1:15">
      <c r="A1432" s="121" t="s">
        <v>103</v>
      </c>
      <c r="B1432" s="37" t="s">
        <v>61</v>
      </c>
      <c r="C1432" s="38">
        <v>817769</v>
      </c>
      <c r="D1432" s="49">
        <v>3000000</v>
      </c>
      <c r="E1432" s="102"/>
      <c r="F1432" s="102"/>
      <c r="G1432" s="138"/>
      <c r="H1432" s="130">
        <v>2627870</v>
      </c>
      <c r="I1432" s="125">
        <v>1127749</v>
      </c>
      <c r="J1432" s="30">
        <f>+SUM(C1432:G1432)-(H1432+I1432)</f>
        <v>62150</v>
      </c>
      <c r="K1432" s="68"/>
      <c r="L1432" s="5"/>
      <c r="M1432" s="5"/>
      <c r="N1432" s="5"/>
      <c r="O1432" s="5"/>
    </row>
    <row r="1433" spans="1:15">
      <c r="A1433" s="43" t="s">
        <v>62</v>
      </c>
      <c r="B1433" s="24"/>
      <c r="C1433" s="35"/>
      <c r="D1433" s="24"/>
      <c r="E1433" s="24"/>
      <c r="F1433" s="24"/>
      <c r="G1433" s="24"/>
      <c r="H1433" s="24"/>
      <c r="I1433" s="24"/>
      <c r="J1433" s="36"/>
      <c r="L1433" s="5"/>
      <c r="M1433" s="5"/>
      <c r="N1433" s="5"/>
      <c r="O1433" s="5"/>
    </row>
    <row r="1434" spans="1:15">
      <c r="A1434" s="121" t="s">
        <v>103</v>
      </c>
      <c r="B1434" s="37" t="s">
        <v>63</v>
      </c>
      <c r="C1434" s="124">
        <v>14712920</v>
      </c>
      <c r="D1434" s="131"/>
      <c r="E1434" s="49"/>
      <c r="F1434" s="49"/>
      <c r="G1434" s="49"/>
      <c r="H1434" s="51">
        <v>3000000</v>
      </c>
      <c r="I1434" s="53">
        <v>428365</v>
      </c>
      <c r="J1434" s="30">
        <f>+SUM(C1434:G1434)-(H1434+I1434)</f>
        <v>11284555</v>
      </c>
      <c r="K1434" s="68"/>
      <c r="L1434" s="5"/>
      <c r="M1434" s="5"/>
      <c r="N1434" s="5"/>
      <c r="O1434" s="5"/>
    </row>
    <row r="1435" spans="1:15">
      <c r="A1435" s="121" t="s">
        <v>103</v>
      </c>
      <c r="B1435" s="37" t="s">
        <v>64</v>
      </c>
      <c r="C1435" s="124">
        <v>8361083</v>
      </c>
      <c r="D1435" s="49"/>
      <c r="E1435" s="48"/>
      <c r="F1435" s="48"/>
      <c r="G1435" s="48"/>
      <c r="H1435" s="32"/>
      <c r="I1435" s="50">
        <v>6202438</v>
      </c>
      <c r="J1435" s="30">
        <f>SUM(C1435:G1435)-(H1435+I1435)</f>
        <v>2158645</v>
      </c>
      <c r="K1435" s="68"/>
      <c r="L1435" s="5"/>
      <c r="M1435" s="5"/>
      <c r="N1435" s="5"/>
      <c r="O1435" s="5"/>
    </row>
    <row r="1436" spans="1:15" ht="15.75">
      <c r="C1436" s="9"/>
      <c r="I1436" s="139">
        <f>SUM(I1417:I1435)</f>
        <v>10574852</v>
      </c>
      <c r="J1436" s="104">
        <f>+SUM(J1417:J1435)</f>
        <v>14101750</v>
      </c>
      <c r="K1436" s="9">
        <f>J1436-C1408</f>
        <v>-1</v>
      </c>
      <c r="L1436" s="5"/>
      <c r="M1436" s="5"/>
      <c r="N1436" s="5"/>
      <c r="O1436" s="5"/>
    </row>
    <row r="1437" spans="1:15" ht="16.5">
      <c r="A1437" s="10"/>
      <c r="B1437" s="11"/>
      <c r="C1437" s="12"/>
      <c r="D1437" s="12"/>
      <c r="E1437" s="12"/>
      <c r="F1437" s="12"/>
      <c r="G1437" s="12"/>
      <c r="H1437" s="12"/>
      <c r="I1437" s="12"/>
      <c r="J1437" s="132"/>
      <c r="L1437" s="5"/>
      <c r="M1437" s="5"/>
      <c r="N1437" s="5"/>
      <c r="O1437" s="5"/>
    </row>
    <row r="1438" spans="1:15">
      <c r="A1438" s="16" t="s">
        <v>52</v>
      </c>
      <c r="B1438" s="16"/>
      <c r="C1438" s="16"/>
      <c r="D1438" s="17"/>
      <c r="E1438" s="17"/>
      <c r="F1438" s="17"/>
      <c r="G1438" s="17"/>
      <c r="H1438" s="17"/>
      <c r="I1438" s="17"/>
      <c r="L1438" s="5"/>
      <c r="M1438" s="5"/>
      <c r="N1438" s="5"/>
      <c r="O1438" s="5"/>
    </row>
    <row r="1439" spans="1:15">
      <c r="A1439" s="18" t="s">
        <v>95</v>
      </c>
      <c r="B1439" s="18"/>
      <c r="C1439" s="18"/>
      <c r="D1439" s="18"/>
      <c r="E1439" s="18"/>
      <c r="F1439" s="18"/>
      <c r="G1439" s="18"/>
      <c r="H1439" s="18"/>
      <c r="I1439" s="18"/>
      <c r="J1439" s="17"/>
      <c r="L1439" s="5"/>
      <c r="M1439" s="5"/>
      <c r="N1439" s="5"/>
      <c r="O1439" s="5"/>
    </row>
    <row r="1440" spans="1:15">
      <c r="A1440" s="19"/>
      <c r="B1440" s="17"/>
      <c r="C1440" s="20"/>
      <c r="D1440" s="20"/>
      <c r="E1440" s="20"/>
      <c r="F1440" s="20"/>
      <c r="G1440" s="20"/>
      <c r="H1440" s="17"/>
      <c r="I1440" s="17"/>
      <c r="J1440" s="18"/>
      <c r="L1440" s="5"/>
      <c r="M1440" s="5"/>
      <c r="N1440" s="5"/>
      <c r="O1440" s="5"/>
    </row>
    <row r="1441" spans="1:15" ht="25.5">
      <c r="A1441" s="166" t="s">
        <v>53</v>
      </c>
      <c r="B1441" s="168" t="s">
        <v>54</v>
      </c>
      <c r="C1441" s="170" t="s">
        <v>96</v>
      </c>
      <c r="D1441" s="171" t="s">
        <v>55</v>
      </c>
      <c r="E1441" s="172"/>
      <c r="F1441" s="172"/>
      <c r="G1441" s="173"/>
      <c r="H1441" s="174" t="s">
        <v>56</v>
      </c>
      <c r="I1441" s="162" t="s">
        <v>57</v>
      </c>
      <c r="J1441" s="17"/>
      <c r="L1441" s="5"/>
      <c r="M1441" s="5"/>
      <c r="N1441" s="5"/>
      <c r="O1441" s="5"/>
    </row>
    <row r="1442" spans="1:15" ht="25.5">
      <c r="A1442" s="167"/>
      <c r="B1442" s="169"/>
      <c r="C1442" s="22"/>
      <c r="D1442" s="21" t="s">
        <v>24</v>
      </c>
      <c r="E1442" s="21" t="s">
        <v>25</v>
      </c>
      <c r="F1442" s="22" t="s">
        <v>99</v>
      </c>
      <c r="G1442" s="21" t="s">
        <v>58</v>
      </c>
      <c r="H1442" s="175"/>
      <c r="I1442" s="163"/>
      <c r="J1442" s="164" t="s">
        <v>97</v>
      </c>
      <c r="L1442" s="5"/>
      <c r="M1442" s="5"/>
      <c r="N1442" s="5"/>
      <c r="O1442" s="5"/>
    </row>
    <row r="1443" spans="1:15">
      <c r="A1443" s="23"/>
      <c r="B1443" s="24" t="s">
        <v>59</v>
      </c>
      <c r="C1443" s="25"/>
      <c r="D1443" s="25"/>
      <c r="E1443" s="25"/>
      <c r="F1443" s="25"/>
      <c r="G1443" s="25"/>
      <c r="H1443" s="25"/>
      <c r="I1443" s="26"/>
      <c r="J1443" s="165"/>
      <c r="L1443" s="5"/>
      <c r="M1443" s="5"/>
      <c r="N1443" s="5"/>
      <c r="O1443" s="5"/>
    </row>
    <row r="1444" spans="1:15">
      <c r="A1444" s="121" t="s">
        <v>98</v>
      </c>
      <c r="B1444" s="126" t="s">
        <v>76</v>
      </c>
      <c r="C1444" s="32">
        <v>-10750</v>
      </c>
      <c r="D1444" s="31"/>
      <c r="E1444" s="31">
        <v>170625</v>
      </c>
      <c r="F1444" s="31">
        <v>301700</v>
      </c>
      <c r="G1444" s="31"/>
      <c r="H1444" s="55">
        <v>27000</v>
      </c>
      <c r="I1444" s="32">
        <v>412375</v>
      </c>
      <c r="J1444" s="30">
        <f>+SUM(C1444:G1444)-(H1444+I1444)</f>
        <v>22200</v>
      </c>
      <c r="K1444" s="68"/>
      <c r="L1444" s="5"/>
      <c r="M1444" s="5"/>
      <c r="N1444" s="5"/>
      <c r="O1444" s="5"/>
    </row>
    <row r="1445" spans="1:15">
      <c r="A1445" s="121" t="s">
        <v>98</v>
      </c>
      <c r="B1445" s="126" t="s">
        <v>47</v>
      </c>
      <c r="C1445" s="32">
        <v>9060</v>
      </c>
      <c r="D1445" s="31"/>
      <c r="E1445" s="31">
        <v>0</v>
      </c>
      <c r="F1445" s="31"/>
      <c r="G1445" s="31"/>
      <c r="H1445" s="55"/>
      <c r="I1445" s="32">
        <v>6000</v>
      </c>
      <c r="J1445" s="30">
        <f t="shared" ref="J1445:J1446" si="693">+SUM(C1445:G1445)-(H1445+I1445)</f>
        <v>3060</v>
      </c>
      <c r="K1445" s="68"/>
      <c r="L1445" s="5"/>
      <c r="M1445" s="5"/>
      <c r="N1445" s="5"/>
      <c r="O1445" s="5"/>
    </row>
    <row r="1446" spans="1:15">
      <c r="A1446" s="121" t="s">
        <v>98</v>
      </c>
      <c r="B1446" s="126" t="s">
        <v>31</v>
      </c>
      <c r="C1446" s="32">
        <v>1195</v>
      </c>
      <c r="D1446" s="31"/>
      <c r="E1446" s="31">
        <v>75000</v>
      </c>
      <c r="F1446" s="32"/>
      <c r="G1446" s="32"/>
      <c r="H1446" s="32"/>
      <c r="I1446" s="32">
        <v>72400</v>
      </c>
      <c r="J1446" s="100">
        <f t="shared" si="693"/>
        <v>3795</v>
      </c>
      <c r="K1446" s="68"/>
      <c r="L1446" s="5"/>
      <c r="M1446" s="5"/>
      <c r="N1446" s="5"/>
      <c r="O1446" s="5"/>
    </row>
    <row r="1447" spans="1:15">
      <c r="A1447" s="121" t="s">
        <v>98</v>
      </c>
      <c r="B1447" s="126" t="s">
        <v>77</v>
      </c>
      <c r="C1447" s="32">
        <v>-8600</v>
      </c>
      <c r="D1447" s="103"/>
      <c r="E1447" s="31">
        <v>596900</v>
      </c>
      <c r="F1447" s="32"/>
      <c r="G1447" s="32"/>
      <c r="H1447" s="32"/>
      <c r="I1447" s="32">
        <v>586000</v>
      </c>
      <c r="J1447" s="100">
        <f>+SUM(C1447:G1447)-(H1447+I1447)</f>
        <v>2300</v>
      </c>
      <c r="K1447" s="68"/>
      <c r="L1447" s="5"/>
      <c r="M1447" s="5"/>
      <c r="N1447" s="5"/>
      <c r="O1447" s="5"/>
    </row>
    <row r="1448" spans="1:15">
      <c r="A1448" s="121" t="s">
        <v>98</v>
      </c>
      <c r="B1448" s="126" t="s">
        <v>69</v>
      </c>
      <c r="C1448" s="32">
        <v>8884</v>
      </c>
      <c r="D1448" s="103"/>
      <c r="E1448" s="31">
        <v>618600</v>
      </c>
      <c r="F1448" s="32">
        <v>27000</v>
      </c>
      <c r="G1448" s="32"/>
      <c r="H1448" s="32">
        <v>301700</v>
      </c>
      <c r="I1448" s="32">
        <v>367000</v>
      </c>
      <c r="J1448" s="100">
        <f t="shared" ref="J1448" si="694">+SUM(C1448:G1448)-(H1448+I1448)</f>
        <v>-14216</v>
      </c>
      <c r="K1448" s="68"/>
      <c r="L1448" s="5"/>
      <c r="M1448" s="5"/>
      <c r="N1448" s="5"/>
      <c r="O1448" s="5"/>
    </row>
    <row r="1449" spans="1:15">
      <c r="A1449" s="118" t="s">
        <v>98</v>
      </c>
      <c r="B1449" s="127" t="s">
        <v>30</v>
      </c>
      <c r="C1449" s="51">
        <v>191600</v>
      </c>
      <c r="D1449" s="118"/>
      <c r="E1449" s="118">
        <v>777000</v>
      </c>
      <c r="F1449" s="51"/>
      <c r="G1449" s="51"/>
      <c r="H1449" s="51"/>
      <c r="I1449" s="51">
        <v>825300</v>
      </c>
      <c r="J1449" s="123">
        <f>+SUM(C1449:G1449)-(H1449+I1449)</f>
        <v>143300</v>
      </c>
      <c r="K1449" s="68"/>
      <c r="L1449" s="5"/>
      <c r="M1449" s="5"/>
      <c r="N1449" s="5"/>
      <c r="O1449" s="5"/>
    </row>
    <row r="1450" spans="1:15">
      <c r="A1450" s="122" t="s">
        <v>98</v>
      </c>
      <c r="B1450" s="128" t="s">
        <v>84</v>
      </c>
      <c r="C1450" s="119">
        <v>233614</v>
      </c>
      <c r="D1450" s="122"/>
      <c r="E1450" s="122"/>
      <c r="F1450" s="122"/>
      <c r="G1450" s="122"/>
      <c r="H1450" s="119"/>
      <c r="I1450" s="119"/>
      <c r="J1450" s="120">
        <f>+SUM(C1450:G1450)-(H1450+I1450)</f>
        <v>233614</v>
      </c>
      <c r="K1450" s="68"/>
      <c r="L1450" s="5"/>
      <c r="M1450" s="5"/>
      <c r="N1450" s="5"/>
      <c r="O1450" s="5"/>
    </row>
    <row r="1451" spans="1:15">
      <c r="A1451" s="122" t="s">
        <v>98</v>
      </c>
      <c r="B1451" s="128" t="s">
        <v>83</v>
      </c>
      <c r="C1451" s="119">
        <v>249769</v>
      </c>
      <c r="D1451" s="122"/>
      <c r="E1451" s="122"/>
      <c r="F1451" s="122"/>
      <c r="G1451" s="122"/>
      <c r="H1451" s="119"/>
      <c r="I1451" s="119"/>
      <c r="J1451" s="120">
        <f t="shared" ref="J1451:J1456" si="695">+SUM(C1451:G1451)-(H1451+I1451)</f>
        <v>249769</v>
      </c>
      <c r="K1451" s="68"/>
      <c r="L1451" s="5"/>
      <c r="M1451" s="5"/>
      <c r="N1451" s="5"/>
      <c r="O1451" s="5"/>
    </row>
    <row r="1452" spans="1:15">
      <c r="A1452" s="121" t="s">
        <v>98</v>
      </c>
      <c r="B1452" s="126" t="s">
        <v>35</v>
      </c>
      <c r="C1452" s="32">
        <v>-3510</v>
      </c>
      <c r="D1452" s="31"/>
      <c r="E1452" s="31">
        <v>240100</v>
      </c>
      <c r="F1452" s="31"/>
      <c r="G1452" s="31"/>
      <c r="H1452" s="32"/>
      <c r="I1452" s="32">
        <v>181500</v>
      </c>
      <c r="J1452" s="30">
        <f t="shared" si="695"/>
        <v>55090</v>
      </c>
      <c r="K1452" s="68"/>
      <c r="L1452" s="5"/>
      <c r="M1452" s="5"/>
      <c r="N1452" s="5"/>
      <c r="O1452" s="5"/>
    </row>
    <row r="1453" spans="1:15">
      <c r="A1453" s="121" t="s">
        <v>98</v>
      </c>
      <c r="B1453" s="126" t="s">
        <v>93</v>
      </c>
      <c r="C1453" s="32">
        <v>0</v>
      </c>
      <c r="D1453" s="31"/>
      <c r="E1453" s="31">
        <v>5000</v>
      </c>
      <c r="F1453" s="31"/>
      <c r="G1453" s="31"/>
      <c r="H1453" s="32"/>
      <c r="I1453" s="32">
        <v>5000</v>
      </c>
      <c r="J1453" s="30">
        <f t="shared" si="695"/>
        <v>0</v>
      </c>
      <c r="K1453" s="68"/>
      <c r="L1453" s="5"/>
      <c r="M1453" s="5"/>
      <c r="N1453" s="5"/>
      <c r="O1453" s="5"/>
    </row>
    <row r="1454" spans="1:15">
      <c r="A1454" s="121" t="s">
        <v>98</v>
      </c>
      <c r="B1454" s="126" t="s">
        <v>29</v>
      </c>
      <c r="C1454" s="32">
        <v>111200</v>
      </c>
      <c r="D1454" s="31"/>
      <c r="E1454" s="31">
        <v>704000</v>
      </c>
      <c r="F1454" s="31"/>
      <c r="G1454" s="31"/>
      <c r="H1454" s="32"/>
      <c r="I1454" s="32">
        <v>704500</v>
      </c>
      <c r="J1454" s="30">
        <f t="shared" si="695"/>
        <v>110700</v>
      </c>
      <c r="K1454" s="68"/>
      <c r="L1454" s="5"/>
      <c r="M1454" s="5"/>
      <c r="N1454" s="5"/>
      <c r="O1454" s="5"/>
    </row>
    <row r="1455" spans="1:15">
      <c r="A1455" s="121" t="s">
        <v>98</v>
      </c>
      <c r="B1455" s="126" t="s">
        <v>94</v>
      </c>
      <c r="C1455" s="32">
        <v>-32081</v>
      </c>
      <c r="D1455" s="31"/>
      <c r="E1455" s="31">
        <v>0</v>
      </c>
      <c r="F1455" s="31"/>
      <c r="G1455" s="31"/>
      <c r="H1455" s="32"/>
      <c r="I1455" s="32">
        <v>0</v>
      </c>
      <c r="J1455" s="30">
        <f t="shared" si="695"/>
        <v>-32081</v>
      </c>
      <c r="K1455" s="68"/>
      <c r="L1455" s="5"/>
      <c r="M1455" s="5"/>
      <c r="N1455" s="5"/>
      <c r="O1455" s="5"/>
    </row>
    <row r="1456" spans="1:15">
      <c r="A1456" s="121" t="s">
        <v>98</v>
      </c>
      <c r="B1456" s="127" t="s">
        <v>32</v>
      </c>
      <c r="C1456" s="51">
        <v>5300</v>
      </c>
      <c r="D1456" s="118"/>
      <c r="E1456" s="118">
        <v>10000</v>
      </c>
      <c r="F1456" s="118"/>
      <c r="G1456" s="129"/>
      <c r="H1456" s="51"/>
      <c r="I1456" s="51">
        <v>8000</v>
      </c>
      <c r="J1456" s="30">
        <f t="shared" si="695"/>
        <v>7300</v>
      </c>
      <c r="K1456" s="68"/>
      <c r="L1456" s="5"/>
      <c r="M1456" s="5"/>
      <c r="N1456" s="5"/>
      <c r="O1456" s="5"/>
    </row>
    <row r="1457" spans="1:15">
      <c r="A1457" s="34" t="s">
        <v>60</v>
      </c>
      <c r="B1457" s="35"/>
      <c r="C1457" s="35"/>
      <c r="D1457" s="35"/>
      <c r="E1457" s="35"/>
      <c r="F1457" s="35"/>
      <c r="G1457" s="35"/>
      <c r="H1457" s="35"/>
      <c r="I1457" s="35"/>
      <c r="J1457" s="36"/>
      <c r="K1457" s="68"/>
      <c r="L1457" s="5"/>
      <c r="M1457" s="5"/>
      <c r="N1457" s="5"/>
      <c r="O1457" s="5"/>
    </row>
    <row r="1458" spans="1:15">
      <c r="A1458" s="27" t="s">
        <v>98</v>
      </c>
      <c r="B1458" s="37" t="s">
        <v>61</v>
      </c>
      <c r="C1458" s="38">
        <v>733034</v>
      </c>
      <c r="D1458" s="39">
        <v>4293000</v>
      </c>
      <c r="E1458" s="39"/>
      <c r="F1458" s="39"/>
      <c r="G1458" s="124"/>
      <c r="H1458" s="130">
        <v>3197225</v>
      </c>
      <c r="I1458" s="125">
        <v>1011040</v>
      </c>
      <c r="J1458" s="30">
        <f>+SUM(C1458:G1458)-(H1458+I1458)</f>
        <v>817769</v>
      </c>
      <c r="K1458" s="68"/>
      <c r="L1458" s="5"/>
      <c r="M1458" s="5"/>
      <c r="N1458" s="5"/>
      <c r="O1458" s="5"/>
    </row>
    <row r="1459" spans="1:15">
      <c r="A1459" s="43" t="s">
        <v>62</v>
      </c>
      <c r="B1459" s="24"/>
      <c r="C1459" s="35"/>
      <c r="D1459" s="24"/>
      <c r="E1459" s="24"/>
      <c r="F1459" s="24"/>
      <c r="G1459" s="24"/>
      <c r="H1459" s="24"/>
      <c r="I1459" s="24"/>
      <c r="J1459" s="36"/>
      <c r="L1459" s="5"/>
      <c r="M1459" s="5"/>
      <c r="N1459" s="5"/>
      <c r="O1459" s="5"/>
    </row>
    <row r="1460" spans="1:15">
      <c r="A1460" s="27" t="s">
        <v>98</v>
      </c>
      <c r="B1460" s="37" t="s">
        <v>63</v>
      </c>
      <c r="C1460" s="124">
        <v>19184971</v>
      </c>
      <c r="D1460" s="131"/>
      <c r="E1460" s="49"/>
      <c r="F1460" s="49"/>
      <c r="G1460" s="49"/>
      <c r="H1460" s="51">
        <v>4000000</v>
      </c>
      <c r="I1460" s="53">
        <v>472051</v>
      </c>
      <c r="J1460" s="30">
        <f>+SUM(C1460:G1460)-(H1460+I1460)</f>
        <v>14712920</v>
      </c>
      <c r="K1460" s="68"/>
      <c r="L1460" s="5"/>
      <c r="M1460" s="5"/>
      <c r="N1460" s="5"/>
      <c r="O1460" s="5"/>
    </row>
    <row r="1461" spans="1:15">
      <c r="A1461" s="27" t="s">
        <v>98</v>
      </c>
      <c r="B1461" s="37" t="s">
        <v>64</v>
      </c>
      <c r="C1461" s="124">
        <v>14419055</v>
      </c>
      <c r="D1461" s="49"/>
      <c r="E1461" s="48"/>
      <c r="F1461" s="48"/>
      <c r="G1461" s="48"/>
      <c r="H1461" s="32">
        <v>293000</v>
      </c>
      <c r="I1461" s="50">
        <v>5764972</v>
      </c>
      <c r="J1461" s="30">
        <f>SUM(C1461:G1461)-(H1461+I1461)</f>
        <v>8361083</v>
      </c>
      <c r="K1461" s="68"/>
      <c r="L1461" s="5"/>
      <c r="M1461" s="5"/>
      <c r="N1461" s="5"/>
      <c r="O1461" s="5"/>
    </row>
    <row r="1462" spans="1:15" ht="15.75">
      <c r="C1462" s="9"/>
      <c r="I1462" s="9"/>
      <c r="J1462" s="104">
        <f>+SUM(J1444:J1461)</f>
        <v>24676603</v>
      </c>
      <c r="L1462" s="5"/>
      <c r="M1462" s="5"/>
      <c r="N1462" s="5"/>
      <c r="O1462" s="5"/>
    </row>
    <row r="1463" spans="1:15" ht="16.5">
      <c r="A1463" s="10"/>
      <c r="B1463" s="11"/>
      <c r="C1463" s="12"/>
      <c r="D1463" s="12"/>
      <c r="E1463" s="12"/>
      <c r="F1463" s="12"/>
      <c r="G1463" s="12"/>
      <c r="H1463" s="12"/>
      <c r="I1463" s="12"/>
      <c r="J1463" s="132"/>
      <c r="L1463" s="5"/>
      <c r="M1463" s="5"/>
      <c r="N1463" s="5"/>
      <c r="O1463" s="5"/>
    </row>
    <row r="1464" spans="1:15">
      <c r="A1464" s="16" t="s">
        <v>52</v>
      </c>
      <c r="B1464" s="16"/>
      <c r="C1464" s="16"/>
      <c r="D1464" s="17"/>
      <c r="E1464" s="17"/>
      <c r="F1464" s="17"/>
      <c r="G1464" s="17"/>
      <c r="H1464" s="17"/>
      <c r="I1464" s="17"/>
      <c r="L1464" s="5"/>
      <c r="M1464" s="5"/>
      <c r="N1464" s="5"/>
      <c r="O1464" s="5"/>
    </row>
    <row r="1465" spans="1:15">
      <c r="A1465" s="18" t="s">
        <v>87</v>
      </c>
      <c r="B1465" s="18"/>
      <c r="C1465" s="18"/>
      <c r="D1465" s="18"/>
      <c r="E1465" s="18"/>
      <c r="F1465" s="18"/>
      <c r="G1465" s="18"/>
      <c r="H1465" s="18"/>
      <c r="I1465" s="18"/>
      <c r="J1465" s="17"/>
      <c r="L1465" s="5"/>
      <c r="M1465" s="5"/>
      <c r="N1465" s="5"/>
      <c r="O1465" s="5"/>
    </row>
    <row r="1466" spans="1:15">
      <c r="A1466" s="19"/>
      <c r="B1466" s="17"/>
      <c r="C1466" s="20"/>
      <c r="D1466" s="20"/>
      <c r="E1466" s="20"/>
      <c r="F1466" s="20"/>
      <c r="G1466" s="20"/>
      <c r="H1466" s="17"/>
      <c r="I1466" s="17"/>
      <c r="J1466" s="18"/>
      <c r="L1466" s="5"/>
      <c r="M1466" s="5"/>
      <c r="N1466" s="5"/>
      <c r="O1466" s="5"/>
    </row>
    <row r="1467" spans="1:15">
      <c r="A1467" s="166" t="s">
        <v>53</v>
      </c>
      <c r="B1467" s="168" t="s">
        <v>54</v>
      </c>
      <c r="C1467" s="170" t="s">
        <v>88</v>
      </c>
      <c r="D1467" s="171" t="s">
        <v>55</v>
      </c>
      <c r="E1467" s="172"/>
      <c r="F1467" s="172"/>
      <c r="G1467" s="173"/>
      <c r="H1467" s="174" t="s">
        <v>56</v>
      </c>
      <c r="I1467" s="162" t="s">
        <v>57</v>
      </c>
      <c r="J1467" s="17"/>
      <c r="L1467" s="5"/>
      <c r="M1467" s="5"/>
      <c r="N1467" s="5"/>
      <c r="O1467" s="5"/>
    </row>
    <row r="1468" spans="1:15" ht="25.5">
      <c r="A1468" s="167"/>
      <c r="B1468" s="169"/>
      <c r="C1468" s="22"/>
      <c r="D1468" s="21" t="s">
        <v>24</v>
      </c>
      <c r="E1468" s="21" t="s">
        <v>25</v>
      </c>
      <c r="F1468" s="22" t="s">
        <v>91</v>
      </c>
      <c r="G1468" s="21" t="s">
        <v>58</v>
      </c>
      <c r="H1468" s="175"/>
      <c r="I1468" s="163"/>
      <c r="J1468" s="164" t="s">
        <v>89</v>
      </c>
      <c r="L1468" s="5"/>
      <c r="M1468" s="5"/>
      <c r="N1468" s="5"/>
      <c r="O1468" s="5"/>
    </row>
    <row r="1469" spans="1:15">
      <c r="A1469" s="23"/>
      <c r="B1469" s="24" t="s">
        <v>59</v>
      </c>
      <c r="C1469" s="25"/>
      <c r="D1469" s="25"/>
      <c r="E1469" s="25"/>
      <c r="F1469" s="25"/>
      <c r="G1469" s="25"/>
      <c r="H1469" s="25"/>
      <c r="I1469" s="26"/>
      <c r="J1469" s="165"/>
      <c r="L1469" s="5"/>
      <c r="M1469" s="5"/>
      <c r="N1469" s="5"/>
      <c r="O1469" s="5"/>
    </row>
    <row r="1470" spans="1:15" ht="16.5">
      <c r="A1470" s="27" t="s">
        <v>90</v>
      </c>
      <c r="B1470" s="8" t="s">
        <v>76</v>
      </c>
      <c r="C1470" s="28" t="e">
        <f>+#REF!</f>
        <v>#REF!</v>
      </c>
      <c r="D1470" s="29"/>
      <c r="E1470" s="29">
        <v>271100</v>
      </c>
      <c r="F1470" s="29">
        <f>112800+126500</f>
        <v>239300</v>
      </c>
      <c r="G1470" s="29"/>
      <c r="H1470" s="55"/>
      <c r="I1470" s="33">
        <v>521950</v>
      </c>
      <c r="J1470" s="30" t="e">
        <f>+SUM(C1470:G1470)-(H1470+I1470)</f>
        <v>#REF!</v>
      </c>
      <c r="L1470" s="5"/>
      <c r="M1470" s="5"/>
      <c r="N1470" s="5"/>
      <c r="O1470" s="5"/>
    </row>
    <row r="1471" spans="1:15" ht="16.5">
      <c r="A1471" s="27" t="s">
        <v>90</v>
      </c>
      <c r="B1471" s="8" t="s">
        <v>47</v>
      </c>
      <c r="C1471" s="28" t="e">
        <f>+C1235</f>
        <v>#REF!</v>
      </c>
      <c r="D1471" s="29"/>
      <c r="E1471" s="29">
        <v>625000</v>
      </c>
      <c r="F1471" s="29"/>
      <c r="G1471" s="29"/>
      <c r="H1471" s="55">
        <v>247500</v>
      </c>
      <c r="I1471" s="33">
        <v>371500</v>
      </c>
      <c r="J1471" s="30" t="e">
        <f t="shared" ref="J1471:J1472" si="696">+SUM(C1471:G1471)-(H1471+I1471)</f>
        <v>#REF!</v>
      </c>
      <c r="L1471" s="5"/>
      <c r="M1471" s="5"/>
      <c r="N1471" s="5"/>
      <c r="O1471" s="5"/>
    </row>
    <row r="1472" spans="1:15" ht="16.5">
      <c r="A1472" s="27" t="s">
        <v>90</v>
      </c>
      <c r="B1472" s="8" t="s">
        <v>31</v>
      </c>
      <c r="C1472" s="28" t="e">
        <f>+C1236</f>
        <v>#REF!</v>
      </c>
      <c r="D1472" s="29"/>
      <c r="E1472" s="29">
        <v>60000</v>
      </c>
      <c r="F1472" s="99"/>
      <c r="G1472" s="99"/>
      <c r="H1472" s="32"/>
      <c r="I1472" s="54">
        <v>67200</v>
      </c>
      <c r="J1472" s="100" t="e">
        <f t="shared" si="696"/>
        <v>#REF!</v>
      </c>
      <c r="L1472" s="5"/>
      <c r="M1472" s="5"/>
      <c r="N1472" s="5"/>
      <c r="O1472" s="5"/>
    </row>
    <row r="1473" spans="1:15" ht="16.5">
      <c r="A1473" s="27" t="s">
        <v>90</v>
      </c>
      <c r="B1473" s="8" t="s">
        <v>77</v>
      </c>
      <c r="C1473" s="28" t="e">
        <f>+C1237</f>
        <v>#REF!</v>
      </c>
      <c r="D1473" s="56"/>
      <c r="E1473" s="29">
        <v>140000</v>
      </c>
      <c r="F1473" s="99">
        <v>270500</v>
      </c>
      <c r="G1473" s="99"/>
      <c r="H1473" s="32"/>
      <c r="I1473" s="32">
        <v>417300</v>
      </c>
      <c r="J1473" s="100" t="e">
        <f>+SUM(C1473:G1473)-(H1473+I1473)</f>
        <v>#REF!</v>
      </c>
      <c r="L1473" s="5"/>
      <c r="M1473" s="5"/>
      <c r="N1473" s="5"/>
      <c r="O1473" s="5"/>
    </row>
    <row r="1474" spans="1:15" ht="16.5">
      <c r="A1474" s="27" t="s">
        <v>90</v>
      </c>
      <c r="B1474" s="8" t="s">
        <v>69</v>
      </c>
      <c r="C1474" s="28">
        <v>15984</v>
      </c>
      <c r="D1474" s="56"/>
      <c r="E1474" s="29">
        <v>256400</v>
      </c>
      <c r="F1474" s="99"/>
      <c r="G1474" s="99"/>
      <c r="H1474" s="32"/>
      <c r="I1474" s="33">
        <v>263500</v>
      </c>
      <c r="J1474" s="100">
        <f t="shared" ref="J1474" si="697">+SUM(C1474:G1474)-(H1474+I1474)</f>
        <v>8884</v>
      </c>
      <c r="L1474" s="5"/>
      <c r="M1474" s="5"/>
      <c r="N1474" s="5"/>
      <c r="O1474" s="5"/>
    </row>
    <row r="1475" spans="1:15" ht="16.5">
      <c r="A1475" s="27" t="s">
        <v>90</v>
      </c>
      <c r="B1475" s="8" t="s">
        <v>30</v>
      </c>
      <c r="C1475" s="28" t="e">
        <f t="shared" ref="C1475:C1479" si="698">+C1238</f>
        <v>#REF!</v>
      </c>
      <c r="D1475" s="29"/>
      <c r="E1475" s="29">
        <v>858500</v>
      </c>
      <c r="F1475" s="99"/>
      <c r="G1475" s="99"/>
      <c r="H1475" s="32"/>
      <c r="I1475" s="33">
        <v>645000</v>
      </c>
      <c r="J1475" s="100" t="e">
        <f>+SUM(C1475:G1475)-(H1475+I1475)</f>
        <v>#REF!</v>
      </c>
      <c r="L1475" s="5"/>
      <c r="M1475" s="5"/>
      <c r="N1475" s="5"/>
      <c r="O1475" s="5"/>
    </row>
    <row r="1476" spans="1:15" ht="16.5">
      <c r="A1476" s="27" t="s">
        <v>90</v>
      </c>
      <c r="B1476" s="8" t="s">
        <v>35</v>
      </c>
      <c r="C1476" s="28" t="e">
        <f t="shared" si="698"/>
        <v>#REF!</v>
      </c>
      <c r="D1476" s="29"/>
      <c r="E1476" s="29">
        <v>800700</v>
      </c>
      <c r="F1476" s="29"/>
      <c r="G1476" s="29"/>
      <c r="H1476" s="32">
        <v>262300</v>
      </c>
      <c r="I1476" s="33">
        <v>543600</v>
      </c>
      <c r="J1476" s="30" t="e">
        <f>+SUM(C1476:G1476)-(H1476+I1476)</f>
        <v>#REF!</v>
      </c>
      <c r="L1476" s="5"/>
      <c r="M1476" s="5"/>
      <c r="N1476" s="5"/>
      <c r="O1476" s="5"/>
    </row>
    <row r="1477" spans="1:15" ht="16.5">
      <c r="A1477" s="27" t="s">
        <v>90</v>
      </c>
      <c r="B1477" s="8" t="s">
        <v>29</v>
      </c>
      <c r="C1477" s="28" t="e">
        <f t="shared" si="698"/>
        <v>#REF!</v>
      </c>
      <c r="D1477" s="29"/>
      <c r="E1477" s="29">
        <v>971600</v>
      </c>
      <c r="F1477" s="29"/>
      <c r="G1477" s="29"/>
      <c r="H1477" s="32">
        <v>200000</v>
      </c>
      <c r="I1477" s="33">
        <v>639450</v>
      </c>
      <c r="J1477" s="30" t="e">
        <f t="shared" ref="J1477:J1478" si="699">+SUM(C1477:G1477)-(H1477+I1477)</f>
        <v>#REF!</v>
      </c>
      <c r="L1477" s="5"/>
      <c r="M1477" s="5"/>
      <c r="N1477" s="5"/>
      <c r="O1477" s="5"/>
    </row>
    <row r="1478" spans="1:15" ht="16.5">
      <c r="A1478" s="27" t="s">
        <v>90</v>
      </c>
      <c r="B1478" s="8" t="s">
        <v>5</v>
      </c>
      <c r="C1478" s="28" t="e">
        <f t="shared" si="698"/>
        <v>#REF!</v>
      </c>
      <c r="D1478" s="29"/>
      <c r="E1478" s="29"/>
      <c r="F1478" s="29"/>
      <c r="G1478" s="29"/>
      <c r="H1478" s="32"/>
      <c r="I1478" s="54">
        <v>23000</v>
      </c>
      <c r="J1478" s="30" t="e">
        <f t="shared" si="699"/>
        <v>#REF!</v>
      </c>
      <c r="L1478" s="5"/>
      <c r="M1478" s="5"/>
      <c r="N1478" s="5"/>
      <c r="O1478" s="5"/>
    </row>
    <row r="1479" spans="1:15" ht="16.5">
      <c r="A1479" s="27" t="s">
        <v>90</v>
      </c>
      <c r="B1479" s="8" t="s">
        <v>32</v>
      </c>
      <c r="C1479" s="28" t="e">
        <f t="shared" si="698"/>
        <v>#REF!</v>
      </c>
      <c r="D1479" s="29"/>
      <c r="E1479" s="29"/>
      <c r="F1479" s="29"/>
      <c r="G1479" s="29"/>
      <c r="H1479" s="32"/>
      <c r="I1479" s="33">
        <v>0</v>
      </c>
      <c r="J1479" s="30" t="e">
        <f>+SUM(C1479:G1479)-(H1479+I1479)</f>
        <v>#REF!</v>
      </c>
      <c r="L1479" s="5"/>
      <c r="M1479" s="5"/>
      <c r="N1479" s="5"/>
      <c r="O1479" s="5"/>
    </row>
    <row r="1480" spans="1:15" ht="16.5">
      <c r="A1480" s="106" t="s">
        <v>90</v>
      </c>
      <c r="B1480" s="107" t="s">
        <v>92</v>
      </c>
      <c r="C1480" s="108">
        <v>3721074</v>
      </c>
      <c r="D1480" s="109"/>
      <c r="E1480" s="110"/>
      <c r="F1480" s="109"/>
      <c r="G1480" s="111"/>
      <c r="H1480" s="108">
        <v>3721074</v>
      </c>
      <c r="I1480" s="112"/>
      <c r="J1480" s="113">
        <f>+SUM(C1480:G1480)-(H1480+I1480)</f>
        <v>0</v>
      </c>
      <c r="L1480" s="5"/>
      <c r="M1480" s="5"/>
      <c r="N1480" s="5"/>
      <c r="O1480" s="5"/>
    </row>
    <row r="1481" spans="1:15">
      <c r="A1481" s="34" t="s">
        <v>60</v>
      </c>
      <c r="B1481" s="35"/>
      <c r="C1481" s="35"/>
      <c r="D1481" s="35"/>
      <c r="E1481" s="35"/>
      <c r="F1481" s="35"/>
      <c r="G1481" s="35"/>
      <c r="H1481" s="35"/>
      <c r="I1481" s="35"/>
      <c r="J1481" s="36"/>
      <c r="L1481" s="5"/>
      <c r="M1481" s="5"/>
      <c r="N1481" s="5"/>
      <c r="O1481" s="5"/>
    </row>
    <row r="1482" spans="1:15">
      <c r="A1482" s="27" t="s">
        <v>90</v>
      </c>
      <c r="B1482" s="37" t="s">
        <v>61</v>
      </c>
      <c r="C1482" s="38" t="e">
        <f>+C1234</f>
        <v>#REF!</v>
      </c>
      <c r="D1482" s="39">
        <v>5000000</v>
      </c>
      <c r="E1482" s="39"/>
      <c r="F1482" s="39"/>
      <c r="G1482" s="40">
        <v>200000</v>
      </c>
      <c r="H1482" s="47">
        <v>3983300</v>
      </c>
      <c r="I1482" s="41">
        <v>776245</v>
      </c>
      <c r="J1482" s="42" t="e">
        <f>+SUM(C1482:G1482)-(H1482+I1482)</f>
        <v>#REF!</v>
      </c>
      <c r="L1482" s="5"/>
      <c r="M1482" s="5"/>
      <c r="N1482" s="5"/>
      <c r="O1482" s="5"/>
    </row>
    <row r="1483" spans="1:15">
      <c r="A1483" s="43" t="s">
        <v>62</v>
      </c>
      <c r="B1483" s="24"/>
      <c r="C1483" s="35"/>
      <c r="D1483" s="24"/>
      <c r="E1483" s="24"/>
      <c r="F1483" s="24"/>
      <c r="G1483" s="24"/>
      <c r="H1483" s="24"/>
      <c r="I1483" s="24"/>
      <c r="J1483" s="36"/>
      <c r="L1483" s="5"/>
      <c r="M1483" s="5"/>
      <c r="N1483" s="5"/>
      <c r="O1483" s="5"/>
    </row>
    <row r="1484" spans="1:15">
      <c r="A1484" s="27" t="s">
        <v>90</v>
      </c>
      <c r="B1484" s="37" t="s">
        <v>63</v>
      </c>
      <c r="C1484" s="44" t="e">
        <f>+#REF!</f>
        <v>#REF!</v>
      </c>
      <c r="D1484" s="52">
        <v>19826114</v>
      </c>
      <c r="E1484" s="49"/>
      <c r="F1484" s="49"/>
      <c r="G1484" s="49"/>
      <c r="H1484" s="51">
        <v>5000000</v>
      </c>
      <c r="I1484" s="53">
        <v>455737</v>
      </c>
      <c r="J1484" s="30" t="e">
        <f>+SUM(C1484:G1484)-(H1484+I1484)</f>
        <v>#REF!</v>
      </c>
      <c r="L1484" s="5"/>
      <c r="M1484" s="5"/>
      <c r="N1484" s="5"/>
      <c r="O1484" s="5"/>
    </row>
    <row r="1485" spans="1:15">
      <c r="A1485" s="27" t="s">
        <v>90</v>
      </c>
      <c r="B1485" s="37" t="s">
        <v>64</v>
      </c>
      <c r="C1485" s="44" t="e">
        <f>+C1233</f>
        <v>#REF!</v>
      </c>
      <c r="D1485" s="49">
        <v>13119140</v>
      </c>
      <c r="E1485" s="48"/>
      <c r="F1485" s="48"/>
      <c r="G1485" s="48"/>
      <c r="H1485" s="32"/>
      <c r="I1485" s="50">
        <v>3445919</v>
      </c>
      <c r="J1485" s="30" t="e">
        <f>SUM(C1485:G1485)-(H1485+I1485)</f>
        <v>#REF!</v>
      </c>
      <c r="L1485" s="5"/>
      <c r="M1485" s="5"/>
      <c r="N1485" s="5"/>
      <c r="O1485" s="5"/>
    </row>
    <row r="1486" spans="1:15">
      <c r="A1486" s="147" t="s">
        <v>90</v>
      </c>
      <c r="B1486" s="144" t="s">
        <v>83</v>
      </c>
      <c r="C1486" s="148">
        <v>249769</v>
      </c>
      <c r="D1486" s="49"/>
      <c r="E1486" s="49"/>
      <c r="F1486" s="49"/>
      <c r="G1486" s="49"/>
      <c r="H1486" s="32"/>
      <c r="I1486" s="50"/>
      <c r="J1486" s="149">
        <f>SUM(C1486:G1486)-(H1486+I1486)</f>
        <v>249769</v>
      </c>
      <c r="L1486" s="5"/>
      <c r="M1486" s="5"/>
      <c r="N1486" s="5"/>
      <c r="O1486" s="5"/>
    </row>
    <row r="1487" spans="1:15">
      <c r="A1487" s="147" t="s">
        <v>90</v>
      </c>
      <c r="B1487" s="145" t="s">
        <v>84</v>
      </c>
      <c r="C1487" s="148">
        <v>233614</v>
      </c>
      <c r="D1487" s="49"/>
      <c r="E1487" s="49"/>
      <c r="F1487" s="49"/>
      <c r="G1487" s="49"/>
      <c r="H1487" s="32"/>
      <c r="I1487" s="50"/>
      <c r="J1487" s="149">
        <f>SUM(C1487:G1487)-(H1487+I1487)</f>
        <v>233614</v>
      </c>
      <c r="L1487" s="5"/>
      <c r="M1487" s="5"/>
      <c r="N1487" s="5"/>
      <c r="O1487" s="5"/>
    </row>
    <row r="1488" spans="1:15">
      <c r="A1488" s="147" t="s">
        <v>90</v>
      </c>
      <c r="B1488" s="146" t="s">
        <v>85</v>
      </c>
      <c r="C1488" s="148">
        <v>330169</v>
      </c>
      <c r="D1488" s="150"/>
      <c r="E1488" s="150"/>
      <c r="F1488" s="150"/>
      <c r="G1488" s="150"/>
      <c r="H1488" s="150"/>
      <c r="I1488" s="150"/>
      <c r="J1488" s="149">
        <f>SUM(C1488:G1488)-(H1488+I1488)</f>
        <v>330169</v>
      </c>
      <c r="L1488" s="5"/>
      <c r="M1488" s="5"/>
      <c r="N1488" s="5"/>
      <c r="O1488" s="5"/>
    </row>
    <row r="1489" spans="1:15" ht="15.75">
      <c r="C1489" s="9"/>
      <c r="I1489" s="9"/>
      <c r="J1489" s="104" t="e">
        <f>+SUM(J1470:J1488)</f>
        <v>#REF!</v>
      </c>
      <c r="K1489" s="105" t="e">
        <f>+J1489-I1246</f>
        <v>#REF!</v>
      </c>
      <c r="L1489" s="5"/>
      <c r="M1489" s="5"/>
      <c r="N1489" s="5"/>
      <c r="O1489" s="5"/>
    </row>
    <row r="1491" spans="1:15">
      <c r="A1491" s="16" t="s">
        <v>52</v>
      </c>
      <c r="B1491" s="16"/>
      <c r="C1491" s="16"/>
      <c r="D1491" s="17"/>
      <c r="E1491" s="17"/>
      <c r="F1491" s="17"/>
      <c r="G1491" s="17"/>
      <c r="H1491" s="17"/>
      <c r="I1491" s="17"/>
      <c r="L1491" s="5"/>
      <c r="M1491" s="5"/>
      <c r="N1491" s="5"/>
      <c r="O1491" s="5"/>
    </row>
    <row r="1492" spans="1:15">
      <c r="A1492" s="18" t="s">
        <v>78</v>
      </c>
      <c r="B1492" s="18"/>
      <c r="C1492" s="18"/>
      <c r="D1492" s="18"/>
      <c r="E1492" s="18"/>
      <c r="F1492" s="18"/>
      <c r="G1492" s="18"/>
      <c r="H1492" s="18"/>
      <c r="I1492" s="18"/>
      <c r="J1492" s="17"/>
      <c r="L1492" s="5"/>
      <c r="M1492" s="5"/>
      <c r="N1492" s="5"/>
      <c r="O1492" s="5"/>
    </row>
    <row r="1493" spans="1:15">
      <c r="A1493" s="19"/>
      <c r="B1493" s="17"/>
      <c r="C1493" s="20"/>
      <c r="D1493" s="20"/>
      <c r="E1493" s="20"/>
      <c r="F1493" s="20"/>
      <c r="G1493" s="20"/>
      <c r="H1493" s="17"/>
      <c r="I1493" s="17"/>
      <c r="J1493" s="18"/>
      <c r="L1493" s="5"/>
      <c r="M1493" s="5"/>
      <c r="N1493" s="5"/>
      <c r="O1493" s="5"/>
    </row>
    <row r="1494" spans="1:15" ht="25.5">
      <c r="A1494" s="166" t="s">
        <v>53</v>
      </c>
      <c r="B1494" s="168" t="s">
        <v>54</v>
      </c>
      <c r="C1494" s="170" t="s">
        <v>80</v>
      </c>
      <c r="D1494" s="171" t="s">
        <v>55</v>
      </c>
      <c r="E1494" s="172"/>
      <c r="F1494" s="172"/>
      <c r="G1494" s="173"/>
      <c r="H1494" s="174" t="s">
        <v>56</v>
      </c>
      <c r="I1494" s="162" t="s">
        <v>57</v>
      </c>
      <c r="J1494" s="17"/>
      <c r="L1494" s="5"/>
      <c r="M1494" s="5"/>
      <c r="N1494" s="5"/>
      <c r="O1494" s="5"/>
    </row>
    <row r="1495" spans="1:15" ht="25.5">
      <c r="A1495" s="167"/>
      <c r="B1495" s="169"/>
      <c r="C1495" s="22"/>
      <c r="D1495" s="21" t="s">
        <v>24</v>
      </c>
      <c r="E1495" s="21" t="s">
        <v>25</v>
      </c>
      <c r="F1495" s="22" t="s">
        <v>69</v>
      </c>
      <c r="G1495" s="21" t="s">
        <v>58</v>
      </c>
      <c r="H1495" s="175"/>
      <c r="I1495" s="163"/>
      <c r="J1495" s="164" t="s">
        <v>86</v>
      </c>
      <c r="L1495" s="5"/>
      <c r="M1495" s="5"/>
      <c r="N1495" s="5"/>
      <c r="O1495" s="5"/>
    </row>
    <row r="1496" spans="1:15">
      <c r="A1496" s="23"/>
      <c r="B1496" s="24" t="s">
        <v>59</v>
      </c>
      <c r="C1496" s="25"/>
      <c r="D1496" s="25"/>
      <c r="E1496" s="25"/>
      <c r="F1496" s="25"/>
      <c r="G1496" s="25"/>
      <c r="H1496" s="25"/>
      <c r="I1496" s="26"/>
      <c r="J1496" s="165"/>
      <c r="L1496" s="5"/>
      <c r="M1496" s="5"/>
      <c r="N1496" s="5"/>
      <c r="O1496" s="5"/>
    </row>
    <row r="1497" spans="1:15" ht="16.5">
      <c r="A1497" s="27" t="s">
        <v>79</v>
      </c>
      <c r="B1497" s="8" t="s">
        <v>76</v>
      </c>
      <c r="C1497" s="28">
        <v>0</v>
      </c>
      <c r="D1497" s="29"/>
      <c r="E1497" s="29">
        <v>40000</v>
      </c>
      <c r="F1497" s="29"/>
      <c r="G1497" s="29"/>
      <c r="H1497" s="55"/>
      <c r="I1497" s="33">
        <v>39200</v>
      </c>
      <c r="J1497" s="30">
        <f>+SUM(C1497:G1497)-(H1497+I1497)</f>
        <v>800</v>
      </c>
      <c r="L1497" s="5"/>
      <c r="M1497" s="5"/>
      <c r="N1497" s="5"/>
      <c r="O1497" s="5"/>
    </row>
    <row r="1498" spans="1:15" ht="16.5">
      <c r="A1498" s="27" t="s">
        <v>79</v>
      </c>
      <c r="B1498" s="8" t="str">
        <f>+A1235</f>
        <v>JUILLET</v>
      </c>
      <c r="C1498" s="28">
        <v>19060</v>
      </c>
      <c r="D1498" s="29"/>
      <c r="E1498" s="29">
        <v>20000</v>
      </c>
      <c r="F1498" s="29"/>
      <c r="G1498" s="29"/>
      <c r="H1498" s="55"/>
      <c r="I1498" s="33">
        <v>36000</v>
      </c>
      <c r="J1498" s="30">
        <f t="shared" ref="J1498:J1505" si="700">+SUM(C1498:G1498)-(H1498+I1498)</f>
        <v>3060</v>
      </c>
      <c r="L1498" s="5"/>
      <c r="M1498" s="5"/>
      <c r="N1498" s="5"/>
      <c r="O1498" s="5"/>
    </row>
    <row r="1499" spans="1:15" ht="16.5">
      <c r="A1499" s="27" t="s">
        <v>79</v>
      </c>
      <c r="B1499" s="8" t="str">
        <f>+A1236</f>
        <v>JUILLET</v>
      </c>
      <c r="C1499" s="28">
        <v>8395</v>
      </c>
      <c r="D1499" s="29"/>
      <c r="E1499" s="29">
        <v>20000</v>
      </c>
      <c r="F1499" s="99"/>
      <c r="G1499" s="99"/>
      <c r="H1499" s="32"/>
      <c r="I1499" s="54">
        <v>20000</v>
      </c>
      <c r="J1499" s="100">
        <f t="shared" si="700"/>
        <v>8395</v>
      </c>
      <c r="L1499" s="5"/>
      <c r="M1499" s="5"/>
      <c r="N1499" s="5"/>
      <c r="O1499" s="5"/>
    </row>
    <row r="1500" spans="1:15" ht="16.5">
      <c r="A1500" s="27" t="s">
        <v>79</v>
      </c>
      <c r="B1500" s="8" t="str">
        <f>+A1237</f>
        <v>JUILLET</v>
      </c>
      <c r="C1500" s="28">
        <v>0</v>
      </c>
      <c r="D1500" s="56"/>
      <c r="E1500" s="29">
        <v>100000</v>
      </c>
      <c r="F1500" s="99">
        <v>102200</v>
      </c>
      <c r="G1500" s="99"/>
      <c r="H1500" s="32"/>
      <c r="I1500" s="32">
        <v>204000</v>
      </c>
      <c r="J1500" s="100">
        <f>+SUM(C1500:G1500)-(H1500+I1500)</f>
        <v>-1800</v>
      </c>
      <c r="L1500" s="5"/>
      <c r="M1500" s="5"/>
      <c r="N1500" s="5"/>
      <c r="O1500" s="5"/>
    </row>
    <row r="1501" spans="1:15" ht="16.5">
      <c r="A1501" s="27" t="s">
        <v>79</v>
      </c>
      <c r="B1501" s="8" t="e">
        <f>+#REF!</f>
        <v>#REF!</v>
      </c>
      <c r="C1501" s="28">
        <v>7559</v>
      </c>
      <c r="D1501" s="56"/>
      <c r="E1501" s="29">
        <v>866200</v>
      </c>
      <c r="F1501" s="99"/>
      <c r="G1501" s="99"/>
      <c r="H1501" s="32">
        <v>252200</v>
      </c>
      <c r="I1501" s="33">
        <v>605575</v>
      </c>
      <c r="J1501" s="100">
        <f t="shared" si="700"/>
        <v>15984</v>
      </c>
      <c r="L1501" s="5"/>
      <c r="M1501" s="5"/>
      <c r="N1501" s="5"/>
      <c r="O1501" s="5"/>
    </row>
    <row r="1502" spans="1:15" ht="16.5">
      <c r="A1502" s="27" t="s">
        <v>79</v>
      </c>
      <c r="B1502" s="8" t="str">
        <f t="shared" ref="B1502:B1505" si="701">+A1238</f>
        <v>JUILLET</v>
      </c>
      <c r="C1502" s="28">
        <v>214000</v>
      </c>
      <c r="D1502" s="29"/>
      <c r="E1502" s="29">
        <v>724100</v>
      </c>
      <c r="F1502" s="99"/>
      <c r="G1502" s="99"/>
      <c r="H1502" s="32"/>
      <c r="I1502" s="33">
        <v>960000</v>
      </c>
      <c r="J1502" s="100">
        <f>+SUM(C1502:G1502)-(H1502+I1502)</f>
        <v>-21900</v>
      </c>
      <c r="L1502" s="5"/>
      <c r="M1502" s="5"/>
      <c r="N1502" s="5"/>
      <c r="O1502" s="5"/>
    </row>
    <row r="1503" spans="1:15" ht="16.5">
      <c r="A1503" s="27" t="s">
        <v>79</v>
      </c>
      <c r="B1503" s="8" t="str">
        <f t="shared" si="701"/>
        <v>JUILLET</v>
      </c>
      <c r="C1503" s="28">
        <v>-13805</v>
      </c>
      <c r="D1503" s="29"/>
      <c r="E1503" s="29">
        <v>333400</v>
      </c>
      <c r="F1503" s="29">
        <v>150000</v>
      </c>
      <c r="G1503" s="29"/>
      <c r="H1503" s="32">
        <v>129000</v>
      </c>
      <c r="I1503" s="33">
        <v>338905</v>
      </c>
      <c r="J1503" s="30">
        <f>+SUM(C1503:G1503)-(H1503+I1503)</f>
        <v>1690</v>
      </c>
      <c r="L1503" s="5"/>
      <c r="M1503" s="5"/>
      <c r="N1503" s="5"/>
      <c r="O1503" s="5"/>
    </row>
    <row r="1504" spans="1:15" ht="16.5">
      <c r="A1504" s="27" t="s">
        <v>79</v>
      </c>
      <c r="B1504" s="8" t="str">
        <f t="shared" si="701"/>
        <v>JUILLET</v>
      </c>
      <c r="C1504" s="28">
        <v>84350</v>
      </c>
      <c r="D1504" s="29"/>
      <c r="E1504" s="29">
        <v>669400</v>
      </c>
      <c r="F1504" s="29"/>
      <c r="G1504" s="29"/>
      <c r="H1504" s="32">
        <v>100000</v>
      </c>
      <c r="I1504" s="33">
        <v>674700</v>
      </c>
      <c r="J1504" s="30">
        <f>+SUM(C1504:G1504)-(H1504+I1504)</f>
        <v>-20950</v>
      </c>
      <c r="L1504" s="5"/>
      <c r="M1504" s="5"/>
      <c r="N1504" s="5"/>
      <c r="O1504" s="5"/>
    </row>
    <row r="1505" spans="1:15" ht="16.5">
      <c r="A1505" s="27" t="s">
        <v>79</v>
      </c>
      <c r="B1505" s="8" t="str">
        <f t="shared" si="701"/>
        <v>JUILLET</v>
      </c>
      <c r="C1505" s="28">
        <v>-216251</v>
      </c>
      <c r="D1505" s="29"/>
      <c r="E1505" s="29">
        <v>242000</v>
      </c>
      <c r="F1505" s="29"/>
      <c r="G1505" s="29"/>
      <c r="H1505" s="32"/>
      <c r="I1505" s="54">
        <v>34830</v>
      </c>
      <c r="J1505" s="30">
        <f t="shared" si="700"/>
        <v>-9081</v>
      </c>
      <c r="L1505" s="5"/>
      <c r="M1505" s="5"/>
      <c r="N1505" s="5"/>
      <c r="O1505" s="5"/>
    </row>
    <row r="1506" spans="1:15" ht="16.5">
      <c r="A1506" s="27" t="s">
        <v>79</v>
      </c>
      <c r="B1506" s="8" t="s">
        <v>33</v>
      </c>
      <c r="C1506" s="28">
        <v>2025</v>
      </c>
      <c r="D1506" s="29"/>
      <c r="E1506" s="29">
        <v>25000</v>
      </c>
      <c r="F1506" s="29"/>
      <c r="G1506" s="29"/>
      <c r="H1506" s="32">
        <v>3025</v>
      </c>
      <c r="I1506" s="33">
        <v>24000</v>
      </c>
      <c r="J1506" s="30">
        <f>+SUM(C1506:G1506)-(H1506+I1506)</f>
        <v>0</v>
      </c>
      <c r="L1506" s="5"/>
      <c r="M1506" s="5"/>
      <c r="N1506" s="5"/>
      <c r="O1506" s="5"/>
    </row>
    <row r="1507" spans="1:15" ht="16.5">
      <c r="A1507" s="27" t="s">
        <v>79</v>
      </c>
      <c r="B1507" s="8" t="s">
        <v>32</v>
      </c>
      <c r="C1507" s="28">
        <v>10000</v>
      </c>
      <c r="D1507" s="31"/>
      <c r="E1507" s="29">
        <v>0</v>
      </c>
      <c r="F1507" s="31"/>
      <c r="G1507" s="31"/>
      <c r="H1507" s="32"/>
      <c r="I1507" s="33">
        <v>4700</v>
      </c>
      <c r="J1507" s="30">
        <f>+SUM(C1507:G1507)-(H1507+I1507)</f>
        <v>5300</v>
      </c>
      <c r="L1507" s="5"/>
      <c r="M1507" s="5"/>
      <c r="N1507" s="5"/>
      <c r="O1507" s="5"/>
    </row>
    <row r="1508" spans="1:15">
      <c r="A1508" s="34" t="s">
        <v>60</v>
      </c>
      <c r="B1508" s="35"/>
      <c r="C1508" s="35"/>
      <c r="D1508" s="35"/>
      <c r="E1508" s="35"/>
      <c r="F1508" s="35"/>
      <c r="G1508" s="35"/>
      <c r="H1508" s="35"/>
      <c r="I1508" s="35"/>
      <c r="J1508" s="36"/>
      <c r="L1508" s="5"/>
      <c r="M1508" s="5"/>
      <c r="N1508" s="5"/>
      <c r="O1508" s="5"/>
    </row>
    <row r="1509" spans="1:15">
      <c r="A1509" s="27" t="s">
        <v>79</v>
      </c>
      <c r="B1509" s="37" t="s">
        <v>61</v>
      </c>
      <c r="C1509" s="38">
        <v>791675</v>
      </c>
      <c r="D1509" s="39">
        <v>3185100</v>
      </c>
      <c r="E1509" s="39"/>
      <c r="F1509" s="39"/>
      <c r="G1509" s="40">
        <v>237025</v>
      </c>
      <c r="H1509" s="47">
        <v>3045100</v>
      </c>
      <c r="I1509" s="41">
        <v>876121</v>
      </c>
      <c r="J1509" s="42">
        <f>+SUM(C1509:G1509)-(H1509+I1509)</f>
        <v>292579</v>
      </c>
      <c r="L1509" s="5"/>
      <c r="M1509" s="5"/>
      <c r="N1509" s="5"/>
      <c r="O1509" s="5"/>
    </row>
    <row r="1510" spans="1:15">
      <c r="A1510" s="43" t="s">
        <v>62</v>
      </c>
      <c r="B1510" s="24"/>
      <c r="C1510" s="35"/>
      <c r="D1510" s="24"/>
      <c r="E1510" s="24"/>
      <c r="F1510" s="24"/>
      <c r="G1510" s="24"/>
      <c r="H1510" s="24"/>
      <c r="I1510" s="24"/>
      <c r="J1510" s="36"/>
      <c r="L1510" s="5"/>
      <c r="M1510" s="5"/>
      <c r="N1510" s="5"/>
      <c r="O1510" s="5"/>
    </row>
    <row r="1511" spans="1:15">
      <c r="A1511" s="27" t="s">
        <v>79</v>
      </c>
      <c r="B1511" s="37" t="s">
        <v>63</v>
      </c>
      <c r="C1511" s="44">
        <v>8039273</v>
      </c>
      <c r="D1511" s="52">
        <v>0</v>
      </c>
      <c r="E1511" s="49"/>
      <c r="F1511" s="49"/>
      <c r="G1511" s="49"/>
      <c r="H1511" s="51">
        <v>3000000</v>
      </c>
      <c r="I1511" s="53">
        <v>224679</v>
      </c>
      <c r="J1511" s="30">
        <f>+SUM(C1511:G1511)-(H1511+I1511)</f>
        <v>4814594</v>
      </c>
      <c r="L1511" s="5"/>
      <c r="M1511" s="5"/>
      <c r="N1511" s="5"/>
      <c r="O1511" s="5"/>
    </row>
    <row r="1512" spans="1:15">
      <c r="A1512" s="27" t="s">
        <v>79</v>
      </c>
      <c r="B1512" s="37" t="s">
        <v>64</v>
      </c>
      <c r="C1512" s="44">
        <v>13283340</v>
      </c>
      <c r="D1512" s="49">
        <v>0</v>
      </c>
      <c r="E1512" s="48"/>
      <c r="F1512" s="48"/>
      <c r="G1512" s="48"/>
      <c r="H1512" s="32">
        <v>185100</v>
      </c>
      <c r="I1512" s="50">
        <v>8352406</v>
      </c>
      <c r="J1512" s="30">
        <f>SUM(C1512:G1512)-(H1512+I1512)</f>
        <v>4745834</v>
      </c>
    </row>
    <row r="1513" spans="1:15">
      <c r="A1513" s="45" t="s">
        <v>79</v>
      </c>
      <c r="B1513" s="144" t="s">
        <v>82</v>
      </c>
      <c r="C1513" s="44">
        <v>3721074</v>
      </c>
      <c r="D1513" s="45"/>
      <c r="E1513" s="45"/>
      <c r="F1513" s="45"/>
      <c r="G1513" s="45"/>
      <c r="H1513" s="45"/>
      <c r="I1513" s="45"/>
      <c r="J1513" s="100">
        <f>SUM(C1513:G1513)-(H1513+I1513)</f>
        <v>3721074</v>
      </c>
    </row>
    <row r="1514" spans="1:15">
      <c r="A1514" s="45" t="s">
        <v>79</v>
      </c>
      <c r="B1514" s="144" t="s">
        <v>83</v>
      </c>
      <c r="C1514" s="44">
        <v>249769</v>
      </c>
      <c r="D1514" s="49"/>
      <c r="E1514" s="49"/>
      <c r="F1514" s="49"/>
      <c r="G1514" s="49"/>
      <c r="H1514" s="32"/>
      <c r="I1514" s="50"/>
      <c r="J1514" s="100">
        <f>SUM(C1514:G1514)-(H1514+I1514)</f>
        <v>249769</v>
      </c>
    </row>
    <row r="1515" spans="1:15">
      <c r="A1515" s="45" t="s">
        <v>79</v>
      </c>
      <c r="B1515" s="145" t="s">
        <v>84</v>
      </c>
      <c r="C1515" s="44">
        <v>233614</v>
      </c>
      <c r="D1515" s="49"/>
      <c r="E1515" s="49"/>
      <c r="F1515" s="49"/>
      <c r="G1515" s="49"/>
      <c r="H1515" s="32"/>
      <c r="I1515" s="50"/>
      <c r="J1515" s="100">
        <f>SUM(C1515:G1515)-(H1515+I1515)</f>
        <v>233614</v>
      </c>
    </row>
    <row r="1516" spans="1:15">
      <c r="A1516" s="45" t="s">
        <v>79</v>
      </c>
      <c r="B1516" s="146" t="s">
        <v>85</v>
      </c>
      <c r="C1516" s="44">
        <v>330169</v>
      </c>
      <c r="D1516" s="45"/>
      <c r="E1516" s="45"/>
      <c r="F1516" s="45"/>
      <c r="G1516" s="45"/>
      <c r="H1516" s="45"/>
      <c r="I1516" s="45"/>
      <c r="J1516" s="100">
        <f>SUM(C1516:G1516)-(H1516+I1516)</f>
        <v>330169</v>
      </c>
    </row>
    <row r="1517" spans="1:15" ht="15.75">
      <c r="C1517" s="9"/>
      <c r="I1517" s="9"/>
      <c r="J1517" s="104">
        <f>+SUM(J1497:J1516)</f>
        <v>14369131</v>
      </c>
    </row>
    <row r="1518" spans="1:15">
      <c r="C1518" s="9"/>
      <c r="I1518" s="9"/>
      <c r="J1518" s="9"/>
    </row>
    <row r="1519" spans="1:15">
      <c r="A1519" s="69" t="s">
        <v>65</v>
      </c>
      <c r="B1519" s="69"/>
      <c r="C1519" s="69"/>
      <c r="D1519" s="69"/>
      <c r="E1519" s="69"/>
      <c r="F1519" s="69"/>
      <c r="G1519" s="69"/>
      <c r="H1519" s="69"/>
      <c r="I1519" s="69"/>
      <c r="J1519" s="17"/>
      <c r="L1519" s="70"/>
      <c r="M1519" s="70"/>
      <c r="N1519" s="70"/>
      <c r="O1519" s="70"/>
    </row>
    <row r="1520" spans="1:15">
      <c r="A1520" s="19"/>
      <c r="B1520" s="17"/>
      <c r="C1520" s="71"/>
      <c r="D1520" s="71"/>
      <c r="E1520" s="71"/>
      <c r="F1520" s="71"/>
      <c r="G1520" s="71"/>
      <c r="H1520" s="17"/>
      <c r="I1520" s="17"/>
      <c r="J1520" s="69"/>
      <c r="L1520" s="70"/>
      <c r="M1520" s="70"/>
      <c r="N1520" s="70"/>
      <c r="O1520" s="70"/>
    </row>
    <row r="1521" spans="1:15">
      <c r="A1521" s="166" t="s">
        <v>53</v>
      </c>
      <c r="B1521" s="168" t="s">
        <v>54</v>
      </c>
      <c r="C1521" s="170" t="s">
        <v>67</v>
      </c>
      <c r="D1521" s="263" t="s">
        <v>55</v>
      </c>
      <c r="E1521" s="264"/>
      <c r="F1521" s="264"/>
      <c r="G1521" s="265"/>
      <c r="H1521" s="266" t="s">
        <v>56</v>
      </c>
      <c r="I1521" s="268" t="s">
        <v>57</v>
      </c>
      <c r="J1521" s="17"/>
      <c r="L1521" s="70"/>
      <c r="M1521" s="70"/>
      <c r="N1521" s="70"/>
      <c r="O1521" s="70"/>
    </row>
    <row r="1522" spans="1:15" ht="25.5">
      <c r="A1522" s="167"/>
      <c r="B1522" s="169"/>
      <c r="C1522" s="22"/>
      <c r="D1522" s="21" t="s">
        <v>24</v>
      </c>
      <c r="E1522" s="21" t="s">
        <v>25</v>
      </c>
      <c r="F1522" s="22" t="s">
        <v>69</v>
      </c>
      <c r="G1522" s="21" t="s">
        <v>58</v>
      </c>
      <c r="H1522" s="267"/>
      <c r="I1522" s="269"/>
      <c r="J1522" s="164" t="s">
        <v>68</v>
      </c>
      <c r="L1522" s="70"/>
      <c r="M1522" s="70"/>
      <c r="N1522" s="70"/>
      <c r="O1522" s="70"/>
    </row>
    <row r="1523" spans="1:15">
      <c r="A1523" s="72"/>
      <c r="B1523" s="73" t="s">
        <v>59</v>
      </c>
      <c r="C1523" s="74"/>
      <c r="D1523" s="74"/>
      <c r="E1523" s="74"/>
      <c r="F1523" s="74"/>
      <c r="G1523" s="74"/>
      <c r="H1523" s="74"/>
      <c r="I1523" s="75"/>
      <c r="J1523" s="165"/>
      <c r="L1523" s="70"/>
      <c r="M1523" s="70"/>
      <c r="N1523" s="70"/>
      <c r="O1523" s="70"/>
    </row>
    <row r="1524" spans="1:15" ht="16.5">
      <c r="A1524" s="76" t="s">
        <v>66</v>
      </c>
      <c r="B1524" s="8" t="s">
        <v>47</v>
      </c>
      <c r="C1524" s="77">
        <v>40560</v>
      </c>
      <c r="D1524" s="29"/>
      <c r="E1524" s="29">
        <v>0</v>
      </c>
      <c r="F1524" s="29"/>
      <c r="G1524" s="29"/>
      <c r="H1524" s="78"/>
      <c r="I1524" s="79">
        <v>21500</v>
      </c>
      <c r="J1524" s="30">
        <f>+SUM(C1524:G1524)-(H1524+I1524)</f>
        <v>19060</v>
      </c>
      <c r="L1524" s="70"/>
      <c r="M1524" s="70"/>
      <c r="N1524" s="70"/>
      <c r="O1524" s="70"/>
    </row>
    <row r="1525" spans="1:15" ht="16.5">
      <c r="A1525" s="76" t="s">
        <v>66</v>
      </c>
      <c r="B1525" s="8" t="s">
        <v>28</v>
      </c>
      <c r="C1525" s="77">
        <v>227975</v>
      </c>
      <c r="D1525" s="29"/>
      <c r="E1525" s="29">
        <v>119600</v>
      </c>
      <c r="F1525" s="29"/>
      <c r="G1525" s="29"/>
      <c r="H1525" s="78">
        <v>1635</v>
      </c>
      <c r="I1525" s="79">
        <v>345940</v>
      </c>
      <c r="J1525" s="30">
        <f t="shared" ref="J1525:J1532" si="702">+SUM(C1525:G1525)-(H1525+I1525)</f>
        <v>0</v>
      </c>
      <c r="L1525" s="70"/>
      <c r="M1525" s="70"/>
      <c r="N1525" s="70"/>
      <c r="O1525" s="70"/>
    </row>
    <row r="1526" spans="1:15" ht="16.5">
      <c r="A1526" s="76" t="s">
        <v>66</v>
      </c>
      <c r="B1526" s="8" t="s">
        <v>31</v>
      </c>
      <c r="C1526" s="77">
        <v>-605</v>
      </c>
      <c r="D1526" s="29"/>
      <c r="E1526" s="29">
        <v>30000</v>
      </c>
      <c r="F1526" s="29"/>
      <c r="G1526" s="29"/>
      <c r="H1526" s="80"/>
      <c r="I1526" s="81">
        <v>21000</v>
      </c>
      <c r="J1526" s="30">
        <f t="shared" si="702"/>
        <v>8395</v>
      </c>
      <c r="L1526" s="70"/>
      <c r="M1526" s="70"/>
      <c r="N1526" s="70"/>
      <c r="O1526" s="70"/>
    </row>
    <row r="1527" spans="1:15" ht="16.5">
      <c r="A1527" s="76" t="s">
        <v>66</v>
      </c>
      <c r="B1527" s="98" t="s">
        <v>26</v>
      </c>
      <c r="C1527" s="77">
        <v>264659</v>
      </c>
      <c r="D1527" s="99"/>
      <c r="E1527" s="99">
        <v>325000</v>
      </c>
      <c r="F1527" s="99"/>
      <c r="G1527" s="99"/>
      <c r="H1527" s="32">
        <v>75000</v>
      </c>
      <c r="I1527" s="32">
        <v>507100</v>
      </c>
      <c r="J1527" s="100">
        <f t="shared" si="702"/>
        <v>7559</v>
      </c>
      <c r="L1527" s="70"/>
      <c r="M1527" s="70"/>
      <c r="N1527" s="70"/>
      <c r="O1527" s="70"/>
    </row>
    <row r="1528" spans="1:15" ht="16.5">
      <c r="A1528" s="76" t="s">
        <v>66</v>
      </c>
      <c r="B1528" s="98" t="s">
        <v>48</v>
      </c>
      <c r="C1528" s="77">
        <v>272500</v>
      </c>
      <c r="D1528" s="99"/>
      <c r="E1528" s="99">
        <v>695000</v>
      </c>
      <c r="F1528" s="99"/>
      <c r="G1528" s="99"/>
      <c r="H1528" s="32"/>
      <c r="I1528" s="77">
        <v>753500</v>
      </c>
      <c r="J1528" s="100">
        <f t="shared" si="702"/>
        <v>214000</v>
      </c>
      <c r="L1528" s="70"/>
      <c r="M1528" s="70"/>
      <c r="N1528" s="70"/>
      <c r="O1528" s="70"/>
    </row>
    <row r="1529" spans="1:15" ht="16.5">
      <c r="A1529" s="76" t="s">
        <v>66</v>
      </c>
      <c r="B1529" s="8" t="s">
        <v>35</v>
      </c>
      <c r="C1529" s="77">
        <v>284595</v>
      </c>
      <c r="D1529" s="29"/>
      <c r="E1529" s="29">
        <v>275000</v>
      </c>
      <c r="F1529" s="29">
        <v>60000</v>
      </c>
      <c r="G1529" s="29"/>
      <c r="H1529" s="80"/>
      <c r="I1529" s="79">
        <v>633400</v>
      </c>
      <c r="J1529" s="30">
        <f t="shared" si="702"/>
        <v>-13805</v>
      </c>
      <c r="L1529" s="70"/>
      <c r="M1529" s="70"/>
      <c r="N1529" s="70"/>
      <c r="O1529" s="70"/>
    </row>
    <row r="1530" spans="1:15" ht="16.5">
      <c r="A1530" s="76" t="s">
        <v>66</v>
      </c>
      <c r="B1530" s="8" t="s">
        <v>27</v>
      </c>
      <c r="C1530" s="77">
        <v>-1750</v>
      </c>
      <c r="D1530" s="29"/>
      <c r="E1530" s="29">
        <v>96400</v>
      </c>
      <c r="F1530" s="29"/>
      <c r="G1530" s="29"/>
      <c r="H1530" s="80">
        <v>950</v>
      </c>
      <c r="I1530" s="79">
        <v>93700</v>
      </c>
      <c r="J1530" s="30">
        <f t="shared" si="702"/>
        <v>0</v>
      </c>
      <c r="L1530" s="70"/>
      <c r="M1530" s="70"/>
      <c r="N1530" s="70"/>
      <c r="O1530" s="70"/>
    </row>
    <row r="1531" spans="1:15" ht="16.5">
      <c r="A1531" s="76" t="s">
        <v>66</v>
      </c>
      <c r="B1531" s="8" t="s">
        <v>29</v>
      </c>
      <c r="C1531" s="77">
        <v>265600</v>
      </c>
      <c r="D1531" s="29"/>
      <c r="E1531" s="29">
        <v>855600</v>
      </c>
      <c r="F1531" s="29"/>
      <c r="G1531" s="29"/>
      <c r="H1531" s="80"/>
      <c r="I1531" s="79">
        <v>1036850</v>
      </c>
      <c r="J1531" s="30">
        <f t="shared" si="702"/>
        <v>84350</v>
      </c>
      <c r="L1531" s="70"/>
      <c r="M1531" s="70"/>
      <c r="N1531" s="70"/>
      <c r="O1531" s="70"/>
    </row>
    <row r="1532" spans="1:15" ht="16.5">
      <c r="A1532" s="76" t="s">
        <v>66</v>
      </c>
      <c r="B1532" s="8" t="s">
        <v>49</v>
      </c>
      <c r="C1532" s="77">
        <f t="shared" ref="C1532" si="703">+C1505</f>
        <v>-216251</v>
      </c>
      <c r="D1532" s="29"/>
      <c r="E1532" s="29">
        <v>0</v>
      </c>
      <c r="F1532" s="29"/>
      <c r="G1532" s="29"/>
      <c r="H1532" s="80"/>
      <c r="I1532" s="81">
        <v>0</v>
      </c>
      <c r="J1532" s="30">
        <f t="shared" si="702"/>
        <v>-216251</v>
      </c>
      <c r="L1532" s="70"/>
      <c r="M1532" s="70"/>
      <c r="N1532" s="70"/>
      <c r="O1532" s="70"/>
    </row>
    <row r="1533" spans="1:15" ht="16.5">
      <c r="A1533" s="76" t="s">
        <v>66</v>
      </c>
      <c r="B1533" s="8" t="s">
        <v>33</v>
      </c>
      <c r="C1533" s="77">
        <v>1025</v>
      </c>
      <c r="D1533" s="29"/>
      <c r="E1533" s="29">
        <v>25000</v>
      </c>
      <c r="F1533" s="29"/>
      <c r="G1533" s="29"/>
      <c r="H1533" s="80"/>
      <c r="I1533" s="79">
        <v>24000</v>
      </c>
      <c r="J1533" s="30">
        <f>+SUM(C1533:G1533)-(H1533+I1533)</f>
        <v>2025</v>
      </c>
      <c r="L1533" s="70"/>
      <c r="M1533" s="70"/>
      <c r="N1533" s="70"/>
      <c r="O1533" s="70"/>
    </row>
    <row r="1534" spans="1:15" ht="16.5">
      <c r="A1534" s="31" t="s">
        <v>66</v>
      </c>
      <c r="B1534" s="8" t="s">
        <v>32</v>
      </c>
      <c r="C1534" s="77">
        <v>0</v>
      </c>
      <c r="D1534" s="31"/>
      <c r="E1534" s="31">
        <v>10000</v>
      </c>
      <c r="F1534" s="31"/>
      <c r="G1534" s="31"/>
      <c r="H1534" s="80"/>
      <c r="I1534" s="79">
        <v>0</v>
      </c>
      <c r="J1534" s="30">
        <f>+SUM(C1534:G1534)-(H1534+I1534)</f>
        <v>10000</v>
      </c>
      <c r="L1534" s="70"/>
      <c r="M1534" s="70"/>
      <c r="N1534" s="70"/>
      <c r="O1534" s="70"/>
    </row>
    <row r="1535" spans="1:15">
      <c r="A1535" s="82" t="s">
        <v>60</v>
      </c>
      <c r="B1535" s="83"/>
      <c r="C1535" s="83"/>
      <c r="D1535" s="83"/>
      <c r="E1535" s="83"/>
      <c r="F1535" s="83"/>
      <c r="G1535" s="83"/>
      <c r="H1535" s="83"/>
      <c r="I1535" s="83"/>
      <c r="J1535" s="84"/>
      <c r="L1535" s="70"/>
      <c r="M1535" s="70"/>
      <c r="N1535" s="70"/>
      <c r="O1535" s="70"/>
    </row>
    <row r="1536" spans="1:15">
      <c r="A1536" s="31" t="s">
        <v>66</v>
      </c>
      <c r="B1536" s="37" t="s">
        <v>61</v>
      </c>
      <c r="C1536" s="38">
        <v>954796</v>
      </c>
      <c r="D1536" s="29">
        <v>3000000</v>
      </c>
      <c r="E1536" s="29"/>
      <c r="F1536" s="29"/>
      <c r="G1536" s="85">
        <v>17585</v>
      </c>
      <c r="H1536" s="86">
        <v>2431600</v>
      </c>
      <c r="I1536" s="87">
        <v>749106</v>
      </c>
      <c r="J1536" s="42">
        <f>+SUM(C1536:G1536)-(H1536+I1536)</f>
        <v>791675</v>
      </c>
      <c r="L1536" s="70"/>
      <c r="M1536" s="70"/>
      <c r="N1536" s="70"/>
      <c r="O1536" s="70"/>
    </row>
    <row r="1537" spans="1:15">
      <c r="A1537" s="88" t="s">
        <v>62</v>
      </c>
      <c r="B1537" s="73"/>
      <c r="C1537" s="83"/>
      <c r="D1537" s="73"/>
      <c r="E1537" s="73"/>
      <c r="F1537" s="73"/>
      <c r="G1537" s="73"/>
      <c r="H1537" s="73"/>
      <c r="I1537" s="73"/>
      <c r="J1537" s="84"/>
      <c r="L1537" s="70"/>
      <c r="M1537" s="70"/>
      <c r="N1537" s="70"/>
      <c r="O1537" s="70"/>
    </row>
    <row r="1538" spans="1:15">
      <c r="A1538" s="31" t="s">
        <v>66</v>
      </c>
      <c r="B1538" s="37" t="s">
        <v>63</v>
      </c>
      <c r="C1538" s="77">
        <v>705838</v>
      </c>
      <c r="D1538" s="89">
        <v>10801800</v>
      </c>
      <c r="E1538" s="90"/>
      <c r="F1538" s="90"/>
      <c r="G1538" s="90"/>
      <c r="H1538" s="91">
        <v>3000000</v>
      </c>
      <c r="I1538" s="92">
        <v>468365</v>
      </c>
      <c r="J1538" s="30">
        <f>+SUM(C1538:G1538)-(H1538+I1538)</f>
        <v>8039273</v>
      </c>
      <c r="L1538" s="70"/>
      <c r="M1538" s="70"/>
      <c r="N1538" s="70"/>
      <c r="O1538" s="70"/>
    </row>
    <row r="1539" spans="1:15">
      <c r="A1539" s="31" t="s">
        <v>66</v>
      </c>
      <c r="B1539" s="37" t="s">
        <v>64</v>
      </c>
      <c r="C1539" s="77">
        <v>14874402</v>
      </c>
      <c r="D1539" s="90">
        <v>3279785</v>
      </c>
      <c r="E1539" s="93"/>
      <c r="F1539" s="93"/>
      <c r="G1539" s="93"/>
      <c r="H1539" s="94"/>
      <c r="I1539" s="95">
        <v>4870847</v>
      </c>
      <c r="J1539" s="30">
        <f>SUM(C1539:G1539)-(H1539+I1539)</f>
        <v>13283340</v>
      </c>
      <c r="L1539" s="70"/>
      <c r="M1539" s="70"/>
      <c r="N1539" s="70"/>
      <c r="O1539" s="70"/>
    </row>
    <row r="1540" spans="1:15">
      <c r="L1540" s="70"/>
      <c r="M1540" s="70"/>
      <c r="N1540" s="70"/>
      <c r="O1540" s="70"/>
    </row>
    <row r="1541" spans="1:15">
      <c r="C1541" s="96">
        <f>+SUM(C1524:C1539)</f>
        <v>17673344</v>
      </c>
      <c r="I1541" s="96">
        <f>SUM(I1524:I1539)</f>
        <v>9525308</v>
      </c>
      <c r="J1541" s="96">
        <f>+SUM(J1524:J1539)</f>
        <v>22229621</v>
      </c>
      <c r="L1541" s="70"/>
      <c r="M1541" s="70"/>
      <c r="N1541" s="70"/>
      <c r="O1541" s="70"/>
    </row>
    <row r="1542" spans="1:15">
      <c r="C1542" s="9"/>
      <c r="I1542" s="9"/>
      <c r="J1542" s="9"/>
    </row>
    <row r="1543" spans="1:15">
      <c r="A1543" s="62" t="s">
        <v>70</v>
      </c>
      <c r="B1543" s="62"/>
    </row>
    <row r="1544" spans="1:15">
      <c r="A1544" s="63" t="s">
        <v>71</v>
      </c>
      <c r="B1544" s="63"/>
      <c r="C1544" s="63"/>
      <c r="D1544" s="63"/>
      <c r="E1544" s="63"/>
      <c r="F1544" s="63"/>
      <c r="G1544" s="63"/>
      <c r="H1544" s="63"/>
      <c r="I1544" s="63"/>
      <c r="J1544" s="63"/>
      <c r="L1544" s="5"/>
      <c r="M1544" s="5"/>
      <c r="N1544" s="5"/>
      <c r="O1544" s="5"/>
    </row>
    <row r="1546" spans="1:15" ht="30">
      <c r="A1546" s="251" t="s">
        <v>53</v>
      </c>
      <c r="B1546" s="251" t="s">
        <v>54</v>
      </c>
      <c r="C1546" s="262" t="s">
        <v>73</v>
      </c>
      <c r="D1546" s="257" t="s">
        <v>55</v>
      </c>
      <c r="E1546" s="257"/>
      <c r="F1546" s="257"/>
      <c r="G1546" s="257"/>
      <c r="H1546" s="258" t="s">
        <v>56</v>
      </c>
      <c r="I1546" s="260" t="s">
        <v>57</v>
      </c>
      <c r="J1546" s="253" t="s">
        <v>74</v>
      </c>
      <c r="K1546" s="254"/>
      <c r="L1546" s="5"/>
      <c r="M1546" s="5"/>
      <c r="N1546" s="5"/>
      <c r="O1546" s="5"/>
    </row>
    <row r="1547" spans="1:15">
      <c r="A1547" s="252"/>
      <c r="B1547" s="252"/>
      <c r="C1547" s="252"/>
      <c r="D1547" s="67" t="s">
        <v>24</v>
      </c>
      <c r="E1547" s="64" t="s">
        <v>25</v>
      </c>
      <c r="F1547" s="64" t="s">
        <v>27</v>
      </c>
      <c r="G1547" s="64" t="s">
        <v>58</v>
      </c>
      <c r="H1547" s="259"/>
      <c r="I1547" s="261"/>
      <c r="J1547" s="255"/>
      <c r="K1547" s="256"/>
      <c r="L1547" s="5"/>
      <c r="M1547" s="5"/>
      <c r="N1547" s="5"/>
      <c r="O1547" s="5"/>
    </row>
    <row r="1548" spans="1:15">
      <c r="A1548" s="45"/>
      <c r="B1548" s="45" t="s">
        <v>59</v>
      </c>
      <c r="C1548" s="47"/>
      <c r="D1548" s="47"/>
      <c r="E1548" s="47"/>
      <c r="F1548" s="47"/>
      <c r="G1548" s="47"/>
      <c r="H1548" s="47"/>
      <c r="I1548" s="47"/>
      <c r="J1548" s="47"/>
      <c r="K1548" s="45"/>
      <c r="L1548" s="5"/>
      <c r="M1548" s="5"/>
      <c r="N1548" s="5"/>
      <c r="O1548" s="5"/>
    </row>
    <row r="1549" spans="1:15">
      <c r="A1549" s="45" t="s">
        <v>72</v>
      </c>
      <c r="B1549" s="45" t="s">
        <v>47</v>
      </c>
      <c r="C1549" s="47">
        <v>89360</v>
      </c>
      <c r="D1549" s="47"/>
      <c r="E1549" s="47">
        <v>13000</v>
      </c>
      <c r="F1549" s="47"/>
      <c r="G1549" s="47"/>
      <c r="H1549" s="47"/>
      <c r="I1549" s="47">
        <v>61800</v>
      </c>
      <c r="J1549" s="47">
        <v>40560</v>
      </c>
      <c r="K1549" s="45"/>
      <c r="L1549" s="5"/>
      <c r="M1549" s="5"/>
      <c r="N1549" s="5"/>
      <c r="O1549" s="5"/>
    </row>
    <row r="1550" spans="1:15">
      <c r="A1550" s="45" t="s">
        <v>72</v>
      </c>
      <c r="B1550" s="45" t="s">
        <v>28</v>
      </c>
      <c r="C1550" s="47">
        <v>-1025</v>
      </c>
      <c r="D1550" s="47"/>
      <c r="E1550" s="47">
        <v>684500</v>
      </c>
      <c r="F1550" s="47"/>
      <c r="G1550" s="47"/>
      <c r="H1550" s="47"/>
      <c r="I1550" s="47">
        <v>455500</v>
      </c>
      <c r="J1550" s="47">
        <v>227975</v>
      </c>
      <c r="K1550" s="45"/>
      <c r="L1550" s="5"/>
      <c r="M1550" s="5"/>
      <c r="N1550" s="5"/>
      <c r="O1550" s="5"/>
    </row>
    <row r="1551" spans="1:15">
      <c r="A1551" s="45" t="s">
        <v>72</v>
      </c>
      <c r="B1551" s="45" t="s">
        <v>31</v>
      </c>
      <c r="C1551" s="47">
        <v>14395</v>
      </c>
      <c r="D1551" s="47"/>
      <c r="E1551" s="47">
        <v>40000</v>
      </c>
      <c r="F1551" s="47"/>
      <c r="G1551" s="47"/>
      <c r="H1551" s="47"/>
      <c r="I1551" s="47">
        <v>55000</v>
      </c>
      <c r="J1551" s="47">
        <v>-605</v>
      </c>
      <c r="K1551" s="45"/>
      <c r="L1551" s="5"/>
      <c r="M1551" s="5"/>
      <c r="N1551" s="5"/>
      <c r="O1551" s="5"/>
    </row>
    <row r="1552" spans="1:15">
      <c r="A1552" s="45" t="s">
        <v>72</v>
      </c>
      <c r="B1552" s="45" t="s">
        <v>26</v>
      </c>
      <c r="C1552" s="47">
        <v>8559</v>
      </c>
      <c r="D1552" s="47"/>
      <c r="E1552" s="47">
        <v>428750</v>
      </c>
      <c r="F1552" s="47">
        <v>280200</v>
      </c>
      <c r="G1552" s="47"/>
      <c r="H1552" s="47"/>
      <c r="I1552" s="47">
        <v>452850</v>
      </c>
      <c r="J1552" s="47">
        <v>264659</v>
      </c>
      <c r="K1552" s="45"/>
      <c r="L1552" s="5"/>
      <c r="M1552" s="5"/>
      <c r="N1552" s="5"/>
      <c r="O1552" s="5"/>
    </row>
    <row r="1553" spans="1:15">
      <c r="A1553" s="45" t="s">
        <v>72</v>
      </c>
      <c r="B1553" s="45" t="s">
        <v>48</v>
      </c>
      <c r="C1553" s="47">
        <v>-5750</v>
      </c>
      <c r="D1553" s="47"/>
      <c r="E1553" s="47">
        <v>1161750</v>
      </c>
      <c r="F1553" s="47"/>
      <c r="G1553" s="47"/>
      <c r="H1553" s="47">
        <v>124000</v>
      </c>
      <c r="I1553" s="47">
        <v>759500</v>
      </c>
      <c r="J1553" s="47">
        <v>272500</v>
      </c>
      <c r="K1553" s="45"/>
      <c r="L1553" s="5"/>
      <c r="M1553" s="5"/>
      <c r="N1553" s="5"/>
      <c r="O1553" s="5"/>
    </row>
    <row r="1554" spans="1:15">
      <c r="A1554" s="45" t="s">
        <v>72</v>
      </c>
      <c r="B1554" s="45" t="s">
        <v>35</v>
      </c>
      <c r="C1554" s="47">
        <v>12995</v>
      </c>
      <c r="D1554" s="47"/>
      <c r="E1554" s="47">
        <v>726000</v>
      </c>
      <c r="F1554" s="47"/>
      <c r="G1554" s="47"/>
      <c r="H1554" s="47"/>
      <c r="I1554" s="47">
        <v>454400</v>
      </c>
      <c r="J1554" s="47">
        <v>284595</v>
      </c>
      <c r="K1554" s="45"/>
      <c r="L1554" s="5"/>
      <c r="M1554" s="5"/>
      <c r="N1554" s="5"/>
      <c r="O1554" s="5"/>
    </row>
    <row r="1555" spans="1:15">
      <c r="A1555" s="45" t="s">
        <v>72</v>
      </c>
      <c r="B1555" s="45" t="s">
        <v>27</v>
      </c>
      <c r="C1555" s="47">
        <v>6050</v>
      </c>
      <c r="D1555" s="47"/>
      <c r="E1555" s="47">
        <v>736300</v>
      </c>
      <c r="F1555" s="47"/>
      <c r="G1555" s="47"/>
      <c r="H1555" s="47">
        <v>405200</v>
      </c>
      <c r="I1555" s="47">
        <v>338900</v>
      </c>
      <c r="J1555" s="47">
        <v>-1750</v>
      </c>
      <c r="K1555" s="45"/>
      <c r="L1555" s="5"/>
      <c r="M1555" s="5"/>
      <c r="N1555" s="5"/>
      <c r="O1555" s="5"/>
    </row>
    <row r="1556" spans="1:15">
      <c r="A1556" s="45" t="s">
        <v>72</v>
      </c>
      <c r="B1556" s="45" t="s">
        <v>29</v>
      </c>
      <c r="C1556" s="47">
        <v>142400</v>
      </c>
      <c r="D1556" s="47"/>
      <c r="E1556" s="47">
        <v>1014000</v>
      </c>
      <c r="F1556" s="47"/>
      <c r="G1556" s="47"/>
      <c r="H1556" s="47">
        <v>100000</v>
      </c>
      <c r="I1556" s="47">
        <v>790800</v>
      </c>
      <c r="J1556" s="47">
        <v>265600</v>
      </c>
      <c r="K1556" s="45"/>
      <c r="L1556" s="5"/>
      <c r="M1556" s="5"/>
      <c r="N1556" s="5"/>
      <c r="O1556" s="5"/>
    </row>
    <row r="1557" spans="1:15">
      <c r="A1557" s="45" t="s">
        <v>72</v>
      </c>
      <c r="B1557" s="45" t="s">
        <v>49</v>
      </c>
      <c r="C1557" s="47">
        <v>-221251.00072999997</v>
      </c>
      <c r="D1557" s="47"/>
      <c r="E1557" s="47">
        <v>485000</v>
      </c>
      <c r="F1557" s="47"/>
      <c r="G1557" s="47"/>
      <c r="H1557" s="47">
        <v>5000</v>
      </c>
      <c r="I1557" s="47">
        <v>475000</v>
      </c>
      <c r="J1557" s="47">
        <v>-216251.00072999997</v>
      </c>
      <c r="K1557" s="45"/>
      <c r="L1557" s="5"/>
      <c r="M1557" s="5"/>
      <c r="N1557" s="5"/>
      <c r="O1557" s="5"/>
    </row>
    <row r="1558" spans="1:15">
      <c r="A1558" s="45" t="s">
        <v>72</v>
      </c>
      <c r="B1558" s="45" t="s">
        <v>33</v>
      </c>
      <c r="C1558" s="47">
        <v>14225</v>
      </c>
      <c r="D1558" s="47"/>
      <c r="E1558" s="47">
        <v>30000</v>
      </c>
      <c r="F1558" s="47"/>
      <c r="G1558" s="47"/>
      <c r="H1558" s="47"/>
      <c r="I1558" s="47">
        <v>43200</v>
      </c>
      <c r="J1558" s="47">
        <v>1025</v>
      </c>
      <c r="K1558" s="45"/>
      <c r="L1558" s="5"/>
      <c r="M1558" s="5"/>
      <c r="N1558" s="5"/>
      <c r="O1558" s="5"/>
    </row>
    <row r="1559" spans="1:15">
      <c r="A1559" s="65" t="s">
        <v>60</v>
      </c>
      <c r="B1559" s="65"/>
      <c r="C1559" s="66"/>
      <c r="D1559" s="66"/>
      <c r="E1559" s="66"/>
      <c r="F1559" s="66"/>
      <c r="G1559" s="66"/>
      <c r="H1559" s="66"/>
      <c r="I1559" s="66"/>
      <c r="J1559" s="66"/>
      <c r="K1559" s="65"/>
      <c r="L1559" s="5"/>
      <c r="M1559" s="5"/>
      <c r="N1559" s="5"/>
      <c r="O1559" s="5"/>
    </row>
    <row r="1560" spans="1:15">
      <c r="A1560" s="45" t="s">
        <v>72</v>
      </c>
      <c r="B1560" s="45" t="s">
        <v>61</v>
      </c>
      <c r="C1560" s="47">
        <v>494738</v>
      </c>
      <c r="D1560" s="47">
        <v>6000000</v>
      </c>
      <c r="E1560" s="47"/>
      <c r="F1560" s="47"/>
      <c r="G1560" s="47">
        <v>105000</v>
      </c>
      <c r="H1560" s="47">
        <v>5070300</v>
      </c>
      <c r="I1560" s="47">
        <v>574642</v>
      </c>
      <c r="J1560" s="47">
        <v>954796</v>
      </c>
      <c r="K1560" s="45"/>
      <c r="L1560" s="5"/>
      <c r="M1560" s="5"/>
      <c r="N1560" s="5"/>
      <c r="O1560" s="5"/>
    </row>
    <row r="1561" spans="1:15">
      <c r="A1561" s="65" t="s">
        <v>62</v>
      </c>
      <c r="B1561" s="65"/>
      <c r="C1561" s="66"/>
      <c r="D1561" s="66"/>
      <c r="E1561" s="66"/>
      <c r="F1561" s="66"/>
      <c r="G1561" s="66"/>
      <c r="H1561" s="66"/>
      <c r="I1561" s="66"/>
      <c r="J1561" s="66"/>
      <c r="K1561" s="65"/>
      <c r="L1561" s="5"/>
      <c r="M1561" s="5"/>
      <c r="N1561" s="5"/>
      <c r="O1561" s="5"/>
    </row>
    <row r="1562" spans="1:15">
      <c r="A1562" s="45" t="s">
        <v>72</v>
      </c>
      <c r="B1562" s="45" t="s">
        <v>63</v>
      </c>
      <c r="C1562" s="47">
        <v>11363703</v>
      </c>
      <c r="D1562" s="47"/>
      <c r="E1562" s="47"/>
      <c r="F1562" s="47"/>
      <c r="G1562" s="47"/>
      <c r="H1562" s="47">
        <v>10000000</v>
      </c>
      <c r="I1562" s="47">
        <v>657865</v>
      </c>
      <c r="J1562" s="47">
        <v>705838</v>
      </c>
      <c r="K1562" s="45"/>
      <c r="L1562" s="5"/>
      <c r="M1562" s="5"/>
      <c r="N1562" s="5"/>
      <c r="O1562" s="5"/>
    </row>
    <row r="1563" spans="1:15">
      <c r="A1563" s="45" t="s">
        <v>72</v>
      </c>
      <c r="B1563" s="45" t="s">
        <v>64</v>
      </c>
      <c r="C1563" s="47">
        <v>4902843</v>
      </c>
      <c r="D1563" s="47">
        <v>17119140</v>
      </c>
      <c r="E1563" s="47"/>
      <c r="F1563" s="47"/>
      <c r="G1563" s="47"/>
      <c r="H1563" s="47"/>
      <c r="I1563" s="47">
        <v>7147581</v>
      </c>
      <c r="J1563" s="47">
        <v>14874402</v>
      </c>
      <c r="K1563" s="45"/>
      <c r="L1563" s="5"/>
      <c r="M1563" s="5"/>
      <c r="N1563" s="5"/>
      <c r="O1563" s="5"/>
    </row>
    <row r="1564" spans="1:15">
      <c r="A1564" s="45"/>
      <c r="B1564" s="45"/>
      <c r="C1564" s="47"/>
      <c r="D1564" s="47"/>
      <c r="E1564" s="47"/>
      <c r="F1564" s="47"/>
      <c r="G1564" s="47"/>
      <c r="H1564" s="47"/>
      <c r="I1564" s="47"/>
      <c r="J1564" s="47"/>
      <c r="K1564" s="45"/>
      <c r="L1564" s="5"/>
      <c r="M1564" s="5"/>
      <c r="N1564" s="5"/>
      <c r="O1564" s="5"/>
    </row>
    <row r="1565" spans="1:15">
      <c r="A1565" s="45"/>
      <c r="B1565" s="45"/>
      <c r="C1565" s="47"/>
      <c r="D1565" s="47"/>
      <c r="E1565" s="47"/>
      <c r="F1565" s="47"/>
      <c r="G1565" s="47"/>
      <c r="H1565" s="47"/>
      <c r="I1565" s="47">
        <v>12267038</v>
      </c>
      <c r="J1565" s="47">
        <v>17673343.99927</v>
      </c>
      <c r="K1565" s="45" t="b">
        <v>1</v>
      </c>
      <c r="L1565" s="5"/>
      <c r="M1565" s="5"/>
      <c r="N1565" s="5"/>
      <c r="O1565" s="5"/>
    </row>
    <row r="1566" spans="1:15">
      <c r="J1566" s="68" t="b">
        <v>1</v>
      </c>
      <c r="L1566" s="5"/>
      <c r="M1566" s="5"/>
      <c r="N1566" s="5"/>
      <c r="O156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X21"/>
  <sheetViews>
    <sheetView workbookViewId="0">
      <pane xSplit="1" topLeftCell="AO1" activePane="topRight" state="frozen"/>
      <selection pane="topRight" activeCell="AW18" sqref="AW18"/>
    </sheetView>
  </sheetViews>
  <sheetFormatPr baseColWidth="10" defaultColWidth="9.140625" defaultRowHeight="15"/>
  <cols>
    <col min="1" max="1" width="21.140625" customWidth="1"/>
    <col min="2" max="2" width="23.85546875" bestFit="1" customWidth="1"/>
    <col min="3" max="3" width="15.7109375" customWidth="1"/>
    <col min="4" max="4" width="12.7109375" bestFit="1" customWidth="1"/>
    <col min="5" max="5" width="15.7109375" customWidth="1"/>
    <col min="6" max="6" width="12.7109375" customWidth="1"/>
    <col min="7" max="7" width="15.7109375" customWidth="1"/>
    <col min="8" max="8" width="12.7109375" bestFit="1" customWidth="1"/>
    <col min="9" max="9" width="15.7109375" customWidth="1"/>
    <col min="10" max="10" width="12.7109375" bestFit="1" customWidth="1"/>
    <col min="11" max="11" width="15.7109375" customWidth="1"/>
    <col min="12" max="12" width="12.7109375" customWidth="1"/>
    <col min="13" max="13" width="15.7109375" customWidth="1"/>
    <col min="14" max="14" width="12.7109375" bestFit="1" customWidth="1"/>
    <col min="15" max="15" width="15.7109375" customWidth="1"/>
    <col min="16" max="16" width="15.28515625" bestFit="1" customWidth="1"/>
    <col min="17" max="17" width="15.7109375" customWidth="1"/>
    <col min="18" max="18" width="12.7109375" customWidth="1"/>
    <col min="19" max="19" width="15.7109375" customWidth="1"/>
    <col min="20" max="20" width="14.7109375" bestFit="1" customWidth="1"/>
    <col min="21" max="21" width="15.7109375" customWidth="1"/>
    <col min="22" max="22" width="12.7109375" customWidth="1"/>
    <col min="23" max="23" width="15.7109375" customWidth="1"/>
    <col min="24" max="24" width="12.7109375" bestFit="1" customWidth="1"/>
    <col min="25" max="25" width="15.7109375" customWidth="1"/>
    <col min="26" max="26" width="12.7109375" bestFit="1" customWidth="1"/>
    <col min="27" max="27" width="15.7109375" customWidth="1"/>
    <col min="28" max="28" width="12.7109375" bestFit="1" customWidth="1"/>
    <col min="29" max="29" width="15.7109375" customWidth="1"/>
    <col min="30" max="30" width="12.7109375" bestFit="1" customWidth="1"/>
    <col min="31" max="31" width="15.7109375" customWidth="1"/>
    <col min="32" max="32" width="17.42578125" bestFit="1" customWidth="1"/>
    <col min="33" max="33" width="15.7109375" customWidth="1"/>
    <col min="34" max="34" width="13.140625" customWidth="1"/>
    <col min="35" max="35" width="15.7109375" customWidth="1"/>
    <col min="36" max="36" width="12.7109375" bestFit="1" customWidth="1"/>
    <col min="37" max="37" width="15.7109375" customWidth="1"/>
    <col min="38" max="38" width="12.7109375" bestFit="1" customWidth="1"/>
    <col min="39" max="39" width="15.7109375" customWidth="1"/>
    <col min="40" max="40" width="15.140625" bestFit="1" customWidth="1"/>
    <col min="41" max="41" width="15.7109375" customWidth="1"/>
    <col min="42" max="42" width="12.7109375" customWidth="1"/>
    <col min="43" max="43" width="15.7109375" customWidth="1"/>
    <col min="44" max="44" width="17.7109375" bestFit="1" customWidth="1"/>
    <col min="45" max="45" width="20.7109375" customWidth="1"/>
    <col min="46" max="46" width="18" customWidth="1"/>
    <col min="47" max="47" width="17.7109375" customWidth="1"/>
    <col min="48" max="48" width="14.7109375" customWidth="1"/>
    <col min="49" max="49" width="13" customWidth="1"/>
    <col min="50" max="50" width="12.5703125" customWidth="1"/>
  </cols>
  <sheetData>
    <row r="3" spans="1:50">
      <c r="B3" s="1" t="s">
        <v>566</v>
      </c>
    </row>
    <row r="4" spans="1:50">
      <c r="B4" t="s">
        <v>445</v>
      </c>
      <c r="D4" t="s">
        <v>229</v>
      </c>
      <c r="F4" t="s">
        <v>486</v>
      </c>
      <c r="H4" t="s">
        <v>431</v>
      </c>
      <c r="J4" t="s">
        <v>267</v>
      </c>
      <c r="L4" t="s">
        <v>522</v>
      </c>
      <c r="N4" t="s">
        <v>313</v>
      </c>
      <c r="P4" t="s">
        <v>238</v>
      </c>
      <c r="R4" t="s">
        <v>170</v>
      </c>
      <c r="T4" t="s">
        <v>174</v>
      </c>
      <c r="V4" t="s">
        <v>3</v>
      </c>
      <c r="X4" t="s">
        <v>171</v>
      </c>
      <c r="Z4" t="s">
        <v>337</v>
      </c>
      <c r="AB4" t="s">
        <v>34</v>
      </c>
      <c r="AD4" t="s">
        <v>314</v>
      </c>
      <c r="AF4" t="s">
        <v>327</v>
      </c>
      <c r="AH4" t="s">
        <v>362</v>
      </c>
      <c r="AJ4" t="s">
        <v>75</v>
      </c>
      <c r="AL4" t="s">
        <v>512</v>
      </c>
      <c r="AN4" t="s">
        <v>569</v>
      </c>
      <c r="AP4" t="s">
        <v>568</v>
      </c>
      <c r="AR4" t="s">
        <v>561</v>
      </c>
      <c r="AS4" t="s">
        <v>562</v>
      </c>
    </row>
    <row r="5" spans="1:50">
      <c r="A5" s="1" t="s">
        <v>564</v>
      </c>
      <c r="B5" t="s">
        <v>353</v>
      </c>
      <c r="C5" t="s">
        <v>563</v>
      </c>
      <c r="D5" t="s">
        <v>353</v>
      </c>
      <c r="E5" t="s">
        <v>563</v>
      </c>
      <c r="F5" t="s">
        <v>353</v>
      </c>
      <c r="G5" t="s">
        <v>563</v>
      </c>
      <c r="H5" t="s">
        <v>353</v>
      </c>
      <c r="I5" t="s">
        <v>563</v>
      </c>
      <c r="J5" t="s">
        <v>353</v>
      </c>
      <c r="K5" t="s">
        <v>563</v>
      </c>
      <c r="L5" t="s">
        <v>353</v>
      </c>
      <c r="M5" t="s">
        <v>563</v>
      </c>
      <c r="N5" t="s">
        <v>353</v>
      </c>
      <c r="O5" t="s">
        <v>563</v>
      </c>
      <c r="P5" t="s">
        <v>353</v>
      </c>
      <c r="Q5" t="s">
        <v>563</v>
      </c>
      <c r="R5" t="s">
        <v>353</v>
      </c>
      <c r="S5" t="s">
        <v>563</v>
      </c>
      <c r="T5" t="s">
        <v>353</v>
      </c>
      <c r="U5" t="s">
        <v>563</v>
      </c>
      <c r="V5" t="s">
        <v>353</v>
      </c>
      <c r="W5" t="s">
        <v>563</v>
      </c>
      <c r="X5" t="s">
        <v>353</v>
      </c>
      <c r="Y5" t="s">
        <v>563</v>
      </c>
      <c r="Z5" t="s">
        <v>353</v>
      </c>
      <c r="AA5" t="s">
        <v>563</v>
      </c>
      <c r="AB5" t="s">
        <v>353</v>
      </c>
      <c r="AC5" t="s">
        <v>563</v>
      </c>
      <c r="AD5" t="s">
        <v>353</v>
      </c>
      <c r="AE5" t="s">
        <v>563</v>
      </c>
      <c r="AF5" t="s">
        <v>353</v>
      </c>
      <c r="AG5" t="s">
        <v>563</v>
      </c>
      <c r="AH5" t="s">
        <v>353</v>
      </c>
      <c r="AI5" t="s">
        <v>563</v>
      </c>
      <c r="AJ5" t="s">
        <v>353</v>
      </c>
      <c r="AK5" t="s">
        <v>563</v>
      </c>
      <c r="AL5" t="s">
        <v>353</v>
      </c>
      <c r="AM5" t="s">
        <v>563</v>
      </c>
      <c r="AN5" t="s">
        <v>353</v>
      </c>
      <c r="AO5" t="s">
        <v>563</v>
      </c>
      <c r="AP5" t="s">
        <v>353</v>
      </c>
      <c r="AQ5" t="s">
        <v>563</v>
      </c>
      <c r="AU5" s="45" t="s">
        <v>42</v>
      </c>
      <c r="AV5" s="45" t="s">
        <v>43</v>
      </c>
      <c r="AW5" s="45" t="s">
        <v>44</v>
      </c>
      <c r="AX5" s="45" t="s">
        <v>45</v>
      </c>
    </row>
    <row r="6" spans="1:50">
      <c r="A6" s="2" t="s">
        <v>24</v>
      </c>
      <c r="I6">
        <v>17814165</v>
      </c>
      <c r="N6">
        <v>750000</v>
      </c>
      <c r="R6">
        <v>3098440</v>
      </c>
      <c r="V6">
        <v>283345</v>
      </c>
      <c r="AJ6">
        <v>4000000</v>
      </c>
      <c r="AR6">
        <v>8131785</v>
      </c>
      <c r="AS6">
        <v>17814165</v>
      </c>
      <c r="AT6" s="47" t="str">
        <f t="shared" ref="AT6:AT19" si="0">A6</f>
        <v>BCI</v>
      </c>
      <c r="AU6" s="178">
        <f>AK6</f>
        <v>0</v>
      </c>
      <c r="AV6" s="47">
        <f>AJ6</f>
        <v>4000000</v>
      </c>
      <c r="AW6" s="47">
        <f>AR6-AJ6</f>
        <v>4131785</v>
      </c>
      <c r="AX6" s="47">
        <f>I6</f>
        <v>17814165</v>
      </c>
    </row>
    <row r="7" spans="1:50">
      <c r="A7" s="2" t="s">
        <v>148</v>
      </c>
      <c r="B7">
        <v>32049</v>
      </c>
      <c r="R7">
        <v>1030456</v>
      </c>
      <c r="AJ7">
        <v>1000000</v>
      </c>
      <c r="AR7">
        <v>2062505</v>
      </c>
      <c r="AT7" s="47" t="str">
        <f t="shared" si="0"/>
        <v>BCI-Sous Compte</v>
      </c>
      <c r="AU7" s="178">
        <f t="shared" ref="AU7:AU18" si="1">AK7</f>
        <v>0</v>
      </c>
      <c r="AV7" s="47">
        <f t="shared" ref="AV7:AV18" si="2">AJ7</f>
        <v>1000000</v>
      </c>
      <c r="AW7" s="47">
        <f t="shared" ref="AW7:AW18" si="3">AR7-AJ7</f>
        <v>1062505</v>
      </c>
      <c r="AX7" s="47">
        <f>L9</f>
        <v>0</v>
      </c>
    </row>
    <row r="8" spans="1:50">
      <c r="A8" s="2" t="s">
        <v>25</v>
      </c>
      <c r="D8">
        <v>944000</v>
      </c>
      <c r="J8">
        <v>45050</v>
      </c>
      <c r="N8">
        <v>245000</v>
      </c>
      <c r="P8">
        <v>155500</v>
      </c>
      <c r="T8">
        <v>12750</v>
      </c>
      <c r="V8">
        <v>95625</v>
      </c>
      <c r="X8">
        <v>345000</v>
      </c>
      <c r="Z8">
        <v>19575</v>
      </c>
      <c r="AF8">
        <v>70000</v>
      </c>
      <c r="AH8">
        <v>38045</v>
      </c>
      <c r="AJ8">
        <v>3195500</v>
      </c>
      <c r="AK8">
        <v>5420000</v>
      </c>
      <c r="AN8">
        <v>120000</v>
      </c>
      <c r="AR8">
        <v>5286045</v>
      </c>
      <c r="AS8">
        <v>5420000</v>
      </c>
      <c r="AT8" s="47" t="str">
        <f t="shared" si="0"/>
        <v>Caisse</v>
      </c>
      <c r="AU8" s="178">
        <f t="shared" si="1"/>
        <v>5420000</v>
      </c>
      <c r="AV8" s="47">
        <f t="shared" si="2"/>
        <v>3195500</v>
      </c>
      <c r="AW8" s="47">
        <f t="shared" si="3"/>
        <v>2090545</v>
      </c>
      <c r="AX8" s="47">
        <v>0</v>
      </c>
    </row>
    <row r="9" spans="1:50">
      <c r="A9" s="2" t="s">
        <v>47</v>
      </c>
      <c r="D9">
        <v>210000</v>
      </c>
      <c r="AB9">
        <v>15500</v>
      </c>
      <c r="AF9">
        <v>262500</v>
      </c>
      <c r="AK9">
        <v>440000</v>
      </c>
      <c r="AR9">
        <v>488000</v>
      </c>
      <c r="AS9">
        <v>440000</v>
      </c>
      <c r="AT9" s="47" t="str">
        <f t="shared" si="0"/>
        <v>Crépin</v>
      </c>
      <c r="AU9" s="178">
        <f t="shared" si="1"/>
        <v>440000</v>
      </c>
      <c r="AV9" s="47">
        <f t="shared" si="2"/>
        <v>0</v>
      </c>
      <c r="AW9" s="47">
        <f t="shared" si="3"/>
        <v>488000</v>
      </c>
      <c r="AX9" s="47">
        <v>0</v>
      </c>
    </row>
    <row r="10" spans="1:50">
      <c r="A10" s="2" t="s">
        <v>297</v>
      </c>
      <c r="L10">
        <v>22000</v>
      </c>
      <c r="AD10">
        <v>82900</v>
      </c>
      <c r="AF10">
        <v>157000</v>
      </c>
      <c r="AK10">
        <v>278000</v>
      </c>
      <c r="AR10">
        <v>261900</v>
      </c>
      <c r="AS10">
        <v>278000</v>
      </c>
      <c r="AT10" s="47" t="str">
        <f t="shared" si="0"/>
        <v>Donald-Roméo</v>
      </c>
      <c r="AU10" s="178">
        <f t="shared" si="1"/>
        <v>278000</v>
      </c>
      <c r="AV10" s="47">
        <f t="shared" si="2"/>
        <v>0</v>
      </c>
      <c r="AW10" s="47">
        <f t="shared" si="3"/>
        <v>261900</v>
      </c>
      <c r="AX10" s="47">
        <v>0</v>
      </c>
    </row>
    <row r="11" spans="1:50">
      <c r="A11" s="2" t="s">
        <v>306</v>
      </c>
      <c r="AB11">
        <v>45000</v>
      </c>
      <c r="AJ11">
        <v>420000</v>
      </c>
      <c r="AK11">
        <v>420000</v>
      </c>
      <c r="AR11">
        <v>465000</v>
      </c>
      <c r="AS11">
        <v>420000</v>
      </c>
      <c r="AT11" s="47" t="str">
        <f t="shared" si="0"/>
        <v>DOVI</v>
      </c>
      <c r="AU11" s="178">
        <f t="shared" si="1"/>
        <v>420000</v>
      </c>
      <c r="AV11" s="47">
        <f t="shared" si="2"/>
        <v>420000</v>
      </c>
      <c r="AW11" s="47">
        <f t="shared" si="3"/>
        <v>45000</v>
      </c>
      <c r="AX11" s="47">
        <v>0</v>
      </c>
    </row>
    <row r="12" spans="1:50">
      <c r="A12" s="2" t="s">
        <v>31</v>
      </c>
      <c r="AB12">
        <v>76000</v>
      </c>
      <c r="AF12">
        <v>10000</v>
      </c>
      <c r="AK12">
        <v>110000</v>
      </c>
      <c r="AP12">
        <v>15000</v>
      </c>
      <c r="AR12">
        <v>101000</v>
      </c>
      <c r="AS12">
        <v>110000</v>
      </c>
      <c r="AT12" s="47" t="str">
        <f t="shared" si="0"/>
        <v>Evariste</v>
      </c>
      <c r="AU12" s="178">
        <f t="shared" si="1"/>
        <v>110000</v>
      </c>
      <c r="AV12" s="47">
        <f t="shared" si="2"/>
        <v>0</v>
      </c>
      <c r="AW12" s="47">
        <f t="shared" si="3"/>
        <v>101000</v>
      </c>
      <c r="AX12" s="47">
        <v>0</v>
      </c>
    </row>
    <row r="13" spans="1:50">
      <c r="A13" s="2" t="s">
        <v>197</v>
      </c>
      <c r="F13">
        <v>10000</v>
      </c>
      <c r="L13">
        <v>29000</v>
      </c>
      <c r="AB13">
        <v>101300</v>
      </c>
      <c r="AF13">
        <v>179200</v>
      </c>
      <c r="AK13">
        <v>306000</v>
      </c>
      <c r="AR13">
        <v>319500</v>
      </c>
      <c r="AS13">
        <v>306000</v>
      </c>
      <c r="AT13" s="47" t="str">
        <f t="shared" si="0"/>
        <v>Hurielle</v>
      </c>
      <c r="AU13" s="178">
        <f t="shared" si="1"/>
        <v>306000</v>
      </c>
      <c r="AV13" s="47">
        <f t="shared" si="2"/>
        <v>0</v>
      </c>
      <c r="AW13" s="47">
        <f t="shared" si="3"/>
        <v>319500</v>
      </c>
      <c r="AX13" s="47">
        <v>0</v>
      </c>
    </row>
    <row r="14" spans="1:50">
      <c r="A14" s="2" t="s">
        <v>312</v>
      </c>
      <c r="AB14">
        <v>88200</v>
      </c>
      <c r="AF14">
        <v>163000</v>
      </c>
      <c r="AH14">
        <v>13000</v>
      </c>
      <c r="AK14">
        <v>252000</v>
      </c>
      <c r="AR14">
        <v>264200</v>
      </c>
      <c r="AS14">
        <v>252000</v>
      </c>
      <c r="AT14" s="47" t="str">
        <f t="shared" si="0"/>
        <v>IT87</v>
      </c>
      <c r="AU14" s="178">
        <f t="shared" si="1"/>
        <v>252000</v>
      </c>
      <c r="AV14" s="47">
        <f t="shared" si="2"/>
        <v>0</v>
      </c>
      <c r="AW14" s="47">
        <f t="shared" si="3"/>
        <v>264200</v>
      </c>
      <c r="AX14" s="47">
        <v>0</v>
      </c>
    </row>
    <row r="15" spans="1:50">
      <c r="A15" s="2" t="s">
        <v>93</v>
      </c>
      <c r="AB15">
        <v>41500</v>
      </c>
      <c r="AK15">
        <v>30000</v>
      </c>
      <c r="AR15">
        <v>41500</v>
      </c>
      <c r="AS15">
        <v>30000</v>
      </c>
      <c r="AT15" s="47" t="str">
        <f t="shared" si="0"/>
        <v>Merveille</v>
      </c>
      <c r="AU15" s="178">
        <f t="shared" si="1"/>
        <v>30000</v>
      </c>
      <c r="AV15" s="47">
        <f t="shared" si="2"/>
        <v>0</v>
      </c>
      <c r="AW15" s="47">
        <f t="shared" si="3"/>
        <v>41500</v>
      </c>
      <c r="AX15" s="47">
        <v>0</v>
      </c>
    </row>
    <row r="16" spans="1:50">
      <c r="A16" s="2" t="s">
        <v>298</v>
      </c>
      <c r="L16">
        <v>26000</v>
      </c>
      <c r="AB16">
        <v>120700</v>
      </c>
      <c r="AF16">
        <v>179400</v>
      </c>
      <c r="AM16">
        <v>304000</v>
      </c>
      <c r="AR16">
        <v>326100</v>
      </c>
      <c r="AS16">
        <v>304000</v>
      </c>
      <c r="AT16" s="47" t="str">
        <f t="shared" si="0"/>
        <v>Oracle</v>
      </c>
      <c r="AU16" s="178">
        <f>AM16</f>
        <v>304000</v>
      </c>
      <c r="AV16" s="47">
        <f t="shared" si="2"/>
        <v>0</v>
      </c>
      <c r="AW16" s="47">
        <f t="shared" si="3"/>
        <v>326100</v>
      </c>
      <c r="AX16" s="47">
        <v>0</v>
      </c>
    </row>
    <row r="17" spans="1:50">
      <c r="A17" s="2" t="s">
        <v>29</v>
      </c>
      <c r="AB17">
        <v>112200</v>
      </c>
      <c r="AF17">
        <v>535000</v>
      </c>
      <c r="AH17">
        <v>52500</v>
      </c>
      <c r="AJ17">
        <v>290000</v>
      </c>
      <c r="AK17">
        <v>944000</v>
      </c>
      <c r="AR17">
        <v>989700</v>
      </c>
      <c r="AS17">
        <v>944000</v>
      </c>
      <c r="AT17" s="47" t="str">
        <f t="shared" si="0"/>
        <v>P29</v>
      </c>
      <c r="AU17" s="178">
        <f t="shared" si="1"/>
        <v>944000</v>
      </c>
      <c r="AV17" s="47">
        <f t="shared" si="2"/>
        <v>290000</v>
      </c>
      <c r="AW17" s="47">
        <f t="shared" si="3"/>
        <v>699700</v>
      </c>
      <c r="AX17" s="47">
        <v>0</v>
      </c>
    </row>
    <row r="18" spans="1:50">
      <c r="A18" s="2" t="s">
        <v>268</v>
      </c>
      <c r="AB18">
        <v>91000</v>
      </c>
      <c r="AF18">
        <v>275000</v>
      </c>
      <c r="AH18">
        <v>16000</v>
      </c>
      <c r="AK18">
        <v>401500</v>
      </c>
      <c r="AR18">
        <v>382000</v>
      </c>
      <c r="AS18">
        <v>401500</v>
      </c>
      <c r="AT18" s="47" t="str">
        <f t="shared" si="0"/>
        <v>T73</v>
      </c>
      <c r="AU18" s="178">
        <f t="shared" si="1"/>
        <v>401500</v>
      </c>
      <c r="AV18" s="47">
        <f t="shared" si="2"/>
        <v>0</v>
      </c>
      <c r="AW18" s="47">
        <f t="shared" si="3"/>
        <v>382000</v>
      </c>
      <c r="AX18" s="47">
        <v>0</v>
      </c>
    </row>
    <row r="19" spans="1:50">
      <c r="A19" s="2" t="s">
        <v>565</v>
      </c>
      <c r="B19">
        <v>32049</v>
      </c>
      <c r="D19">
        <v>1154000</v>
      </c>
      <c r="F19">
        <v>10000</v>
      </c>
      <c r="I19">
        <v>17814165</v>
      </c>
      <c r="J19">
        <v>45050</v>
      </c>
      <c r="L19">
        <v>77000</v>
      </c>
      <c r="N19">
        <v>995000</v>
      </c>
      <c r="P19">
        <v>155500</v>
      </c>
      <c r="R19">
        <v>4128896</v>
      </c>
      <c r="T19">
        <v>12750</v>
      </c>
      <c r="V19">
        <v>378970</v>
      </c>
      <c r="X19">
        <v>345000</v>
      </c>
      <c r="Z19">
        <v>19575</v>
      </c>
      <c r="AB19">
        <v>691400</v>
      </c>
      <c r="AD19">
        <v>82900</v>
      </c>
      <c r="AF19">
        <v>1831100</v>
      </c>
      <c r="AH19">
        <v>119545</v>
      </c>
      <c r="AJ19">
        <v>8905500</v>
      </c>
      <c r="AK19">
        <v>8601500</v>
      </c>
      <c r="AM19">
        <v>304000</v>
      </c>
      <c r="AN19">
        <v>120000</v>
      </c>
      <c r="AP19">
        <v>15000</v>
      </c>
      <c r="AR19">
        <v>19119235</v>
      </c>
      <c r="AS19">
        <v>26719665</v>
      </c>
      <c r="AT19" s="47" t="str">
        <f t="shared" si="0"/>
        <v>Total général</v>
      </c>
      <c r="AU19" s="47">
        <f>SUM(AU6:AU18)</f>
        <v>8905500</v>
      </c>
      <c r="AV19" s="47">
        <f>SUM(AV6:AV18)</f>
        <v>8905500</v>
      </c>
      <c r="AW19" s="47">
        <f>SUM(AW6:AW18)</f>
        <v>10213735</v>
      </c>
      <c r="AX19" s="47">
        <f t="shared" ref="AX19" si="4">SUM(AX6:AX18)</f>
        <v>17814165</v>
      </c>
    </row>
    <row r="20" spans="1:50">
      <c r="Y20" s="219"/>
      <c r="Z20" s="219"/>
    </row>
    <row r="21" spans="1:50">
      <c r="AV21" s="219">
        <f>+AV19-AU19</f>
        <v>0</v>
      </c>
      <c r="AW21" s="219" t="b">
        <f>AW19=GETPIVOTDATA("Spent",Feuil3!$A$3)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0"/>
  <sheetViews>
    <sheetView workbookViewId="0">
      <selection activeCell="I17" sqref="I17"/>
    </sheetView>
  </sheetViews>
  <sheetFormatPr baseColWidth="10" defaultRowHeight="15"/>
  <cols>
    <col min="1" max="1" width="21" bestFit="1" customWidth="1"/>
    <col min="2" max="2" width="16.140625" customWidth="1"/>
    <col min="3" max="3" width="8" customWidth="1"/>
    <col min="4" max="4" width="7" customWidth="1"/>
    <col min="5" max="5" width="8" customWidth="1"/>
    <col min="6" max="6" width="12.5703125" bestFit="1" customWidth="1"/>
  </cols>
  <sheetData>
    <row r="3" spans="1:6">
      <c r="A3" s="1" t="s">
        <v>564</v>
      </c>
      <c r="B3" t="s">
        <v>307</v>
      </c>
    </row>
    <row r="4" spans="1:6">
      <c r="A4" s="2" t="s">
        <v>102</v>
      </c>
      <c r="B4">
        <v>4755908</v>
      </c>
    </row>
    <row r="5" spans="1:6">
      <c r="A5" s="2" t="s">
        <v>567</v>
      </c>
      <c r="B5">
        <v>3603882</v>
      </c>
    </row>
    <row r="6" spans="1:6">
      <c r="A6" s="2" t="s">
        <v>352</v>
      </c>
      <c r="B6">
        <v>370745</v>
      </c>
    </row>
    <row r="7" spans="1:6">
      <c r="A7" s="2" t="s">
        <v>331</v>
      </c>
      <c r="B7">
        <v>1483200</v>
      </c>
    </row>
    <row r="8" spans="1:6">
      <c r="A8" s="2" t="s">
        <v>565</v>
      </c>
      <c r="B8">
        <v>10213735</v>
      </c>
    </row>
    <row r="13" spans="1:6">
      <c r="A13" s="1" t="s">
        <v>307</v>
      </c>
      <c r="B13" s="1" t="s">
        <v>566</v>
      </c>
    </row>
    <row r="14" spans="1:6">
      <c r="A14" s="1" t="s">
        <v>564</v>
      </c>
      <c r="B14" t="s">
        <v>102</v>
      </c>
      <c r="C14" t="s">
        <v>567</v>
      </c>
      <c r="D14" t="s">
        <v>352</v>
      </c>
      <c r="E14" t="s">
        <v>331</v>
      </c>
      <c r="F14" t="s">
        <v>565</v>
      </c>
    </row>
    <row r="15" spans="1:6">
      <c r="A15" s="2" t="s">
        <v>198</v>
      </c>
      <c r="C15">
        <v>3329882</v>
      </c>
      <c r="D15">
        <v>370745</v>
      </c>
      <c r="E15">
        <v>53000</v>
      </c>
      <c r="F15">
        <v>3753627</v>
      </c>
    </row>
    <row r="16" spans="1:6">
      <c r="A16" s="2" t="s">
        <v>199</v>
      </c>
      <c r="B16">
        <v>4755908</v>
      </c>
      <c r="C16">
        <v>274000</v>
      </c>
      <c r="E16">
        <v>1430200</v>
      </c>
      <c r="F16">
        <v>6460108</v>
      </c>
    </row>
    <row r="17" spans="1:6">
      <c r="A17" s="2" t="s">
        <v>565</v>
      </c>
      <c r="B17">
        <v>4755908</v>
      </c>
      <c r="C17">
        <v>3603882</v>
      </c>
      <c r="D17">
        <v>370745</v>
      </c>
      <c r="E17">
        <v>1483200</v>
      </c>
      <c r="F17">
        <v>10213735</v>
      </c>
    </row>
    <row r="19" spans="1:6">
      <c r="C19" s="176">
        <f>(B16*100%)/F16</f>
        <v>0.73619636080387507</v>
      </c>
      <c r="D19" s="177" t="s">
        <v>200</v>
      </c>
    </row>
    <row r="20" spans="1:6">
      <c r="C20" s="176">
        <f>((C16+E16)*100%)/F16</f>
        <v>0.26380363919612487</v>
      </c>
      <c r="D20" s="177" t="s">
        <v>574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R1269"/>
  <sheetViews>
    <sheetView tabSelected="1" zoomScale="68" zoomScaleNormal="68" workbookViewId="0">
      <pane ySplit="12" topLeftCell="A265" activePane="bottomLeft" state="frozen"/>
      <selection pane="bottomLeft" activeCell="A13" sqref="A13:XFD269"/>
    </sheetView>
  </sheetViews>
  <sheetFormatPr baseColWidth="10" defaultColWidth="9.140625" defaultRowHeight="15"/>
  <cols>
    <col min="1" max="1" width="12.42578125" customWidth="1"/>
    <col min="2" max="2" width="90.7109375" customWidth="1"/>
    <col min="3" max="3" width="19.5703125" customWidth="1"/>
    <col min="4" max="4" width="13.7109375" customWidth="1"/>
    <col min="5" max="5" width="14.42578125" customWidth="1"/>
    <col min="6" max="6" width="12.85546875" customWidth="1"/>
    <col min="7" max="7" width="14" customWidth="1"/>
    <col min="8" max="8" width="16.7109375" customWidth="1"/>
    <col min="9" max="9" width="13" customWidth="1"/>
    <col min="13" max="13" width="15.5703125" customWidth="1"/>
    <col min="15" max="15" width="9.140625" style="286"/>
  </cols>
  <sheetData>
    <row r="1" spans="1:18" ht="15.75">
      <c r="A1" s="276" t="s">
        <v>359</v>
      </c>
      <c r="B1" s="276"/>
      <c r="C1" s="276"/>
      <c r="D1" s="276"/>
      <c r="E1" s="277"/>
      <c r="F1" s="278"/>
      <c r="G1" s="276"/>
      <c r="H1" s="276"/>
      <c r="I1" s="279"/>
      <c r="J1" s="276"/>
      <c r="K1" s="276"/>
      <c r="L1" s="276"/>
      <c r="M1" s="276"/>
      <c r="N1" s="276"/>
      <c r="O1" s="280"/>
      <c r="P1" s="281"/>
    </row>
    <row r="2" spans="1:18" s="178" customFormat="1" ht="16.5">
      <c r="A2" s="185"/>
      <c r="B2" s="192" t="s">
        <v>360</v>
      </c>
      <c r="C2" s="193">
        <v>4625233</v>
      </c>
      <c r="D2" s="188"/>
      <c r="E2" s="189"/>
      <c r="F2" s="194"/>
      <c r="G2" s="195"/>
      <c r="J2" s="187"/>
      <c r="N2" s="188"/>
      <c r="O2" s="196"/>
      <c r="P2" s="208"/>
    </row>
    <row r="3" spans="1:18" s="178" customFormat="1" ht="16.5">
      <c r="A3" s="185"/>
      <c r="C3" s="188"/>
      <c r="D3" s="188"/>
      <c r="E3" s="189"/>
      <c r="F3" s="194"/>
      <c r="G3" s="195"/>
      <c r="J3" s="187"/>
      <c r="N3" s="188"/>
      <c r="O3" s="196"/>
      <c r="P3" s="208"/>
    </row>
    <row r="4" spans="1:18" s="178" customFormat="1" ht="16.5">
      <c r="A4" s="185"/>
      <c r="B4" s="197" t="s">
        <v>6</v>
      </c>
      <c r="C4" s="198" t="s">
        <v>7</v>
      </c>
      <c r="D4" s="188"/>
      <c r="E4" s="189"/>
      <c r="F4" s="194"/>
      <c r="G4" s="195"/>
      <c r="I4" s="58"/>
      <c r="J4" s="187"/>
      <c r="N4" s="188"/>
      <c r="O4" s="196"/>
      <c r="P4" s="208"/>
    </row>
    <row r="5" spans="1:18" s="178" customFormat="1" ht="16.5">
      <c r="A5" s="185"/>
      <c r="B5" s="155" t="s">
        <v>8</v>
      </c>
      <c r="C5" s="199">
        <f>SUM(E13:E1065)</f>
        <v>26719665</v>
      </c>
      <c r="D5" s="188"/>
      <c r="E5" s="200" t="s">
        <v>100</v>
      </c>
      <c r="F5" s="194"/>
      <c r="G5" s="195"/>
      <c r="H5" s="190"/>
      <c r="J5" s="187"/>
      <c r="N5" s="188"/>
      <c r="O5" s="196"/>
      <c r="P5" s="208"/>
    </row>
    <row r="6" spans="1:18" s="178" customFormat="1" ht="18">
      <c r="A6" s="185"/>
      <c r="B6" s="155" t="s">
        <v>9</v>
      </c>
      <c r="C6" s="199">
        <f>SUM(F13:F1066)</f>
        <v>19119235</v>
      </c>
      <c r="D6" s="188"/>
      <c r="E6" s="221">
        <f>+C7-Récapitulatif!I20</f>
        <v>0</v>
      </c>
      <c r="F6" s="194"/>
      <c r="G6" s="195"/>
      <c r="J6" s="201"/>
      <c r="K6" s="191"/>
      <c r="N6" s="188"/>
      <c r="O6" s="196"/>
      <c r="P6" s="208"/>
    </row>
    <row r="7" spans="1:18" s="178" customFormat="1" ht="16.5">
      <c r="A7" s="185"/>
      <c r="B7" s="202" t="s">
        <v>10</v>
      </c>
      <c r="C7" s="203">
        <f>C2+C5-C6</f>
        <v>12225663</v>
      </c>
      <c r="D7" s="204">
        <f>C7-Récapitulatif!I20</f>
        <v>0</v>
      </c>
      <c r="E7" s="189"/>
      <c r="F7" s="194"/>
      <c r="G7" s="195"/>
      <c r="J7" s="187"/>
      <c r="K7" s="191"/>
      <c r="N7" s="188"/>
      <c r="O7" s="196"/>
      <c r="P7" s="208"/>
    </row>
    <row r="8" spans="1:18" s="178" customFormat="1" ht="16.5">
      <c r="A8" s="185"/>
      <c r="C8" s="188"/>
      <c r="D8" s="188"/>
      <c r="E8" s="189"/>
      <c r="F8" s="194"/>
      <c r="G8" s="195"/>
      <c r="J8" s="187"/>
      <c r="N8" s="188"/>
      <c r="O8" s="196"/>
      <c r="P8" s="208"/>
    </row>
    <row r="9" spans="1:18" s="178" customFormat="1" ht="16.5">
      <c r="O9" s="282"/>
      <c r="P9" s="209"/>
    </row>
    <row r="10" spans="1:18" s="178" customFormat="1" ht="16.5">
      <c r="O10" s="282"/>
      <c r="P10" s="209"/>
    </row>
    <row r="11" spans="1:18" s="178" customFormat="1" ht="16.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283"/>
      <c r="P11" s="209"/>
    </row>
    <row r="12" spans="1:18" s="178" customFormat="1" ht="16.5">
      <c r="A12" s="211" t="s">
        <v>0</v>
      </c>
      <c r="B12" s="212" t="s">
        <v>11</v>
      </c>
      <c r="C12" s="216" t="s">
        <v>12</v>
      </c>
      <c r="D12" s="216" t="s">
        <v>13</v>
      </c>
      <c r="E12" s="214" t="s">
        <v>14</v>
      </c>
      <c r="F12" s="220" t="s">
        <v>15</v>
      </c>
      <c r="G12" s="215" t="s">
        <v>16</v>
      </c>
      <c r="H12" s="212" t="s">
        <v>17</v>
      </c>
      <c r="I12" s="212" t="s">
        <v>18</v>
      </c>
      <c r="J12" s="216" t="s">
        <v>19</v>
      </c>
      <c r="K12" s="212" t="s">
        <v>20</v>
      </c>
      <c r="L12" s="212" t="s">
        <v>21</v>
      </c>
      <c r="M12" s="212" t="s">
        <v>81</v>
      </c>
      <c r="N12" s="213" t="s">
        <v>23</v>
      </c>
      <c r="O12" s="212" t="s">
        <v>22</v>
      </c>
      <c r="P12" s="208"/>
      <c r="Q12" s="155"/>
      <c r="R12" s="155"/>
    </row>
    <row r="13" spans="1:18" s="297" customFormat="1" ht="16.5">
      <c r="A13" s="225">
        <v>45200</v>
      </c>
      <c r="B13" s="187" t="s">
        <v>360</v>
      </c>
      <c r="C13" s="187"/>
      <c r="D13" s="187"/>
      <c r="E13" s="222"/>
      <c r="F13" s="223"/>
      <c r="G13" s="224">
        <f>+C2</f>
        <v>4625233</v>
      </c>
      <c r="H13" s="187"/>
      <c r="I13" s="155"/>
      <c r="J13" s="187"/>
      <c r="K13" s="187"/>
      <c r="L13" s="187"/>
      <c r="M13" s="187"/>
      <c r="N13" s="187"/>
      <c r="O13" s="187"/>
      <c r="P13" s="248"/>
      <c r="Q13" s="187"/>
      <c r="R13" s="187"/>
    </row>
    <row r="14" spans="1:18" s="297" customFormat="1" ht="16.5">
      <c r="A14" s="225">
        <v>45200</v>
      </c>
      <c r="B14" s="186" t="s">
        <v>361</v>
      </c>
      <c r="C14" s="186" t="s">
        <v>362</v>
      </c>
      <c r="D14" s="186" t="s">
        <v>4</v>
      </c>
      <c r="E14" s="206"/>
      <c r="F14" s="217">
        <v>38045</v>
      </c>
      <c r="G14" s="206">
        <f t="shared" ref="G14:G77" si="0">+G13+E14-F14</f>
        <v>4587188</v>
      </c>
      <c r="H14" s="186" t="s">
        <v>25</v>
      </c>
      <c r="I14" s="186" t="s">
        <v>323</v>
      </c>
      <c r="J14" s="186" t="s">
        <v>331</v>
      </c>
      <c r="K14" s="155" t="s">
        <v>198</v>
      </c>
      <c r="L14" s="155" t="s">
        <v>345</v>
      </c>
      <c r="N14" s="155"/>
      <c r="Q14" s="226"/>
      <c r="R14" s="226"/>
    </row>
    <row r="15" spans="1:18" s="297" customFormat="1" ht="16.5">
      <c r="A15" s="227">
        <v>45201</v>
      </c>
      <c r="B15" s="186" t="s">
        <v>363</v>
      </c>
      <c r="C15" s="155" t="s">
        <v>229</v>
      </c>
      <c r="D15" s="186" t="s">
        <v>320</v>
      </c>
      <c r="F15" s="206">
        <v>20000</v>
      </c>
      <c r="G15" s="206">
        <f t="shared" si="0"/>
        <v>4567188</v>
      </c>
      <c r="H15" s="186" t="s">
        <v>25</v>
      </c>
      <c r="I15" s="186" t="s">
        <v>364</v>
      </c>
      <c r="J15" s="186" t="s">
        <v>567</v>
      </c>
      <c r="K15" s="155" t="s">
        <v>198</v>
      </c>
      <c r="L15" s="155" t="s">
        <v>345</v>
      </c>
      <c r="N15" s="155"/>
      <c r="Q15" s="206"/>
      <c r="R15" s="226"/>
    </row>
    <row r="16" spans="1:18" s="297" customFormat="1" ht="16.5">
      <c r="A16" s="225">
        <v>45201</v>
      </c>
      <c r="B16" s="155" t="s">
        <v>365</v>
      </c>
      <c r="C16" s="155" t="s">
        <v>229</v>
      </c>
      <c r="D16" s="186" t="s">
        <v>154</v>
      </c>
      <c r="E16" s="155"/>
      <c r="F16" s="190">
        <v>50000</v>
      </c>
      <c r="G16" s="206">
        <f t="shared" si="0"/>
        <v>4517188</v>
      </c>
      <c r="H16" s="186" t="s">
        <v>25</v>
      </c>
      <c r="I16" s="186" t="s">
        <v>364</v>
      </c>
      <c r="J16" s="186" t="s">
        <v>567</v>
      </c>
      <c r="K16" s="155" t="s">
        <v>198</v>
      </c>
      <c r="L16" s="155" t="s">
        <v>345</v>
      </c>
      <c r="N16" s="155"/>
      <c r="O16" s="155"/>
      <c r="Q16" s="206"/>
      <c r="R16" s="226"/>
    </row>
    <row r="17" spans="1:18" s="297" customFormat="1" ht="16.5">
      <c r="A17" s="227">
        <v>45201</v>
      </c>
      <c r="B17" s="186" t="s">
        <v>366</v>
      </c>
      <c r="C17" s="186" t="s">
        <v>229</v>
      </c>
      <c r="D17" s="186" t="s">
        <v>155</v>
      </c>
      <c r="F17" s="186">
        <v>10000</v>
      </c>
      <c r="G17" s="206">
        <f t="shared" si="0"/>
        <v>4507188</v>
      </c>
      <c r="H17" s="186" t="s">
        <v>25</v>
      </c>
      <c r="I17" s="187" t="s">
        <v>364</v>
      </c>
      <c r="J17" s="186" t="s">
        <v>567</v>
      </c>
      <c r="K17" s="155" t="s">
        <v>198</v>
      </c>
      <c r="L17" s="155" t="s">
        <v>345</v>
      </c>
      <c r="N17" s="155"/>
      <c r="O17" s="228"/>
      <c r="Q17" s="206"/>
      <c r="R17" s="226"/>
    </row>
    <row r="18" spans="1:18" s="297" customFormat="1" ht="16.5">
      <c r="A18" s="229">
        <v>45201</v>
      </c>
      <c r="B18" s="155" t="s">
        <v>367</v>
      </c>
      <c r="C18" s="155" t="s">
        <v>229</v>
      </c>
      <c r="D18" s="186" t="s">
        <v>154</v>
      </c>
      <c r="F18" s="155">
        <v>20000</v>
      </c>
      <c r="G18" s="206">
        <f t="shared" si="0"/>
        <v>4487188</v>
      </c>
      <c r="H18" s="186" t="s">
        <v>25</v>
      </c>
      <c r="I18" s="187" t="s">
        <v>364</v>
      </c>
      <c r="J18" s="186" t="s">
        <v>567</v>
      </c>
      <c r="K18" s="155" t="s">
        <v>198</v>
      </c>
      <c r="L18" s="155" t="s">
        <v>345</v>
      </c>
      <c r="N18" s="155"/>
      <c r="O18" s="155"/>
      <c r="Q18" s="206"/>
      <c r="R18" s="226"/>
    </row>
    <row r="19" spans="1:18" s="297" customFormat="1" ht="16.5">
      <c r="A19" s="225">
        <v>45201</v>
      </c>
      <c r="B19" s="155" t="s">
        <v>368</v>
      </c>
      <c r="C19" s="155" t="s">
        <v>229</v>
      </c>
      <c r="D19" s="186" t="s">
        <v>154</v>
      </c>
      <c r="E19" s="155"/>
      <c r="F19" s="230">
        <v>20000</v>
      </c>
      <c r="G19" s="206">
        <f t="shared" si="0"/>
        <v>4467188</v>
      </c>
      <c r="H19" s="186" t="s">
        <v>25</v>
      </c>
      <c r="I19" s="187" t="s">
        <v>364</v>
      </c>
      <c r="J19" s="186" t="s">
        <v>567</v>
      </c>
      <c r="K19" s="155" t="s">
        <v>198</v>
      </c>
      <c r="L19" s="155" t="s">
        <v>345</v>
      </c>
      <c r="N19" s="155"/>
      <c r="O19" s="155"/>
      <c r="Q19" s="206"/>
      <c r="R19" s="226"/>
    </row>
    <row r="20" spans="1:18" s="178" customFormat="1" ht="16.5" hidden="1">
      <c r="A20" s="231">
        <v>45201</v>
      </c>
      <c r="B20" s="155" t="s">
        <v>369</v>
      </c>
      <c r="C20" s="155" t="s">
        <v>75</v>
      </c>
      <c r="E20" s="155">
        <v>1000000</v>
      </c>
      <c r="F20" s="155"/>
      <c r="G20" s="206">
        <f t="shared" si="0"/>
        <v>5467188</v>
      </c>
      <c r="H20" s="186" t="s">
        <v>25</v>
      </c>
      <c r="I20" s="187"/>
      <c r="K20" s="155"/>
      <c r="L20" s="155"/>
      <c r="N20" s="155"/>
      <c r="O20" s="196"/>
      <c r="Q20" s="206"/>
      <c r="R20" s="226"/>
    </row>
    <row r="21" spans="1:18" s="297" customFormat="1" ht="16.5">
      <c r="A21" s="225">
        <v>45201</v>
      </c>
      <c r="B21" s="155" t="s">
        <v>370</v>
      </c>
      <c r="C21" s="155" t="s">
        <v>229</v>
      </c>
      <c r="D21" s="186" t="s">
        <v>339</v>
      </c>
      <c r="F21" s="186">
        <v>25000</v>
      </c>
      <c r="G21" s="206">
        <f t="shared" si="0"/>
        <v>5442188</v>
      </c>
      <c r="H21" s="186" t="s">
        <v>25</v>
      </c>
      <c r="I21" s="187" t="s">
        <v>364</v>
      </c>
      <c r="J21" s="186" t="s">
        <v>567</v>
      </c>
      <c r="K21" s="155" t="s">
        <v>198</v>
      </c>
      <c r="L21" s="155" t="s">
        <v>345</v>
      </c>
      <c r="N21" s="155"/>
      <c r="Q21" s="206"/>
      <c r="R21" s="226"/>
    </row>
    <row r="22" spans="1:18" s="297" customFormat="1" ht="16.5">
      <c r="A22" s="229">
        <v>45201</v>
      </c>
      <c r="B22" s="232" t="s">
        <v>371</v>
      </c>
      <c r="C22" s="155" t="s">
        <v>229</v>
      </c>
      <c r="D22" s="186" t="s">
        <v>339</v>
      </c>
      <c r="F22" s="217">
        <v>55000</v>
      </c>
      <c r="G22" s="206">
        <f t="shared" si="0"/>
        <v>5387188</v>
      </c>
      <c r="H22" s="186" t="s">
        <v>25</v>
      </c>
      <c r="I22" s="187" t="s">
        <v>364</v>
      </c>
      <c r="J22" s="186" t="s">
        <v>567</v>
      </c>
      <c r="K22" s="155" t="s">
        <v>198</v>
      </c>
      <c r="L22" s="155" t="s">
        <v>345</v>
      </c>
      <c r="N22" s="155"/>
      <c r="Q22" s="206"/>
      <c r="R22" s="226"/>
    </row>
    <row r="23" spans="1:18" s="297" customFormat="1" ht="16.5">
      <c r="A23" s="227">
        <v>45201</v>
      </c>
      <c r="B23" s="186" t="s">
        <v>372</v>
      </c>
      <c r="C23" s="186" t="s">
        <v>229</v>
      </c>
      <c r="D23" s="186" t="s">
        <v>339</v>
      </c>
      <c r="F23" s="217">
        <v>30000</v>
      </c>
      <c r="G23" s="206">
        <f t="shared" si="0"/>
        <v>5357188</v>
      </c>
      <c r="H23" s="186" t="s">
        <v>25</v>
      </c>
      <c r="I23" s="187" t="s">
        <v>364</v>
      </c>
      <c r="J23" s="186" t="s">
        <v>567</v>
      </c>
      <c r="K23" s="155" t="s">
        <v>198</v>
      </c>
      <c r="L23" s="155" t="s">
        <v>345</v>
      </c>
      <c r="N23" s="155"/>
      <c r="Q23" s="206"/>
      <c r="R23" s="226"/>
    </row>
    <row r="24" spans="1:18" s="297" customFormat="1" ht="16.5">
      <c r="A24" s="227">
        <v>45201</v>
      </c>
      <c r="B24" s="232" t="s">
        <v>373</v>
      </c>
      <c r="C24" s="186" t="s">
        <v>229</v>
      </c>
      <c r="D24" s="186" t="s">
        <v>339</v>
      </c>
      <c r="F24" s="186">
        <v>35000</v>
      </c>
      <c r="G24" s="206">
        <f t="shared" si="0"/>
        <v>5322188</v>
      </c>
      <c r="H24" s="186" t="s">
        <v>25</v>
      </c>
      <c r="I24" s="187" t="s">
        <v>364</v>
      </c>
      <c r="J24" s="186" t="s">
        <v>567</v>
      </c>
      <c r="K24" s="155" t="s">
        <v>198</v>
      </c>
      <c r="L24" s="155" t="s">
        <v>345</v>
      </c>
      <c r="N24" s="155"/>
      <c r="Q24" s="206"/>
      <c r="R24" s="226"/>
    </row>
    <row r="25" spans="1:18" s="297" customFormat="1" ht="16.5">
      <c r="A25" s="227">
        <v>45201</v>
      </c>
      <c r="B25" s="232" t="s">
        <v>578</v>
      </c>
      <c r="C25" s="187" t="s">
        <v>171</v>
      </c>
      <c r="D25" s="186" t="s">
        <v>2</v>
      </c>
      <c r="F25" s="206">
        <f>21000+16000</f>
        <v>37000</v>
      </c>
      <c r="G25" s="206">
        <f t="shared" si="0"/>
        <v>5285188</v>
      </c>
      <c r="H25" s="226" t="s">
        <v>25</v>
      </c>
      <c r="I25" s="155" t="s">
        <v>323</v>
      </c>
      <c r="J25" s="297" t="s">
        <v>567</v>
      </c>
      <c r="K25" s="155" t="s">
        <v>199</v>
      </c>
      <c r="L25" s="155" t="s">
        <v>345</v>
      </c>
      <c r="M25" s="235" t="s">
        <v>600</v>
      </c>
      <c r="N25" s="155" t="s">
        <v>558</v>
      </c>
      <c r="Q25" s="206"/>
      <c r="R25" s="226"/>
    </row>
    <row r="26" spans="1:18" s="297" customFormat="1" ht="16.5">
      <c r="A26" s="229">
        <v>45201</v>
      </c>
      <c r="B26" s="186" t="s">
        <v>579</v>
      </c>
      <c r="C26" s="155" t="s">
        <v>171</v>
      </c>
      <c r="D26" s="155" t="s">
        <v>154</v>
      </c>
      <c r="F26" s="186">
        <f>32000+42000</f>
        <v>74000</v>
      </c>
      <c r="G26" s="206">
        <f t="shared" si="0"/>
        <v>5211188</v>
      </c>
      <c r="H26" s="186" t="s">
        <v>25</v>
      </c>
      <c r="I26" s="187" t="s">
        <v>323</v>
      </c>
      <c r="J26" s="297" t="s">
        <v>567</v>
      </c>
      <c r="K26" s="155" t="s">
        <v>199</v>
      </c>
      <c r="L26" s="155" t="s">
        <v>345</v>
      </c>
      <c r="M26" s="235" t="s">
        <v>601</v>
      </c>
      <c r="N26" s="155" t="s">
        <v>558</v>
      </c>
      <c r="O26" s="228"/>
      <c r="P26" s="228"/>
      <c r="Q26" s="226"/>
      <c r="R26" s="226"/>
    </row>
    <row r="27" spans="1:18" s="297" customFormat="1" ht="16.5">
      <c r="A27" s="227">
        <v>45201</v>
      </c>
      <c r="B27" s="186" t="s">
        <v>580</v>
      </c>
      <c r="C27" s="187" t="s">
        <v>171</v>
      </c>
      <c r="D27" s="186" t="s">
        <v>4</v>
      </c>
      <c r="F27" s="186">
        <f>26000+10000</f>
        <v>36000</v>
      </c>
      <c r="G27" s="206">
        <f t="shared" si="0"/>
        <v>5175188</v>
      </c>
      <c r="H27" s="155" t="s">
        <v>25</v>
      </c>
      <c r="I27" s="187" t="s">
        <v>323</v>
      </c>
      <c r="J27" s="297" t="s">
        <v>331</v>
      </c>
      <c r="K27" s="155" t="s">
        <v>199</v>
      </c>
      <c r="L27" s="155" t="s">
        <v>345</v>
      </c>
      <c r="M27" s="235" t="s">
        <v>602</v>
      </c>
      <c r="N27" s="155" t="s">
        <v>558</v>
      </c>
      <c r="Q27" s="206"/>
      <c r="R27" s="226"/>
    </row>
    <row r="28" spans="1:18" s="297" customFormat="1" ht="16.5">
      <c r="A28" s="225">
        <v>45201</v>
      </c>
      <c r="B28" s="186" t="s">
        <v>581</v>
      </c>
      <c r="C28" s="187" t="s">
        <v>171</v>
      </c>
      <c r="D28" s="186" t="s">
        <v>4</v>
      </c>
      <c r="F28" s="186">
        <v>26000</v>
      </c>
      <c r="G28" s="206">
        <f t="shared" si="0"/>
        <v>5149188</v>
      </c>
      <c r="H28" s="155" t="s">
        <v>25</v>
      </c>
      <c r="I28" s="187" t="s">
        <v>323</v>
      </c>
      <c r="J28" s="297" t="s">
        <v>331</v>
      </c>
      <c r="K28" s="155" t="s">
        <v>198</v>
      </c>
      <c r="L28" s="155" t="s">
        <v>345</v>
      </c>
      <c r="N28" s="155"/>
      <c r="O28" s="155"/>
      <c r="Q28" s="206"/>
      <c r="R28" s="226"/>
    </row>
    <row r="29" spans="1:18" s="297" customFormat="1" ht="16.5">
      <c r="A29" s="227">
        <v>45201</v>
      </c>
      <c r="B29" s="155" t="s">
        <v>582</v>
      </c>
      <c r="C29" s="187" t="s">
        <v>171</v>
      </c>
      <c r="D29" s="186" t="s">
        <v>155</v>
      </c>
      <c r="E29" s="155"/>
      <c r="F29" s="155">
        <v>10000</v>
      </c>
      <c r="G29" s="206">
        <f t="shared" si="0"/>
        <v>5139188</v>
      </c>
      <c r="H29" s="155" t="s">
        <v>25</v>
      </c>
      <c r="I29" s="155" t="s">
        <v>323</v>
      </c>
      <c r="J29" s="297" t="s">
        <v>567</v>
      </c>
      <c r="K29" s="155" t="s">
        <v>199</v>
      </c>
      <c r="L29" s="155" t="s">
        <v>345</v>
      </c>
      <c r="M29" s="235" t="s">
        <v>603</v>
      </c>
      <c r="N29" s="155" t="s">
        <v>558</v>
      </c>
      <c r="O29" s="155"/>
      <c r="Q29" s="206"/>
      <c r="R29" s="226"/>
    </row>
    <row r="30" spans="1:18" s="297" customFormat="1" ht="16.5">
      <c r="A30" s="227">
        <v>45201</v>
      </c>
      <c r="B30" s="186" t="s">
        <v>583</v>
      </c>
      <c r="C30" s="187" t="s">
        <v>171</v>
      </c>
      <c r="D30" s="186" t="s">
        <v>2</v>
      </c>
      <c r="F30" s="298">
        <v>5000</v>
      </c>
      <c r="G30" s="206">
        <f t="shared" si="0"/>
        <v>5134188</v>
      </c>
      <c r="H30" s="186" t="s">
        <v>25</v>
      </c>
      <c r="I30" s="186" t="s">
        <v>323</v>
      </c>
      <c r="J30" s="297" t="s">
        <v>567</v>
      </c>
      <c r="K30" s="155" t="s">
        <v>199</v>
      </c>
      <c r="L30" s="155" t="s">
        <v>345</v>
      </c>
      <c r="M30" s="235" t="s">
        <v>604</v>
      </c>
      <c r="N30" s="155" t="s">
        <v>558</v>
      </c>
      <c r="Q30" s="206"/>
      <c r="R30" s="226"/>
    </row>
    <row r="31" spans="1:18" s="297" customFormat="1" ht="16.5">
      <c r="A31" s="227">
        <v>45201</v>
      </c>
      <c r="B31" s="186" t="s">
        <v>584</v>
      </c>
      <c r="C31" s="155" t="s">
        <v>171</v>
      </c>
      <c r="D31" s="232" t="s">
        <v>154</v>
      </c>
      <c r="F31" s="186">
        <v>10000</v>
      </c>
      <c r="G31" s="206">
        <f t="shared" si="0"/>
        <v>5124188</v>
      </c>
      <c r="H31" s="155" t="s">
        <v>25</v>
      </c>
      <c r="I31" s="187" t="s">
        <v>323</v>
      </c>
      <c r="J31" s="297" t="s">
        <v>567</v>
      </c>
      <c r="K31" s="155" t="s">
        <v>199</v>
      </c>
      <c r="L31" s="155" t="s">
        <v>345</v>
      </c>
      <c r="M31" s="235" t="s">
        <v>605</v>
      </c>
      <c r="N31" s="155" t="s">
        <v>558</v>
      </c>
      <c r="Q31" s="206"/>
      <c r="R31" s="226"/>
    </row>
    <row r="32" spans="1:18" s="297" customFormat="1" ht="16.5">
      <c r="A32" s="227">
        <v>45201</v>
      </c>
      <c r="B32" s="186" t="s">
        <v>585</v>
      </c>
      <c r="C32" s="155" t="s">
        <v>171</v>
      </c>
      <c r="D32" s="186" t="s">
        <v>4</v>
      </c>
      <c r="E32" s="206"/>
      <c r="F32" s="289">
        <v>16000</v>
      </c>
      <c r="G32" s="206">
        <f t="shared" si="0"/>
        <v>5108188</v>
      </c>
      <c r="H32" s="186" t="s">
        <v>25</v>
      </c>
      <c r="I32" s="186" t="s">
        <v>323</v>
      </c>
      <c r="J32" s="297" t="s">
        <v>331</v>
      </c>
      <c r="K32" s="155" t="s">
        <v>199</v>
      </c>
      <c r="L32" s="155" t="s">
        <v>345</v>
      </c>
      <c r="M32" s="235" t="s">
        <v>606</v>
      </c>
      <c r="N32" s="155" t="s">
        <v>558</v>
      </c>
      <c r="Q32" s="206"/>
      <c r="R32" s="226"/>
    </row>
    <row r="33" spans="1:18" s="297" customFormat="1" ht="16.5">
      <c r="A33" s="227">
        <v>45201</v>
      </c>
      <c r="B33" s="186" t="s">
        <v>586</v>
      </c>
      <c r="C33" s="155" t="s">
        <v>171</v>
      </c>
      <c r="D33" s="186" t="s">
        <v>155</v>
      </c>
      <c r="F33" s="186">
        <v>11000</v>
      </c>
      <c r="G33" s="206">
        <f t="shared" si="0"/>
        <v>5097188</v>
      </c>
      <c r="H33" s="186" t="s">
        <v>25</v>
      </c>
      <c r="I33" s="186" t="s">
        <v>323</v>
      </c>
      <c r="J33" s="297" t="s">
        <v>331</v>
      </c>
      <c r="K33" s="155" t="s">
        <v>199</v>
      </c>
      <c r="L33" s="155" t="s">
        <v>345</v>
      </c>
      <c r="M33" s="235" t="s">
        <v>607</v>
      </c>
      <c r="N33" s="155" t="s">
        <v>558</v>
      </c>
      <c r="Q33" s="206"/>
      <c r="R33" s="226"/>
    </row>
    <row r="34" spans="1:18" s="178" customFormat="1" ht="16.5" hidden="1">
      <c r="A34" s="229">
        <v>45201</v>
      </c>
      <c r="B34" s="186" t="s">
        <v>374</v>
      </c>
      <c r="C34" s="186" t="s">
        <v>75</v>
      </c>
      <c r="F34" s="186">
        <v>150000</v>
      </c>
      <c r="G34" s="206">
        <f t="shared" si="0"/>
        <v>4947188</v>
      </c>
      <c r="H34" s="226" t="s">
        <v>25</v>
      </c>
      <c r="K34" s="155"/>
      <c r="L34" s="155"/>
      <c r="O34" s="282"/>
      <c r="Q34" s="226"/>
      <c r="R34" s="226"/>
    </row>
    <row r="35" spans="1:18" s="297" customFormat="1" ht="16.5">
      <c r="A35" s="227">
        <v>45201</v>
      </c>
      <c r="B35" s="186" t="s">
        <v>340</v>
      </c>
      <c r="C35" s="155" t="s">
        <v>337</v>
      </c>
      <c r="D35" s="186" t="s">
        <v>320</v>
      </c>
      <c r="E35" s="206"/>
      <c r="F35" s="217">
        <v>4500</v>
      </c>
      <c r="G35" s="206">
        <f t="shared" si="0"/>
        <v>4942688</v>
      </c>
      <c r="H35" s="186" t="s">
        <v>25</v>
      </c>
      <c r="I35" s="155" t="s">
        <v>323</v>
      </c>
      <c r="J35" s="297" t="s">
        <v>102</v>
      </c>
      <c r="K35" s="155" t="s">
        <v>199</v>
      </c>
      <c r="L35" s="155" t="s">
        <v>345</v>
      </c>
      <c r="M35" s="235" t="s">
        <v>608</v>
      </c>
      <c r="N35" s="155" t="s">
        <v>346</v>
      </c>
      <c r="Q35" s="226"/>
      <c r="R35" s="226"/>
    </row>
    <row r="36" spans="1:18" s="297" customFormat="1" ht="16.5">
      <c r="A36" s="227">
        <v>45201</v>
      </c>
      <c r="B36" s="234" t="s">
        <v>375</v>
      </c>
      <c r="C36" s="186" t="s">
        <v>238</v>
      </c>
      <c r="D36" s="186" t="s">
        <v>320</v>
      </c>
      <c r="E36" s="218"/>
      <c r="F36" s="218">
        <v>3000</v>
      </c>
      <c r="G36" s="206">
        <f t="shared" si="0"/>
        <v>4939688</v>
      </c>
      <c r="H36" s="186" t="s">
        <v>25</v>
      </c>
      <c r="I36" s="186" t="s">
        <v>323</v>
      </c>
      <c r="J36" s="297" t="s">
        <v>102</v>
      </c>
      <c r="K36" s="155" t="s">
        <v>199</v>
      </c>
      <c r="L36" s="155" t="s">
        <v>345</v>
      </c>
      <c r="M36" s="235" t="s">
        <v>609</v>
      </c>
      <c r="N36" s="155" t="s">
        <v>554</v>
      </c>
      <c r="Q36" s="226"/>
      <c r="R36" s="226"/>
    </row>
    <row r="37" spans="1:18" s="178" customFormat="1" ht="16.5" hidden="1">
      <c r="A37" s="227">
        <v>45201</v>
      </c>
      <c r="B37" s="155" t="s">
        <v>376</v>
      </c>
      <c r="C37" s="155" t="s">
        <v>75</v>
      </c>
      <c r="E37" s="186">
        <v>20000</v>
      </c>
      <c r="G37" s="206">
        <f t="shared" si="0"/>
        <v>4959688</v>
      </c>
      <c r="H37" s="186" t="s">
        <v>25</v>
      </c>
      <c r="K37" s="155"/>
      <c r="L37" s="155"/>
      <c r="O37" s="284"/>
      <c r="Q37" s="226"/>
      <c r="R37" s="226"/>
    </row>
    <row r="38" spans="1:18" s="178" customFormat="1" ht="16.5" hidden="1">
      <c r="A38" s="227">
        <v>45201</v>
      </c>
      <c r="B38" s="186" t="s">
        <v>377</v>
      </c>
      <c r="C38" s="155" t="s">
        <v>75</v>
      </c>
      <c r="F38" s="186">
        <v>35000</v>
      </c>
      <c r="G38" s="206">
        <f t="shared" si="0"/>
        <v>4924688</v>
      </c>
      <c r="H38" s="155" t="s">
        <v>25</v>
      </c>
      <c r="I38" s="187"/>
      <c r="K38" s="155"/>
      <c r="L38" s="155"/>
      <c r="N38" s="155"/>
      <c r="O38" s="196"/>
      <c r="Q38" s="226"/>
      <c r="R38" s="226"/>
    </row>
    <row r="39" spans="1:18" s="297" customFormat="1" ht="16.5">
      <c r="A39" s="227">
        <v>45201</v>
      </c>
      <c r="B39" s="186" t="s">
        <v>597</v>
      </c>
      <c r="C39" s="186" t="s">
        <v>327</v>
      </c>
      <c r="D39" s="155" t="s">
        <v>2</v>
      </c>
      <c r="E39" s="226"/>
      <c r="F39" s="186">
        <v>70000</v>
      </c>
      <c r="G39" s="206">
        <f t="shared" si="0"/>
        <v>4854688</v>
      </c>
      <c r="H39" s="234" t="s">
        <v>25</v>
      </c>
      <c r="I39" s="187" t="s">
        <v>364</v>
      </c>
      <c r="J39" s="297" t="s">
        <v>102</v>
      </c>
      <c r="K39" s="155" t="s">
        <v>199</v>
      </c>
      <c r="L39" s="155" t="s">
        <v>345</v>
      </c>
      <c r="M39" s="235" t="s">
        <v>610</v>
      </c>
      <c r="N39" s="155" t="s">
        <v>560</v>
      </c>
      <c r="Q39" s="226"/>
      <c r="R39" s="226"/>
    </row>
    <row r="40" spans="1:18" s="297" customFormat="1" ht="16.5">
      <c r="A40" s="227">
        <v>45201</v>
      </c>
      <c r="B40" s="186" t="s">
        <v>444</v>
      </c>
      <c r="C40" s="186" t="s">
        <v>445</v>
      </c>
      <c r="D40" s="232" t="s">
        <v>320</v>
      </c>
      <c r="F40" s="155">
        <f>14701+17348</f>
        <v>32049</v>
      </c>
      <c r="G40" s="206">
        <f t="shared" si="0"/>
        <v>4822639</v>
      </c>
      <c r="H40" s="234" t="s">
        <v>148</v>
      </c>
      <c r="I40" s="230" t="s">
        <v>443</v>
      </c>
      <c r="J40" s="186" t="s">
        <v>102</v>
      </c>
      <c r="K40" s="186" t="s">
        <v>199</v>
      </c>
      <c r="L40" s="186" t="s">
        <v>345</v>
      </c>
      <c r="M40" s="235" t="s">
        <v>611</v>
      </c>
      <c r="N40" s="155" t="s">
        <v>346</v>
      </c>
      <c r="Q40" s="226"/>
      <c r="R40" s="226"/>
    </row>
    <row r="41" spans="1:18" s="178" customFormat="1" ht="16.5" hidden="1">
      <c r="A41" s="227">
        <v>45201</v>
      </c>
      <c r="B41" s="186" t="s">
        <v>446</v>
      </c>
      <c r="C41" s="218" t="s">
        <v>75</v>
      </c>
      <c r="D41" s="270"/>
      <c r="F41" s="186">
        <v>1000000</v>
      </c>
      <c r="G41" s="206">
        <f t="shared" si="0"/>
        <v>3822639</v>
      </c>
      <c r="H41" s="234" t="s">
        <v>148</v>
      </c>
      <c r="I41" s="273">
        <v>3667403</v>
      </c>
      <c r="K41" s="155"/>
      <c r="L41" s="155"/>
      <c r="N41" s="234"/>
      <c r="O41" s="282"/>
      <c r="Q41" s="226"/>
      <c r="R41" s="226"/>
    </row>
    <row r="42" spans="1:18" s="297" customFormat="1" ht="16.5">
      <c r="A42" s="229">
        <v>45201</v>
      </c>
      <c r="B42" s="186" t="s">
        <v>587</v>
      </c>
      <c r="C42" s="244" t="s">
        <v>170</v>
      </c>
      <c r="D42" s="271" t="s">
        <v>154</v>
      </c>
      <c r="F42" s="186">
        <v>222625</v>
      </c>
      <c r="G42" s="206">
        <f t="shared" si="0"/>
        <v>3600014</v>
      </c>
      <c r="H42" s="234" t="s">
        <v>148</v>
      </c>
      <c r="I42" s="230">
        <v>3667402</v>
      </c>
      <c r="J42" s="186" t="s">
        <v>102</v>
      </c>
      <c r="K42" s="186" t="s">
        <v>199</v>
      </c>
      <c r="L42" s="186" t="s">
        <v>345</v>
      </c>
      <c r="M42" s="235" t="s">
        <v>612</v>
      </c>
      <c r="N42" s="155" t="s">
        <v>349</v>
      </c>
      <c r="O42" s="244"/>
      <c r="Q42" s="226"/>
      <c r="R42" s="226"/>
    </row>
    <row r="43" spans="1:18" s="297" customFormat="1" ht="16.5">
      <c r="A43" s="225">
        <v>45201</v>
      </c>
      <c r="B43" s="186" t="s">
        <v>588</v>
      </c>
      <c r="C43" s="244" t="s">
        <v>170</v>
      </c>
      <c r="D43" s="187" t="s">
        <v>154</v>
      </c>
      <c r="F43" s="186">
        <v>68996</v>
      </c>
      <c r="G43" s="206">
        <f t="shared" si="0"/>
        <v>3531018</v>
      </c>
      <c r="H43" s="234" t="s">
        <v>148</v>
      </c>
      <c r="I43" s="230">
        <v>3667402</v>
      </c>
      <c r="J43" s="186" t="s">
        <v>102</v>
      </c>
      <c r="K43" s="186" t="s">
        <v>199</v>
      </c>
      <c r="L43" s="186" t="s">
        <v>345</v>
      </c>
      <c r="M43" s="235" t="s">
        <v>613</v>
      </c>
      <c r="N43" s="155" t="s">
        <v>349</v>
      </c>
      <c r="O43" s="155"/>
      <c r="Q43" s="226"/>
      <c r="R43" s="226"/>
    </row>
    <row r="44" spans="1:18" s="297" customFormat="1" ht="16.5">
      <c r="A44" s="227">
        <v>45201</v>
      </c>
      <c r="B44" s="186" t="s">
        <v>589</v>
      </c>
      <c r="C44" s="244" t="s">
        <v>170</v>
      </c>
      <c r="D44" s="187" t="s">
        <v>154</v>
      </c>
      <c r="F44" s="230">
        <v>103493</v>
      </c>
      <c r="G44" s="206">
        <f t="shared" si="0"/>
        <v>3427525</v>
      </c>
      <c r="H44" s="234" t="s">
        <v>148</v>
      </c>
      <c r="I44" s="243">
        <v>3667402</v>
      </c>
      <c r="J44" s="186" t="s">
        <v>102</v>
      </c>
      <c r="K44" s="186" t="s">
        <v>199</v>
      </c>
      <c r="L44" s="186" t="s">
        <v>345</v>
      </c>
      <c r="M44" s="235" t="s">
        <v>614</v>
      </c>
      <c r="N44" s="155" t="s">
        <v>349</v>
      </c>
      <c r="P44" s="228"/>
      <c r="Q44" s="226"/>
      <c r="R44" s="226"/>
    </row>
    <row r="45" spans="1:18" s="297" customFormat="1" ht="16.5">
      <c r="A45" s="231">
        <v>45201</v>
      </c>
      <c r="B45" s="186" t="s">
        <v>590</v>
      </c>
      <c r="C45" s="244" t="s">
        <v>170</v>
      </c>
      <c r="D45" s="250" t="s">
        <v>154</v>
      </c>
      <c r="F45" s="186">
        <v>44847</v>
      </c>
      <c r="G45" s="206">
        <f t="shared" si="0"/>
        <v>3382678</v>
      </c>
      <c r="H45" s="234" t="s">
        <v>148</v>
      </c>
      <c r="I45" s="230">
        <v>3667402</v>
      </c>
      <c r="J45" s="186" t="s">
        <v>102</v>
      </c>
      <c r="K45" s="186" t="s">
        <v>199</v>
      </c>
      <c r="L45" s="186" t="s">
        <v>345</v>
      </c>
      <c r="M45" s="235" t="s">
        <v>615</v>
      </c>
      <c r="N45" s="155" t="s">
        <v>349</v>
      </c>
      <c r="Q45" s="226"/>
      <c r="R45" s="226"/>
    </row>
    <row r="46" spans="1:18" s="297" customFormat="1" ht="14.45" customHeight="1">
      <c r="A46" s="231">
        <v>45201</v>
      </c>
      <c r="B46" s="236" t="s">
        <v>591</v>
      </c>
      <c r="C46" s="244" t="s">
        <v>170</v>
      </c>
      <c r="D46" s="272" t="s">
        <v>2</v>
      </c>
      <c r="F46" s="238">
        <v>287314</v>
      </c>
      <c r="G46" s="206">
        <f t="shared" si="0"/>
        <v>3095364</v>
      </c>
      <c r="H46" s="234" t="s">
        <v>148</v>
      </c>
      <c r="I46" s="230">
        <v>3667402</v>
      </c>
      <c r="J46" s="186" t="s">
        <v>102</v>
      </c>
      <c r="K46" s="186" t="s">
        <v>199</v>
      </c>
      <c r="L46" s="186" t="s">
        <v>345</v>
      </c>
      <c r="M46" s="235" t="s">
        <v>616</v>
      </c>
      <c r="N46" s="155" t="s">
        <v>348</v>
      </c>
      <c r="Q46" s="226"/>
      <c r="R46" s="226"/>
    </row>
    <row r="47" spans="1:18" s="297" customFormat="1" ht="16.5">
      <c r="A47" s="227">
        <v>45201</v>
      </c>
      <c r="B47" s="186" t="s">
        <v>592</v>
      </c>
      <c r="C47" s="244" t="s">
        <v>170</v>
      </c>
      <c r="D47" s="250" t="s">
        <v>320</v>
      </c>
      <c r="F47" s="186">
        <v>177548</v>
      </c>
      <c r="G47" s="206">
        <f t="shared" si="0"/>
        <v>2917816</v>
      </c>
      <c r="H47" s="234" t="s">
        <v>148</v>
      </c>
      <c r="I47" s="230">
        <v>3667402</v>
      </c>
      <c r="J47" s="186" t="s">
        <v>102</v>
      </c>
      <c r="K47" s="186" t="s">
        <v>199</v>
      </c>
      <c r="L47" s="186" t="s">
        <v>345</v>
      </c>
      <c r="M47" s="235" t="s">
        <v>617</v>
      </c>
      <c r="N47" s="155" t="s">
        <v>348</v>
      </c>
      <c r="Q47" s="226"/>
      <c r="R47" s="226"/>
    </row>
    <row r="48" spans="1:18" s="297" customFormat="1" ht="16.5">
      <c r="A48" s="227">
        <v>45201</v>
      </c>
      <c r="B48" s="186" t="s">
        <v>593</v>
      </c>
      <c r="C48" s="244" t="s">
        <v>170</v>
      </c>
      <c r="D48" s="250" t="s">
        <v>155</v>
      </c>
      <c r="F48" s="186">
        <v>125633</v>
      </c>
      <c r="G48" s="206">
        <f t="shared" si="0"/>
        <v>2792183</v>
      </c>
      <c r="H48" s="234" t="s">
        <v>148</v>
      </c>
      <c r="I48" s="243">
        <v>3667402</v>
      </c>
      <c r="J48" s="186" t="s">
        <v>102</v>
      </c>
      <c r="K48" s="186" t="s">
        <v>199</v>
      </c>
      <c r="L48" s="186" t="s">
        <v>345</v>
      </c>
      <c r="M48" s="235" t="s">
        <v>618</v>
      </c>
      <c r="N48" s="155" t="s">
        <v>350</v>
      </c>
      <c r="Q48" s="226"/>
      <c r="R48" s="226"/>
    </row>
    <row r="49" spans="1:18" s="178" customFormat="1" ht="16.5" hidden="1">
      <c r="A49" s="227">
        <v>45201</v>
      </c>
      <c r="B49" s="155" t="s">
        <v>457</v>
      </c>
      <c r="C49" s="187" t="s">
        <v>75</v>
      </c>
      <c r="E49" s="155">
        <v>35000</v>
      </c>
      <c r="G49" s="206">
        <f t="shared" si="0"/>
        <v>2827183</v>
      </c>
      <c r="H49" s="155" t="s">
        <v>297</v>
      </c>
      <c r="K49" s="155"/>
      <c r="L49" s="155"/>
      <c r="N49" s="155"/>
      <c r="O49" s="196"/>
      <c r="P49" s="228"/>
      <c r="Q49" s="226"/>
      <c r="R49" s="226"/>
    </row>
    <row r="50" spans="1:18" s="178" customFormat="1" ht="16.5" hidden="1">
      <c r="A50" s="225">
        <v>45201</v>
      </c>
      <c r="B50" s="186" t="s">
        <v>472</v>
      </c>
      <c r="C50" s="155" t="s">
        <v>75</v>
      </c>
      <c r="E50" s="243"/>
      <c r="F50" s="243">
        <v>20000</v>
      </c>
      <c r="G50" s="206">
        <f t="shared" si="0"/>
        <v>2807183</v>
      </c>
      <c r="H50" s="186" t="s">
        <v>306</v>
      </c>
      <c r="I50" s="155"/>
      <c r="M50" s="235"/>
      <c r="O50" s="282"/>
      <c r="Q50" s="226"/>
      <c r="R50" s="226"/>
    </row>
    <row r="51" spans="1:18" s="297" customFormat="1" ht="16.5">
      <c r="A51" s="225">
        <v>45201</v>
      </c>
      <c r="B51" s="186" t="s">
        <v>484</v>
      </c>
      <c r="C51" s="187" t="s">
        <v>299</v>
      </c>
      <c r="D51" s="186" t="s">
        <v>154</v>
      </c>
      <c r="F51" s="206">
        <v>40000</v>
      </c>
      <c r="G51" s="206">
        <f t="shared" si="0"/>
        <v>2767183</v>
      </c>
      <c r="H51" s="186" t="s">
        <v>197</v>
      </c>
      <c r="I51" s="155" t="s">
        <v>326</v>
      </c>
      <c r="J51" s="297" t="s">
        <v>102</v>
      </c>
      <c r="K51" s="155" t="s">
        <v>199</v>
      </c>
      <c r="L51" s="155" t="s">
        <v>345</v>
      </c>
      <c r="M51" s="235" t="s">
        <v>619</v>
      </c>
      <c r="N51" s="155" t="s">
        <v>560</v>
      </c>
      <c r="Q51" s="226"/>
      <c r="R51" s="226"/>
    </row>
    <row r="52" spans="1:18" s="178" customFormat="1" ht="16.5" hidden="1">
      <c r="A52" s="225">
        <v>45202</v>
      </c>
      <c r="B52" s="155" t="s">
        <v>378</v>
      </c>
      <c r="C52" s="186" t="s">
        <v>75</v>
      </c>
      <c r="E52" s="155"/>
      <c r="F52" s="186">
        <v>87000</v>
      </c>
      <c r="G52" s="206">
        <f t="shared" si="0"/>
        <v>2680183</v>
      </c>
      <c r="H52" s="234" t="s">
        <v>25</v>
      </c>
      <c r="I52" s="187"/>
      <c r="N52" s="155"/>
      <c r="O52" s="196"/>
      <c r="P52" s="228"/>
      <c r="Q52" s="226"/>
      <c r="R52" s="226"/>
    </row>
    <row r="53" spans="1:18" s="297" customFormat="1" ht="16.5">
      <c r="A53" s="227">
        <v>45202</v>
      </c>
      <c r="B53" s="186" t="s">
        <v>379</v>
      </c>
      <c r="C53" s="155" t="s">
        <v>229</v>
      </c>
      <c r="D53" s="155" t="s">
        <v>154</v>
      </c>
      <c r="F53" s="186">
        <v>20000</v>
      </c>
      <c r="G53" s="206">
        <f t="shared" si="0"/>
        <v>2660183</v>
      </c>
      <c r="H53" s="155" t="s">
        <v>25</v>
      </c>
      <c r="I53" s="186" t="s">
        <v>364</v>
      </c>
      <c r="J53" s="186" t="s">
        <v>567</v>
      </c>
      <c r="K53" s="155" t="s">
        <v>198</v>
      </c>
      <c r="L53" s="155" t="s">
        <v>345</v>
      </c>
      <c r="N53" s="155"/>
      <c r="P53" s="237"/>
      <c r="Q53" s="226"/>
      <c r="R53" s="226"/>
    </row>
    <row r="54" spans="1:18" s="297" customFormat="1" ht="16.5">
      <c r="A54" s="227">
        <v>45202</v>
      </c>
      <c r="B54" s="186" t="s">
        <v>380</v>
      </c>
      <c r="C54" s="186" t="s">
        <v>229</v>
      </c>
      <c r="D54" s="186" t="s">
        <v>339</v>
      </c>
      <c r="F54" s="186">
        <v>25000</v>
      </c>
      <c r="G54" s="206">
        <f t="shared" si="0"/>
        <v>2635183</v>
      </c>
      <c r="H54" s="155" t="s">
        <v>25</v>
      </c>
      <c r="I54" s="186" t="s">
        <v>364</v>
      </c>
      <c r="J54" s="186" t="s">
        <v>567</v>
      </c>
      <c r="K54" s="155" t="s">
        <v>198</v>
      </c>
      <c r="L54" s="155" t="s">
        <v>345</v>
      </c>
      <c r="N54" s="155"/>
      <c r="Q54" s="226"/>
      <c r="R54" s="226"/>
    </row>
    <row r="55" spans="1:18" s="178" customFormat="1" ht="16.5" hidden="1">
      <c r="A55" s="227">
        <v>45202</v>
      </c>
      <c r="B55" s="186" t="s">
        <v>381</v>
      </c>
      <c r="C55" s="232" t="s">
        <v>75</v>
      </c>
      <c r="E55" s="206"/>
      <c r="F55" s="217">
        <v>20000</v>
      </c>
      <c r="G55" s="206">
        <f t="shared" si="0"/>
        <v>2615183</v>
      </c>
      <c r="H55" s="186" t="s">
        <v>25</v>
      </c>
      <c r="K55" s="155"/>
      <c r="L55" s="155"/>
      <c r="M55" s="275"/>
      <c r="N55" s="275"/>
      <c r="O55" s="282"/>
      <c r="Q55" s="226"/>
      <c r="R55" s="226"/>
    </row>
    <row r="56" spans="1:18" s="178" customFormat="1" ht="16.5" hidden="1">
      <c r="A56" s="227">
        <v>45202</v>
      </c>
      <c r="B56" s="155" t="s">
        <v>382</v>
      </c>
      <c r="C56" s="155" t="s">
        <v>75</v>
      </c>
      <c r="E56" s="155"/>
      <c r="F56" s="155">
        <v>20000</v>
      </c>
      <c r="G56" s="206">
        <f t="shared" si="0"/>
        <v>2595183</v>
      </c>
      <c r="H56" s="155" t="s">
        <v>25</v>
      </c>
      <c r="I56" s="155"/>
      <c r="N56" s="155"/>
      <c r="O56" s="196"/>
      <c r="Q56" s="226"/>
      <c r="R56" s="226"/>
    </row>
    <row r="57" spans="1:18" s="297" customFormat="1" ht="16.5">
      <c r="A57" s="227">
        <v>45202</v>
      </c>
      <c r="B57" s="186" t="s">
        <v>447</v>
      </c>
      <c r="C57" s="186" t="s">
        <v>229</v>
      </c>
      <c r="D57" s="186" t="s">
        <v>339</v>
      </c>
      <c r="E57" s="240"/>
      <c r="F57" s="240">
        <v>20000</v>
      </c>
      <c r="G57" s="206">
        <f t="shared" si="0"/>
        <v>2575183</v>
      </c>
      <c r="H57" s="238" t="s">
        <v>47</v>
      </c>
      <c r="I57" s="186" t="s">
        <v>323</v>
      </c>
      <c r="J57" s="186" t="s">
        <v>567</v>
      </c>
      <c r="K57" s="155" t="s">
        <v>198</v>
      </c>
      <c r="L57" s="155" t="s">
        <v>345</v>
      </c>
      <c r="Q57" s="226"/>
      <c r="R57" s="226"/>
    </row>
    <row r="58" spans="1:18" s="297" customFormat="1" ht="16.5">
      <c r="A58" s="227">
        <v>45202</v>
      </c>
      <c r="B58" s="186" t="s">
        <v>598</v>
      </c>
      <c r="C58" s="187" t="s">
        <v>314</v>
      </c>
      <c r="D58" s="186" t="s">
        <v>154</v>
      </c>
      <c r="F58" s="186">
        <v>2000</v>
      </c>
      <c r="G58" s="206">
        <f t="shared" si="0"/>
        <v>2573183</v>
      </c>
      <c r="H58" s="186" t="s">
        <v>297</v>
      </c>
      <c r="I58" s="186" t="s">
        <v>323</v>
      </c>
      <c r="J58" s="297" t="s">
        <v>102</v>
      </c>
      <c r="K58" s="155" t="s">
        <v>199</v>
      </c>
      <c r="L58" s="155" t="s">
        <v>345</v>
      </c>
      <c r="M58" s="235" t="s">
        <v>620</v>
      </c>
      <c r="N58" s="155" t="s">
        <v>559</v>
      </c>
      <c r="P58" s="228"/>
      <c r="Q58" s="226"/>
      <c r="R58" s="226"/>
    </row>
    <row r="59" spans="1:18" s="297" customFormat="1" ht="16.5">
      <c r="A59" s="227">
        <v>45202</v>
      </c>
      <c r="B59" s="186" t="s">
        <v>458</v>
      </c>
      <c r="C59" s="187" t="s">
        <v>299</v>
      </c>
      <c r="D59" s="155" t="s">
        <v>154</v>
      </c>
      <c r="F59" s="186">
        <v>10000</v>
      </c>
      <c r="G59" s="206">
        <f t="shared" si="0"/>
        <v>2563183</v>
      </c>
      <c r="H59" s="155" t="s">
        <v>297</v>
      </c>
      <c r="I59" s="187" t="s">
        <v>326</v>
      </c>
      <c r="J59" s="297" t="s">
        <v>102</v>
      </c>
      <c r="K59" s="155" t="s">
        <v>199</v>
      </c>
      <c r="L59" s="155" t="s">
        <v>345</v>
      </c>
      <c r="M59" s="235" t="s">
        <v>621</v>
      </c>
      <c r="N59" s="155" t="s">
        <v>560</v>
      </c>
      <c r="Q59" s="226"/>
      <c r="R59" s="226"/>
    </row>
    <row r="60" spans="1:18" s="297" customFormat="1" ht="16.5">
      <c r="A60" s="227">
        <v>45202</v>
      </c>
      <c r="B60" s="232" t="s">
        <v>485</v>
      </c>
      <c r="C60" s="187" t="s">
        <v>486</v>
      </c>
      <c r="D60" s="186" t="s">
        <v>154</v>
      </c>
      <c r="E60" s="189"/>
      <c r="F60" s="217">
        <v>10000</v>
      </c>
      <c r="G60" s="206">
        <f t="shared" si="0"/>
        <v>2553183</v>
      </c>
      <c r="H60" s="186" t="s">
        <v>197</v>
      </c>
      <c r="I60" s="186" t="s">
        <v>323</v>
      </c>
      <c r="J60" s="186" t="s">
        <v>567</v>
      </c>
      <c r="K60" s="155" t="s">
        <v>198</v>
      </c>
      <c r="L60" s="155" t="s">
        <v>345</v>
      </c>
      <c r="Q60" s="226"/>
      <c r="R60" s="226"/>
    </row>
    <row r="61" spans="1:18" s="178" customFormat="1" ht="16.5" hidden="1">
      <c r="A61" s="227">
        <v>45202</v>
      </c>
      <c r="B61" s="155" t="s">
        <v>487</v>
      </c>
      <c r="C61" s="155" t="s">
        <v>488</v>
      </c>
      <c r="E61" s="155">
        <v>150000</v>
      </c>
      <c r="F61" s="155"/>
      <c r="G61" s="206">
        <f t="shared" si="0"/>
        <v>2703183</v>
      </c>
      <c r="H61" s="155" t="s">
        <v>197</v>
      </c>
      <c r="M61" s="235"/>
      <c r="O61" s="196"/>
      <c r="Q61" s="226"/>
      <c r="R61" s="226"/>
    </row>
    <row r="62" spans="1:18" s="297" customFormat="1" ht="16.5">
      <c r="A62" s="227">
        <v>45202</v>
      </c>
      <c r="B62" s="186" t="s">
        <v>489</v>
      </c>
      <c r="C62" s="186" t="s">
        <v>34</v>
      </c>
      <c r="D62" s="186" t="s">
        <v>154</v>
      </c>
      <c r="F62" s="298">
        <v>7000</v>
      </c>
      <c r="G62" s="206">
        <f t="shared" si="0"/>
        <v>2696183</v>
      </c>
      <c r="H62" s="186" t="s">
        <v>197</v>
      </c>
      <c r="I62" s="297" t="s">
        <v>323</v>
      </c>
      <c r="J62" s="297" t="s">
        <v>102</v>
      </c>
      <c r="K62" s="155" t="s">
        <v>199</v>
      </c>
      <c r="L62" s="155" t="s">
        <v>345</v>
      </c>
      <c r="M62" s="235" t="s">
        <v>622</v>
      </c>
      <c r="N62" s="155" t="s">
        <v>559</v>
      </c>
      <c r="Q62" s="226"/>
      <c r="R62" s="226"/>
    </row>
    <row r="63" spans="1:18" s="178" customFormat="1" ht="16.5" hidden="1">
      <c r="A63" s="227">
        <v>45202</v>
      </c>
      <c r="B63" s="186" t="s">
        <v>457</v>
      </c>
      <c r="C63" s="187" t="s">
        <v>512</v>
      </c>
      <c r="E63" s="206">
        <v>87000</v>
      </c>
      <c r="F63" s="210"/>
      <c r="G63" s="206">
        <f t="shared" si="0"/>
        <v>2783183</v>
      </c>
      <c r="H63" s="186" t="s">
        <v>298</v>
      </c>
      <c r="O63" s="282"/>
      <c r="Q63" s="226"/>
      <c r="R63" s="226"/>
    </row>
    <row r="64" spans="1:18" s="297" customFormat="1" ht="16.5">
      <c r="A64" s="225">
        <v>45202</v>
      </c>
      <c r="B64" s="186" t="s">
        <v>513</v>
      </c>
      <c r="C64" s="155" t="s">
        <v>34</v>
      </c>
      <c r="D64" s="186" t="s">
        <v>154</v>
      </c>
      <c r="E64" s="206"/>
      <c r="F64" s="206">
        <v>10000</v>
      </c>
      <c r="G64" s="206">
        <f t="shared" si="0"/>
        <v>2773183</v>
      </c>
      <c r="H64" s="186" t="s">
        <v>298</v>
      </c>
      <c r="I64" s="155" t="s">
        <v>322</v>
      </c>
      <c r="J64" s="297" t="s">
        <v>102</v>
      </c>
      <c r="K64" s="155" t="s">
        <v>199</v>
      </c>
      <c r="L64" s="155" t="s">
        <v>345</v>
      </c>
      <c r="M64" s="235" t="s">
        <v>623</v>
      </c>
      <c r="N64" s="155" t="s">
        <v>559</v>
      </c>
      <c r="O64" s="206"/>
      <c r="Q64" s="226"/>
      <c r="R64" s="226"/>
    </row>
    <row r="65" spans="1:18" s="178" customFormat="1" ht="16.5" hidden="1">
      <c r="A65" s="227">
        <v>45202</v>
      </c>
      <c r="B65" s="186" t="s">
        <v>328</v>
      </c>
      <c r="C65" s="155" t="s">
        <v>488</v>
      </c>
      <c r="E65" s="206">
        <v>20000</v>
      </c>
      <c r="F65" s="206"/>
      <c r="G65" s="206">
        <f t="shared" si="0"/>
        <v>2793183</v>
      </c>
      <c r="H65" s="186" t="s">
        <v>268</v>
      </c>
      <c r="K65" s="155"/>
      <c r="L65" s="155"/>
      <c r="N65" s="155"/>
      <c r="O65" s="282"/>
      <c r="Q65" s="206"/>
      <c r="R65" s="226"/>
    </row>
    <row r="66" spans="1:18" s="178" customFormat="1" ht="16.5" hidden="1">
      <c r="A66" s="227">
        <v>45203</v>
      </c>
      <c r="B66" s="186" t="s">
        <v>382</v>
      </c>
      <c r="C66" s="186" t="s">
        <v>75</v>
      </c>
      <c r="E66" s="275"/>
      <c r="F66" s="243">
        <v>20000</v>
      </c>
      <c r="G66" s="206">
        <f t="shared" si="0"/>
        <v>2773183</v>
      </c>
      <c r="H66" s="186" t="s">
        <v>25</v>
      </c>
      <c r="O66" s="282"/>
      <c r="Q66" s="226"/>
      <c r="R66" s="226"/>
    </row>
    <row r="67" spans="1:18" s="297" customFormat="1" ht="16.5">
      <c r="A67" s="227">
        <v>45203</v>
      </c>
      <c r="B67" s="186" t="s">
        <v>429</v>
      </c>
      <c r="C67" s="187" t="s">
        <v>3</v>
      </c>
      <c r="D67" s="186" t="s">
        <v>320</v>
      </c>
      <c r="F67" s="186">
        <v>260000</v>
      </c>
      <c r="G67" s="206">
        <f t="shared" si="0"/>
        <v>2513183</v>
      </c>
      <c r="H67" s="186" t="s">
        <v>24</v>
      </c>
      <c r="I67" s="232">
        <v>3654571</v>
      </c>
      <c r="J67" s="186" t="s">
        <v>567</v>
      </c>
      <c r="K67" s="155" t="s">
        <v>198</v>
      </c>
      <c r="L67" s="155" t="s">
        <v>345</v>
      </c>
      <c r="M67" s="235"/>
      <c r="Q67" s="226"/>
      <c r="R67" s="226"/>
    </row>
    <row r="68" spans="1:18" s="178" customFormat="1" ht="16.5" hidden="1">
      <c r="A68" s="227">
        <v>45203</v>
      </c>
      <c r="B68" s="186" t="s">
        <v>448</v>
      </c>
      <c r="C68" s="155" t="s">
        <v>75</v>
      </c>
      <c r="E68" s="206">
        <v>20000</v>
      </c>
      <c r="F68" s="206"/>
      <c r="G68" s="206">
        <f t="shared" si="0"/>
        <v>2533183</v>
      </c>
      <c r="H68" s="186" t="s">
        <v>47</v>
      </c>
      <c r="K68" s="155"/>
      <c r="L68" s="155"/>
      <c r="N68" s="155"/>
      <c r="O68" s="282"/>
      <c r="Q68" s="226"/>
      <c r="R68" s="226"/>
    </row>
    <row r="69" spans="1:18" s="178" customFormat="1" ht="16.5" hidden="1">
      <c r="A69" s="227">
        <v>45203</v>
      </c>
      <c r="B69" s="186" t="s">
        <v>448</v>
      </c>
      <c r="C69" s="155" t="s">
        <v>75</v>
      </c>
      <c r="E69" s="206">
        <v>20000</v>
      </c>
      <c r="F69" s="206"/>
      <c r="G69" s="206">
        <f t="shared" si="0"/>
        <v>2553183</v>
      </c>
      <c r="H69" s="186" t="s">
        <v>47</v>
      </c>
      <c r="K69" s="155"/>
      <c r="L69" s="155"/>
      <c r="N69" s="155"/>
      <c r="O69" s="282"/>
      <c r="Q69" s="226"/>
      <c r="R69" s="226"/>
    </row>
    <row r="70" spans="1:18" s="297" customFormat="1" ht="16.5">
      <c r="A70" s="227">
        <v>45203</v>
      </c>
      <c r="B70" s="186" t="s">
        <v>447</v>
      </c>
      <c r="C70" s="155" t="s">
        <v>229</v>
      </c>
      <c r="D70" s="186" t="s">
        <v>339</v>
      </c>
      <c r="F70" s="186">
        <v>20000</v>
      </c>
      <c r="G70" s="206">
        <f t="shared" si="0"/>
        <v>2533183</v>
      </c>
      <c r="H70" s="155" t="s">
        <v>47</v>
      </c>
      <c r="I70" s="186" t="s">
        <v>323</v>
      </c>
      <c r="J70" s="186" t="s">
        <v>567</v>
      </c>
      <c r="K70" s="155" t="s">
        <v>198</v>
      </c>
      <c r="L70" s="155" t="s">
        <v>345</v>
      </c>
      <c r="N70" s="155"/>
    </row>
    <row r="71" spans="1:18" s="297" customFormat="1" ht="16.5">
      <c r="A71" s="227">
        <v>45203</v>
      </c>
      <c r="B71" s="186" t="s">
        <v>459</v>
      </c>
      <c r="C71" s="187" t="s">
        <v>299</v>
      </c>
      <c r="D71" s="186" t="s">
        <v>154</v>
      </c>
      <c r="E71" s="206"/>
      <c r="F71" s="206">
        <v>15000</v>
      </c>
      <c r="G71" s="206">
        <f t="shared" si="0"/>
        <v>2518183</v>
      </c>
      <c r="H71" s="186" t="s">
        <v>297</v>
      </c>
      <c r="I71" s="186" t="s">
        <v>323</v>
      </c>
      <c r="J71" s="297" t="s">
        <v>102</v>
      </c>
      <c r="K71" s="155" t="s">
        <v>199</v>
      </c>
      <c r="L71" s="155" t="s">
        <v>345</v>
      </c>
      <c r="M71" s="235" t="s">
        <v>624</v>
      </c>
      <c r="N71" s="155" t="s">
        <v>560</v>
      </c>
      <c r="O71" s="206"/>
    </row>
    <row r="72" spans="1:18" s="297" customFormat="1" ht="16.5">
      <c r="A72" s="229">
        <v>45203</v>
      </c>
      <c r="B72" s="186" t="s">
        <v>599</v>
      </c>
      <c r="C72" s="187" t="s">
        <v>314</v>
      </c>
      <c r="D72" s="186" t="s">
        <v>154</v>
      </c>
      <c r="E72" s="206"/>
      <c r="F72" s="217">
        <v>2000</v>
      </c>
      <c r="G72" s="206">
        <f t="shared" si="0"/>
        <v>2516183</v>
      </c>
      <c r="H72" s="186" t="s">
        <v>297</v>
      </c>
      <c r="I72" s="155" t="s">
        <v>323</v>
      </c>
      <c r="J72" s="297" t="s">
        <v>102</v>
      </c>
      <c r="K72" s="155" t="s">
        <v>199</v>
      </c>
      <c r="L72" s="155" t="s">
        <v>345</v>
      </c>
      <c r="M72" s="235" t="s">
        <v>625</v>
      </c>
      <c r="N72" s="155" t="s">
        <v>559</v>
      </c>
    </row>
    <row r="73" spans="1:18" s="297" customFormat="1" ht="16.5">
      <c r="A73" s="227">
        <v>45203</v>
      </c>
      <c r="B73" s="186" t="s">
        <v>490</v>
      </c>
      <c r="C73" s="155" t="s">
        <v>299</v>
      </c>
      <c r="D73" s="186" t="s">
        <v>154</v>
      </c>
      <c r="F73" s="243">
        <v>30000</v>
      </c>
      <c r="G73" s="206">
        <f t="shared" si="0"/>
        <v>2486183</v>
      </c>
      <c r="H73" s="226" t="s">
        <v>197</v>
      </c>
      <c r="I73" s="186" t="s">
        <v>323</v>
      </c>
      <c r="J73" s="297" t="s">
        <v>102</v>
      </c>
      <c r="K73" s="155" t="s">
        <v>199</v>
      </c>
      <c r="L73" s="155" t="s">
        <v>345</v>
      </c>
      <c r="M73" s="235" t="s">
        <v>626</v>
      </c>
      <c r="N73" s="155" t="s">
        <v>560</v>
      </c>
    </row>
    <row r="74" spans="1:18" s="297" customFormat="1" ht="16.5">
      <c r="A74" s="227">
        <v>45203</v>
      </c>
      <c r="B74" s="238" t="s">
        <v>491</v>
      </c>
      <c r="C74" s="155" t="s">
        <v>34</v>
      </c>
      <c r="D74" s="186" t="s">
        <v>154</v>
      </c>
      <c r="E74" s="241"/>
      <c r="F74" s="238">
        <v>4000</v>
      </c>
      <c r="G74" s="206">
        <f t="shared" si="0"/>
        <v>2482183</v>
      </c>
      <c r="H74" s="186" t="s">
        <v>197</v>
      </c>
      <c r="I74" s="238" t="s">
        <v>323</v>
      </c>
      <c r="J74" s="297" t="s">
        <v>102</v>
      </c>
      <c r="K74" s="155" t="s">
        <v>199</v>
      </c>
      <c r="L74" s="155" t="s">
        <v>345</v>
      </c>
      <c r="M74" s="235" t="s">
        <v>627</v>
      </c>
      <c r="N74" s="155" t="s">
        <v>559</v>
      </c>
    </row>
    <row r="75" spans="1:18" s="297" customFormat="1" ht="16.5">
      <c r="A75" s="227">
        <v>45203</v>
      </c>
      <c r="B75" s="186" t="s">
        <v>514</v>
      </c>
      <c r="C75" s="186" t="s">
        <v>299</v>
      </c>
      <c r="D75" s="186" t="s">
        <v>154</v>
      </c>
      <c r="F75" s="155">
        <v>20000</v>
      </c>
      <c r="G75" s="206">
        <f t="shared" si="0"/>
        <v>2462183</v>
      </c>
      <c r="H75" s="234" t="s">
        <v>298</v>
      </c>
      <c r="I75" s="187" t="s">
        <v>364</v>
      </c>
      <c r="J75" s="297" t="s">
        <v>102</v>
      </c>
      <c r="K75" s="155" t="s">
        <v>199</v>
      </c>
      <c r="L75" s="155" t="s">
        <v>345</v>
      </c>
      <c r="M75" s="235" t="s">
        <v>628</v>
      </c>
      <c r="N75" s="155" t="s">
        <v>560</v>
      </c>
    </row>
    <row r="76" spans="1:18" s="178" customFormat="1" ht="16.5" hidden="1">
      <c r="A76" s="227">
        <v>45204</v>
      </c>
      <c r="B76" s="186" t="s">
        <v>383</v>
      </c>
      <c r="C76" s="187" t="s">
        <v>75</v>
      </c>
      <c r="F76" s="186">
        <v>20000</v>
      </c>
      <c r="G76" s="206">
        <f t="shared" si="0"/>
        <v>2442183</v>
      </c>
      <c r="H76" s="186" t="s">
        <v>25</v>
      </c>
      <c r="J76" s="155"/>
      <c r="K76" s="234"/>
      <c r="L76" s="234"/>
      <c r="N76" s="155"/>
      <c r="O76" s="282"/>
    </row>
    <row r="77" spans="1:18" s="297" customFormat="1" ht="16.5">
      <c r="A77" s="227">
        <v>45204</v>
      </c>
      <c r="B77" s="186" t="s">
        <v>384</v>
      </c>
      <c r="C77" s="155" t="s">
        <v>229</v>
      </c>
      <c r="D77" s="186" t="s">
        <v>155</v>
      </c>
      <c r="E77" s="206"/>
      <c r="F77" s="206">
        <v>27000</v>
      </c>
      <c r="G77" s="206">
        <f t="shared" si="0"/>
        <v>2415183</v>
      </c>
      <c r="H77" s="155" t="s">
        <v>25</v>
      </c>
      <c r="I77" s="155" t="s">
        <v>323</v>
      </c>
      <c r="J77" s="186" t="s">
        <v>331</v>
      </c>
      <c r="K77" s="155" t="s">
        <v>198</v>
      </c>
      <c r="L77" s="155" t="s">
        <v>345</v>
      </c>
    </row>
    <row r="78" spans="1:18" s="178" customFormat="1" ht="16.5" hidden="1">
      <c r="A78" s="227">
        <v>45204</v>
      </c>
      <c r="B78" s="186" t="s">
        <v>596</v>
      </c>
      <c r="C78" s="155" t="s">
        <v>75</v>
      </c>
      <c r="E78" s="186">
        <v>400000</v>
      </c>
      <c r="G78" s="206">
        <f t="shared" ref="G78:G141" si="1">+G77+E78-F78</f>
        <v>2815183</v>
      </c>
      <c r="H78" s="186" t="s">
        <v>25</v>
      </c>
      <c r="M78" s="235"/>
      <c r="O78" s="282"/>
    </row>
    <row r="79" spans="1:18" s="178" customFormat="1" ht="16.5" hidden="1">
      <c r="A79" s="225">
        <v>45204</v>
      </c>
      <c r="B79" s="186" t="s">
        <v>385</v>
      </c>
      <c r="C79" s="155" t="s">
        <v>75</v>
      </c>
      <c r="F79" s="186">
        <v>260000</v>
      </c>
      <c r="G79" s="206">
        <f t="shared" si="1"/>
        <v>2555183</v>
      </c>
      <c r="H79" s="155" t="s">
        <v>25</v>
      </c>
      <c r="I79" s="187"/>
      <c r="M79" s="235"/>
      <c r="O79" s="196"/>
    </row>
    <row r="80" spans="1:18" s="178" customFormat="1" ht="16.5" hidden="1">
      <c r="A80" s="231">
        <v>45204</v>
      </c>
      <c r="B80" s="186" t="s">
        <v>382</v>
      </c>
      <c r="C80" s="155" t="s">
        <v>75</v>
      </c>
      <c r="D80" s="155"/>
      <c r="F80" s="186">
        <v>130000</v>
      </c>
      <c r="G80" s="206">
        <f t="shared" si="1"/>
        <v>2425183</v>
      </c>
      <c r="H80" s="155" t="s">
        <v>25</v>
      </c>
      <c r="I80" s="187"/>
      <c r="M80" s="235"/>
      <c r="N80" s="155"/>
      <c r="O80" s="282"/>
    </row>
    <row r="81" spans="1:18" s="178" customFormat="1" ht="16.5" hidden="1">
      <c r="A81" s="231">
        <v>45204</v>
      </c>
      <c r="B81" s="186" t="s">
        <v>473</v>
      </c>
      <c r="C81" s="186" t="s">
        <v>75</v>
      </c>
      <c r="E81" s="226"/>
      <c r="F81" s="186">
        <v>400000</v>
      </c>
      <c r="G81" s="206">
        <f t="shared" si="1"/>
        <v>2025183</v>
      </c>
      <c r="H81" s="234" t="s">
        <v>306</v>
      </c>
      <c r="M81" s="235"/>
      <c r="O81" s="196"/>
    </row>
    <row r="82" spans="1:18" s="178" customFormat="1" ht="16.5" hidden="1">
      <c r="A82" s="227">
        <v>45204</v>
      </c>
      <c r="B82" s="186" t="s">
        <v>477</v>
      </c>
      <c r="C82" s="186" t="s">
        <v>75</v>
      </c>
      <c r="E82" s="206">
        <v>20000</v>
      </c>
      <c r="G82" s="206">
        <f t="shared" si="1"/>
        <v>2045183</v>
      </c>
      <c r="H82" s="186" t="s">
        <v>31</v>
      </c>
      <c r="K82" s="155"/>
      <c r="L82" s="155"/>
      <c r="N82" s="155"/>
      <c r="O82" s="282"/>
    </row>
    <row r="83" spans="1:18" s="178" customFormat="1" ht="16.5" hidden="1">
      <c r="A83" s="227">
        <v>45204</v>
      </c>
      <c r="B83" s="186" t="s">
        <v>449</v>
      </c>
      <c r="C83" s="186" t="s">
        <v>75</v>
      </c>
      <c r="E83" s="186">
        <v>260000</v>
      </c>
      <c r="F83" s="243"/>
      <c r="G83" s="206">
        <f t="shared" si="1"/>
        <v>2305183</v>
      </c>
      <c r="H83" s="186" t="s">
        <v>29</v>
      </c>
      <c r="M83" s="235"/>
      <c r="O83" s="282"/>
    </row>
    <row r="84" spans="1:18" s="297" customFormat="1" ht="16.5">
      <c r="A84" s="227">
        <v>45205</v>
      </c>
      <c r="B84" s="186" t="s">
        <v>428</v>
      </c>
      <c r="C84" s="187" t="s">
        <v>3</v>
      </c>
      <c r="D84" s="186" t="s">
        <v>320</v>
      </c>
      <c r="E84" s="155"/>
      <c r="F84" s="186">
        <v>23345</v>
      </c>
      <c r="G84" s="206">
        <f t="shared" si="1"/>
        <v>2281838</v>
      </c>
      <c r="H84" s="186" t="s">
        <v>24</v>
      </c>
      <c r="I84" s="187" t="s">
        <v>325</v>
      </c>
      <c r="J84" s="186" t="s">
        <v>567</v>
      </c>
      <c r="K84" s="155" t="s">
        <v>198</v>
      </c>
      <c r="L84" s="155" t="s">
        <v>345</v>
      </c>
      <c r="M84" s="235"/>
      <c r="O84" s="155"/>
    </row>
    <row r="85" spans="1:18" s="178" customFormat="1" ht="16.5" hidden="1">
      <c r="A85" s="227">
        <v>45205</v>
      </c>
      <c r="B85" s="155" t="s">
        <v>449</v>
      </c>
      <c r="C85" s="155" t="s">
        <v>75</v>
      </c>
      <c r="E85" s="155">
        <v>130000</v>
      </c>
      <c r="F85" s="190"/>
      <c r="G85" s="206">
        <f t="shared" si="1"/>
        <v>2411838</v>
      </c>
      <c r="H85" s="186" t="s">
        <v>47</v>
      </c>
      <c r="K85" s="155"/>
      <c r="L85" s="155"/>
      <c r="N85" s="155"/>
      <c r="O85" s="196"/>
    </row>
    <row r="86" spans="1:18" s="297" customFormat="1" ht="16.5">
      <c r="A86" s="227">
        <v>45205</v>
      </c>
      <c r="B86" s="217" t="s">
        <v>492</v>
      </c>
      <c r="C86" s="186" t="s">
        <v>299</v>
      </c>
      <c r="D86" s="186" t="s">
        <v>154</v>
      </c>
      <c r="F86" s="186">
        <v>30000</v>
      </c>
      <c r="G86" s="206">
        <f t="shared" si="1"/>
        <v>2381838</v>
      </c>
      <c r="H86" s="234" t="s">
        <v>197</v>
      </c>
      <c r="I86" s="187" t="s">
        <v>323</v>
      </c>
      <c r="J86" s="297" t="s">
        <v>102</v>
      </c>
      <c r="K86" s="155" t="s">
        <v>199</v>
      </c>
      <c r="L86" s="155" t="s">
        <v>345</v>
      </c>
      <c r="M86" s="235" t="s">
        <v>629</v>
      </c>
      <c r="N86" s="155" t="s">
        <v>560</v>
      </c>
      <c r="Q86" s="226"/>
      <c r="R86" s="226"/>
    </row>
    <row r="87" spans="1:18" s="297" customFormat="1" ht="16.5">
      <c r="A87" s="227">
        <v>45205</v>
      </c>
      <c r="B87" s="155" t="s">
        <v>493</v>
      </c>
      <c r="C87" s="155" t="s">
        <v>34</v>
      </c>
      <c r="D87" s="155" t="s">
        <v>154</v>
      </c>
      <c r="E87" s="155"/>
      <c r="F87" s="186">
        <v>5000</v>
      </c>
      <c r="G87" s="206">
        <f t="shared" si="1"/>
        <v>2376838</v>
      </c>
      <c r="H87" s="186" t="s">
        <v>197</v>
      </c>
      <c r="I87" s="186" t="s">
        <v>323</v>
      </c>
      <c r="J87" s="297" t="s">
        <v>102</v>
      </c>
      <c r="K87" s="155" t="s">
        <v>199</v>
      </c>
      <c r="L87" s="155" t="s">
        <v>345</v>
      </c>
      <c r="M87" s="235" t="s">
        <v>630</v>
      </c>
      <c r="N87" s="155" t="s">
        <v>559</v>
      </c>
      <c r="O87" s="155"/>
    </row>
    <row r="88" spans="1:18" s="297" customFormat="1" ht="16.5">
      <c r="A88" s="227">
        <v>45205</v>
      </c>
      <c r="B88" s="232" t="s">
        <v>494</v>
      </c>
      <c r="C88" s="155" t="s">
        <v>34</v>
      </c>
      <c r="D88" s="186" t="s">
        <v>154</v>
      </c>
      <c r="F88" s="206">
        <v>8000</v>
      </c>
      <c r="G88" s="206">
        <f t="shared" si="1"/>
        <v>2368838</v>
      </c>
      <c r="H88" s="186" t="s">
        <v>197</v>
      </c>
      <c r="I88" s="186" t="s">
        <v>323</v>
      </c>
      <c r="J88" s="297" t="s">
        <v>102</v>
      </c>
      <c r="K88" s="155" t="s">
        <v>199</v>
      </c>
      <c r="L88" s="155" t="s">
        <v>345</v>
      </c>
      <c r="M88" s="235" t="s">
        <v>631</v>
      </c>
      <c r="N88" s="155" t="s">
        <v>559</v>
      </c>
      <c r="Q88" s="226"/>
      <c r="R88" s="226"/>
    </row>
    <row r="89" spans="1:18" s="297" customFormat="1" ht="16.5">
      <c r="A89" s="227">
        <v>45205</v>
      </c>
      <c r="B89" s="155" t="s">
        <v>575</v>
      </c>
      <c r="C89" s="155" t="s">
        <v>299</v>
      </c>
      <c r="D89" s="186" t="s">
        <v>154</v>
      </c>
      <c r="F89" s="186">
        <v>30000</v>
      </c>
      <c r="G89" s="206">
        <f t="shared" si="1"/>
        <v>2338838</v>
      </c>
      <c r="H89" s="234" t="s">
        <v>298</v>
      </c>
      <c r="I89" s="187" t="s">
        <v>322</v>
      </c>
      <c r="J89" s="297" t="s">
        <v>102</v>
      </c>
      <c r="K89" s="155" t="s">
        <v>199</v>
      </c>
      <c r="L89" s="155" t="s">
        <v>345</v>
      </c>
      <c r="M89" s="235" t="s">
        <v>632</v>
      </c>
      <c r="N89" s="155" t="s">
        <v>560</v>
      </c>
      <c r="O89" s="228"/>
      <c r="P89" s="226"/>
      <c r="Q89" s="226"/>
      <c r="R89" s="226"/>
    </row>
    <row r="90" spans="1:18" s="297" customFormat="1" ht="16.5">
      <c r="A90" s="227">
        <v>45205</v>
      </c>
      <c r="B90" s="236" t="s">
        <v>515</v>
      </c>
      <c r="C90" s="155" t="s">
        <v>34</v>
      </c>
      <c r="D90" s="155" t="s">
        <v>154</v>
      </c>
      <c r="E90" s="190"/>
      <c r="F90" s="186">
        <v>10000</v>
      </c>
      <c r="G90" s="206">
        <f t="shared" si="1"/>
        <v>2328838</v>
      </c>
      <c r="H90" s="155" t="s">
        <v>298</v>
      </c>
      <c r="I90" s="155" t="s">
        <v>322</v>
      </c>
      <c r="J90" s="297" t="s">
        <v>102</v>
      </c>
      <c r="K90" s="155" t="s">
        <v>199</v>
      </c>
      <c r="L90" s="155" t="s">
        <v>345</v>
      </c>
      <c r="M90" s="235" t="s">
        <v>633</v>
      </c>
      <c r="N90" s="155" t="s">
        <v>559</v>
      </c>
      <c r="P90" s="226"/>
      <c r="Q90" s="226"/>
      <c r="R90" s="226"/>
    </row>
    <row r="91" spans="1:18" s="178" customFormat="1" ht="16.5" hidden="1">
      <c r="A91" s="227">
        <v>45208</v>
      </c>
      <c r="B91" s="155" t="s">
        <v>385</v>
      </c>
      <c r="C91" s="155" t="s">
        <v>75</v>
      </c>
      <c r="E91" s="155"/>
      <c r="F91" s="186">
        <v>300000</v>
      </c>
      <c r="G91" s="206">
        <f t="shared" si="1"/>
        <v>2028838</v>
      </c>
      <c r="H91" s="155" t="s">
        <v>25</v>
      </c>
      <c r="M91" s="235"/>
      <c r="O91" s="196"/>
      <c r="P91" s="226"/>
      <c r="Q91" s="226"/>
      <c r="R91" s="226"/>
    </row>
    <row r="92" spans="1:18" s="178" customFormat="1" ht="16.5" hidden="1">
      <c r="A92" s="227">
        <v>45208</v>
      </c>
      <c r="B92" s="155" t="s">
        <v>383</v>
      </c>
      <c r="C92" s="155" t="s">
        <v>75</v>
      </c>
      <c r="D92" s="155"/>
      <c r="E92" s="155"/>
      <c r="F92" s="230">
        <v>35000</v>
      </c>
      <c r="G92" s="206">
        <f t="shared" si="1"/>
        <v>1993838</v>
      </c>
      <c r="H92" s="155" t="s">
        <v>25</v>
      </c>
      <c r="M92" s="235"/>
      <c r="N92" s="155"/>
      <c r="O92" s="196"/>
      <c r="P92" s="226"/>
      <c r="Q92" s="226"/>
      <c r="R92" s="226"/>
    </row>
    <row r="93" spans="1:18" s="297" customFormat="1" ht="16.5">
      <c r="A93" s="227">
        <v>45208</v>
      </c>
      <c r="B93" s="155" t="s">
        <v>550</v>
      </c>
      <c r="C93" s="206" t="s">
        <v>313</v>
      </c>
      <c r="D93" s="206" t="s">
        <v>154</v>
      </c>
      <c r="E93" s="155"/>
      <c r="F93" s="186">
        <v>200000</v>
      </c>
      <c r="G93" s="206">
        <f t="shared" si="1"/>
        <v>1793838</v>
      </c>
      <c r="H93" s="186" t="s">
        <v>24</v>
      </c>
      <c r="I93" s="155">
        <v>3654573</v>
      </c>
      <c r="J93" s="186" t="s">
        <v>567</v>
      </c>
      <c r="K93" s="155" t="s">
        <v>198</v>
      </c>
      <c r="L93" s="155" t="s">
        <v>345</v>
      </c>
      <c r="M93" s="235"/>
      <c r="N93" s="155"/>
      <c r="P93" s="226"/>
      <c r="Q93" s="226"/>
      <c r="R93" s="226"/>
    </row>
    <row r="94" spans="1:18" s="297" customFormat="1" ht="16.5">
      <c r="A94" s="227">
        <v>45208</v>
      </c>
      <c r="B94" s="155" t="s">
        <v>551</v>
      </c>
      <c r="C94" s="218" t="s">
        <v>313</v>
      </c>
      <c r="D94" s="218" t="s">
        <v>154</v>
      </c>
      <c r="E94" s="234"/>
      <c r="F94" s="186">
        <v>200000</v>
      </c>
      <c r="G94" s="206">
        <f t="shared" si="1"/>
        <v>1593838</v>
      </c>
      <c r="H94" s="186" t="s">
        <v>24</v>
      </c>
      <c r="I94" s="155">
        <v>3654574</v>
      </c>
      <c r="J94" s="186" t="s">
        <v>567</v>
      </c>
      <c r="K94" s="155" t="s">
        <v>198</v>
      </c>
      <c r="L94" s="155" t="s">
        <v>345</v>
      </c>
      <c r="P94" s="228"/>
      <c r="Q94" s="226"/>
      <c r="R94" s="226"/>
    </row>
    <row r="95" spans="1:18" s="297" customFormat="1" ht="16.5">
      <c r="A95" s="227">
        <v>45208</v>
      </c>
      <c r="B95" s="155" t="s">
        <v>552</v>
      </c>
      <c r="C95" s="155" t="s">
        <v>313</v>
      </c>
      <c r="D95" s="190" t="s">
        <v>154</v>
      </c>
      <c r="E95" s="155"/>
      <c r="F95" s="186">
        <v>200000</v>
      </c>
      <c r="G95" s="206">
        <f t="shared" si="1"/>
        <v>1393838</v>
      </c>
      <c r="H95" s="186" t="s">
        <v>24</v>
      </c>
      <c r="I95" s="155">
        <v>3654575</v>
      </c>
      <c r="J95" s="186" t="s">
        <v>567</v>
      </c>
      <c r="K95" s="155" t="s">
        <v>198</v>
      </c>
      <c r="L95" s="155" t="s">
        <v>345</v>
      </c>
      <c r="M95" s="235"/>
      <c r="N95" s="155"/>
      <c r="O95" s="155"/>
      <c r="P95" s="228"/>
      <c r="Q95" s="226"/>
      <c r="R95" s="226"/>
    </row>
    <row r="96" spans="1:18" s="178" customFormat="1" ht="16.5" hidden="1">
      <c r="A96" s="225">
        <v>45208</v>
      </c>
      <c r="B96" s="186" t="s">
        <v>460</v>
      </c>
      <c r="C96" s="187" t="s">
        <v>75</v>
      </c>
      <c r="E96" s="186">
        <v>20000</v>
      </c>
      <c r="F96" s="239"/>
      <c r="G96" s="206">
        <f t="shared" si="1"/>
        <v>1413838</v>
      </c>
      <c r="H96" s="186" t="s">
        <v>297</v>
      </c>
      <c r="I96" s="155"/>
      <c r="K96" s="155"/>
      <c r="L96" s="155"/>
      <c r="O96" s="282"/>
    </row>
    <row r="97" spans="1:18" s="178" customFormat="1" ht="16.5" hidden="1">
      <c r="A97" s="227">
        <v>45208</v>
      </c>
      <c r="B97" s="186" t="s">
        <v>478</v>
      </c>
      <c r="C97" s="187" t="s">
        <v>75</v>
      </c>
      <c r="E97" s="178">
        <v>35000</v>
      </c>
      <c r="F97" s="243"/>
      <c r="G97" s="206">
        <f t="shared" si="1"/>
        <v>1448838</v>
      </c>
      <c r="H97" s="186" t="s">
        <v>31</v>
      </c>
      <c r="O97" s="282"/>
    </row>
    <row r="98" spans="1:18" s="178" customFormat="1" ht="16.5" hidden="1">
      <c r="A98" s="227">
        <v>45208</v>
      </c>
      <c r="B98" s="186" t="s">
        <v>449</v>
      </c>
      <c r="C98" s="186" t="s">
        <v>75</v>
      </c>
      <c r="E98" s="186">
        <v>300000</v>
      </c>
      <c r="F98" s="243"/>
      <c r="G98" s="206">
        <f t="shared" si="1"/>
        <v>1748838</v>
      </c>
      <c r="H98" s="186" t="s">
        <v>29</v>
      </c>
      <c r="M98" s="235"/>
      <c r="N98" s="155"/>
      <c r="O98" s="282"/>
    </row>
    <row r="99" spans="1:18" s="178" customFormat="1" ht="16.5" hidden="1">
      <c r="A99" s="231">
        <v>45208</v>
      </c>
      <c r="B99" s="186" t="s">
        <v>526</v>
      </c>
      <c r="C99" s="155" t="s">
        <v>75</v>
      </c>
      <c r="D99" s="155"/>
      <c r="F99" s="186">
        <v>20000</v>
      </c>
      <c r="G99" s="206">
        <f t="shared" si="1"/>
        <v>1728838</v>
      </c>
      <c r="H99" s="186" t="s">
        <v>29</v>
      </c>
      <c r="I99" s="155"/>
      <c r="M99" s="235"/>
      <c r="N99" s="155"/>
      <c r="O99" s="282"/>
    </row>
    <row r="100" spans="1:18" s="297" customFormat="1" ht="16.5">
      <c r="A100" s="227">
        <v>45209</v>
      </c>
      <c r="B100" s="186" t="s">
        <v>430</v>
      </c>
      <c r="C100" s="206" t="s">
        <v>313</v>
      </c>
      <c r="D100" s="206" t="s">
        <v>154</v>
      </c>
      <c r="F100" s="186">
        <v>150000</v>
      </c>
      <c r="G100" s="206">
        <f t="shared" si="1"/>
        <v>1578838</v>
      </c>
      <c r="H100" s="186" t="s">
        <v>24</v>
      </c>
      <c r="I100" s="155">
        <v>3654572</v>
      </c>
      <c r="J100" s="186" t="s">
        <v>567</v>
      </c>
      <c r="K100" s="155" t="s">
        <v>198</v>
      </c>
      <c r="L100" s="155" t="s">
        <v>345</v>
      </c>
      <c r="N100" s="155"/>
    </row>
    <row r="101" spans="1:18" s="297" customFormat="1" ht="16.5">
      <c r="A101" s="227">
        <v>45209</v>
      </c>
      <c r="B101" s="186" t="s">
        <v>450</v>
      </c>
      <c r="C101" s="155" t="s">
        <v>299</v>
      </c>
      <c r="D101" s="186" t="s">
        <v>339</v>
      </c>
      <c r="F101" s="186">
        <v>130000</v>
      </c>
      <c r="G101" s="206">
        <f t="shared" si="1"/>
        <v>1448838</v>
      </c>
      <c r="H101" s="186" t="s">
        <v>47</v>
      </c>
      <c r="I101" s="186" t="s">
        <v>323</v>
      </c>
      <c r="J101" s="186" t="s">
        <v>567</v>
      </c>
      <c r="K101" s="155" t="s">
        <v>198</v>
      </c>
      <c r="L101" s="155" t="s">
        <v>345</v>
      </c>
      <c r="N101" s="155"/>
    </row>
    <row r="102" spans="1:18" s="178" customFormat="1" ht="16.5" hidden="1">
      <c r="A102" s="225">
        <v>45209</v>
      </c>
      <c r="B102" s="186" t="s">
        <v>451</v>
      </c>
      <c r="C102" s="155" t="s">
        <v>75</v>
      </c>
      <c r="E102" s="186">
        <v>270000</v>
      </c>
      <c r="F102" s="243"/>
      <c r="G102" s="206">
        <f t="shared" si="1"/>
        <v>1718838</v>
      </c>
      <c r="H102" s="186" t="s">
        <v>47</v>
      </c>
      <c r="J102" s="155"/>
      <c r="O102" s="282"/>
      <c r="P102" s="228"/>
      <c r="Q102" s="226"/>
      <c r="R102" s="226"/>
    </row>
    <row r="103" spans="1:18" s="297" customFormat="1" ht="16.5">
      <c r="A103" s="225">
        <v>45209</v>
      </c>
      <c r="B103" s="186" t="s">
        <v>452</v>
      </c>
      <c r="C103" s="186" t="s">
        <v>299</v>
      </c>
      <c r="D103" s="186" t="s">
        <v>339</v>
      </c>
      <c r="F103" s="186">
        <v>7500</v>
      </c>
      <c r="G103" s="206">
        <f t="shared" si="1"/>
        <v>1711338</v>
      </c>
      <c r="H103" s="186" t="s">
        <v>47</v>
      </c>
      <c r="I103" s="245" t="s">
        <v>323</v>
      </c>
      <c r="J103" s="186" t="s">
        <v>567</v>
      </c>
      <c r="K103" s="155" t="s">
        <v>198</v>
      </c>
      <c r="L103" s="155" t="s">
        <v>345</v>
      </c>
      <c r="N103" s="155"/>
      <c r="P103" s="228"/>
      <c r="Q103" s="226"/>
      <c r="R103" s="226"/>
    </row>
    <row r="104" spans="1:18" s="297" customFormat="1" ht="16.5">
      <c r="A104" s="225">
        <v>45209</v>
      </c>
      <c r="B104" s="186" t="s">
        <v>453</v>
      </c>
      <c r="C104" s="186" t="s">
        <v>229</v>
      </c>
      <c r="D104" s="186" t="s">
        <v>339</v>
      </c>
      <c r="F104" s="186">
        <v>160000</v>
      </c>
      <c r="G104" s="206">
        <f t="shared" si="1"/>
        <v>1551338</v>
      </c>
      <c r="H104" s="186" t="s">
        <v>47</v>
      </c>
      <c r="I104" s="155" t="s">
        <v>323</v>
      </c>
      <c r="J104" s="186" t="s">
        <v>567</v>
      </c>
      <c r="K104" s="155" t="s">
        <v>198</v>
      </c>
      <c r="L104" s="155" t="s">
        <v>345</v>
      </c>
      <c r="N104" s="155"/>
      <c r="O104" s="155"/>
      <c r="Q104" s="226"/>
      <c r="R104" s="226"/>
    </row>
    <row r="105" spans="1:18" s="297" customFormat="1" ht="16.5">
      <c r="A105" s="227">
        <v>45209</v>
      </c>
      <c r="B105" s="217" t="s">
        <v>454</v>
      </c>
      <c r="C105" s="186" t="s">
        <v>229</v>
      </c>
      <c r="D105" s="239" t="s">
        <v>339</v>
      </c>
      <c r="F105" s="186">
        <v>10000</v>
      </c>
      <c r="G105" s="206">
        <f t="shared" si="1"/>
        <v>1541338</v>
      </c>
      <c r="H105" s="234" t="s">
        <v>47</v>
      </c>
      <c r="I105" s="187" t="s">
        <v>323</v>
      </c>
      <c r="J105" s="186" t="s">
        <v>567</v>
      </c>
      <c r="K105" s="155" t="s">
        <v>198</v>
      </c>
      <c r="L105" s="155" t="s">
        <v>345</v>
      </c>
      <c r="N105" s="155"/>
      <c r="P105" s="228"/>
      <c r="Q105" s="226"/>
      <c r="R105" s="226"/>
    </row>
    <row r="106" spans="1:18" s="297" customFormat="1" ht="16.5">
      <c r="A106" s="227">
        <v>45209</v>
      </c>
      <c r="B106" s="186" t="s">
        <v>461</v>
      </c>
      <c r="C106" s="155" t="s">
        <v>299</v>
      </c>
      <c r="D106" s="186" t="s">
        <v>339</v>
      </c>
      <c r="E106" s="206"/>
      <c r="F106" s="206">
        <v>7000</v>
      </c>
      <c r="G106" s="206">
        <f t="shared" si="1"/>
        <v>1534338</v>
      </c>
      <c r="H106" s="186" t="s">
        <v>297</v>
      </c>
      <c r="I106" s="186" t="s">
        <v>322</v>
      </c>
      <c r="J106" s="186" t="s">
        <v>567</v>
      </c>
      <c r="K106" s="155" t="s">
        <v>198</v>
      </c>
      <c r="L106" s="155" t="s">
        <v>345</v>
      </c>
      <c r="M106" s="235"/>
      <c r="N106" s="155"/>
    </row>
    <row r="107" spans="1:18" s="297" customFormat="1" ht="16.5">
      <c r="A107" s="227">
        <v>45209</v>
      </c>
      <c r="B107" s="232" t="s">
        <v>479</v>
      </c>
      <c r="C107" s="155" t="s">
        <v>34</v>
      </c>
      <c r="D107" s="186" t="s">
        <v>480</v>
      </c>
      <c r="E107" s="190"/>
      <c r="F107" s="206">
        <v>25000</v>
      </c>
      <c r="G107" s="206">
        <f t="shared" si="1"/>
        <v>1509338</v>
      </c>
      <c r="H107" s="226" t="s">
        <v>31</v>
      </c>
      <c r="I107" s="186" t="s">
        <v>322</v>
      </c>
      <c r="J107" s="297" t="s">
        <v>331</v>
      </c>
      <c r="K107" s="155" t="s">
        <v>198</v>
      </c>
      <c r="L107" s="155" t="s">
        <v>345</v>
      </c>
      <c r="N107" s="155"/>
    </row>
    <row r="108" spans="1:18" s="297" customFormat="1" ht="16.5">
      <c r="A108" s="231">
        <v>45209</v>
      </c>
      <c r="B108" s="186" t="s">
        <v>481</v>
      </c>
      <c r="C108" s="244" t="s">
        <v>299</v>
      </c>
      <c r="D108" s="186" t="s">
        <v>339</v>
      </c>
      <c r="F108" s="240">
        <v>10000</v>
      </c>
      <c r="G108" s="206">
        <f t="shared" si="1"/>
        <v>1499338</v>
      </c>
      <c r="H108" s="238" t="s">
        <v>31</v>
      </c>
      <c r="I108" s="186" t="s">
        <v>322</v>
      </c>
      <c r="J108" s="186" t="s">
        <v>567</v>
      </c>
      <c r="K108" s="155" t="s">
        <v>198</v>
      </c>
      <c r="L108" s="155" t="s">
        <v>345</v>
      </c>
      <c r="M108" s="235"/>
    </row>
    <row r="109" spans="1:18" s="297" customFormat="1" ht="16.5">
      <c r="A109" s="231">
        <v>45209</v>
      </c>
      <c r="B109" s="236" t="s">
        <v>343</v>
      </c>
      <c r="C109" s="155" t="s">
        <v>299</v>
      </c>
      <c r="D109" s="186" t="s">
        <v>339</v>
      </c>
      <c r="E109" s="246"/>
      <c r="F109" s="230">
        <v>4200</v>
      </c>
      <c r="G109" s="206">
        <f t="shared" si="1"/>
        <v>1495138</v>
      </c>
      <c r="H109" s="186" t="s">
        <v>197</v>
      </c>
      <c r="I109" s="155" t="s">
        <v>323</v>
      </c>
      <c r="J109" s="186" t="s">
        <v>567</v>
      </c>
      <c r="K109" s="155" t="s">
        <v>198</v>
      </c>
      <c r="L109" s="155" t="s">
        <v>345</v>
      </c>
      <c r="M109" s="235"/>
      <c r="N109" s="155"/>
    </row>
    <row r="110" spans="1:18" s="297" customFormat="1" ht="16.5">
      <c r="A110" s="227">
        <v>45209</v>
      </c>
      <c r="B110" s="186" t="s">
        <v>516</v>
      </c>
      <c r="C110" s="155" t="s">
        <v>299</v>
      </c>
      <c r="D110" s="186" t="s">
        <v>339</v>
      </c>
      <c r="E110" s="243"/>
      <c r="F110" s="243">
        <v>4400</v>
      </c>
      <c r="G110" s="206">
        <f t="shared" si="1"/>
        <v>1490738</v>
      </c>
      <c r="H110" s="186" t="s">
        <v>298</v>
      </c>
      <c r="I110" s="155" t="s">
        <v>322</v>
      </c>
      <c r="J110" s="186" t="s">
        <v>567</v>
      </c>
      <c r="K110" s="155" t="s">
        <v>198</v>
      </c>
      <c r="L110" s="155" t="s">
        <v>345</v>
      </c>
      <c r="N110" s="155"/>
    </row>
    <row r="111" spans="1:18" s="178" customFormat="1" ht="16.5" hidden="1">
      <c r="A111" s="229">
        <v>45209</v>
      </c>
      <c r="B111" s="232" t="s">
        <v>527</v>
      </c>
      <c r="C111" s="155" t="s">
        <v>75</v>
      </c>
      <c r="F111" s="210">
        <v>270000</v>
      </c>
      <c r="G111" s="206">
        <f t="shared" si="1"/>
        <v>1220738</v>
      </c>
      <c r="H111" s="186" t="s">
        <v>29</v>
      </c>
      <c r="K111" s="155"/>
      <c r="L111" s="155"/>
      <c r="O111" s="282"/>
    </row>
    <row r="112" spans="1:18" s="297" customFormat="1" ht="16.5">
      <c r="A112" s="227">
        <v>45210</v>
      </c>
      <c r="B112" s="186" t="s">
        <v>455</v>
      </c>
      <c r="C112" s="155" t="s">
        <v>299</v>
      </c>
      <c r="D112" s="155" t="s">
        <v>339</v>
      </c>
      <c r="F112" s="186">
        <v>125000</v>
      </c>
      <c r="G112" s="206">
        <f t="shared" si="1"/>
        <v>1095738</v>
      </c>
      <c r="H112" s="234" t="s">
        <v>47</v>
      </c>
      <c r="I112" s="187" t="s">
        <v>323</v>
      </c>
      <c r="J112" s="186" t="s">
        <v>567</v>
      </c>
      <c r="K112" s="155" t="s">
        <v>198</v>
      </c>
      <c r="L112" s="155" t="s">
        <v>345</v>
      </c>
      <c r="N112" s="155"/>
    </row>
    <row r="113" spans="1:15" s="297" customFormat="1" ht="16.5">
      <c r="A113" s="227">
        <v>45210</v>
      </c>
      <c r="B113" s="186" t="s">
        <v>528</v>
      </c>
      <c r="C113" s="155" t="s">
        <v>299</v>
      </c>
      <c r="D113" s="186" t="s">
        <v>339</v>
      </c>
      <c r="E113" s="206"/>
      <c r="F113" s="210">
        <v>260000</v>
      </c>
      <c r="G113" s="206">
        <f t="shared" si="1"/>
        <v>835738</v>
      </c>
      <c r="H113" s="186" t="s">
        <v>29</v>
      </c>
      <c r="I113" s="186" t="s">
        <v>322</v>
      </c>
      <c r="J113" s="186" t="s">
        <v>567</v>
      </c>
      <c r="K113" s="155" t="s">
        <v>198</v>
      </c>
      <c r="L113" s="155" t="s">
        <v>345</v>
      </c>
      <c r="N113" s="155"/>
    </row>
    <row r="114" spans="1:15" s="297" customFormat="1" ht="16.5">
      <c r="A114" s="227">
        <v>45212</v>
      </c>
      <c r="B114" s="186" t="s">
        <v>702</v>
      </c>
      <c r="C114" s="206" t="s">
        <v>431</v>
      </c>
      <c r="D114" s="206"/>
      <c r="E114" s="155">
        <f>17814165-3265930.25</f>
        <v>14548234.75</v>
      </c>
      <c r="G114" s="206">
        <f t="shared" si="1"/>
        <v>15383972.75</v>
      </c>
      <c r="H114" s="186" t="s">
        <v>24</v>
      </c>
      <c r="I114" s="230" t="s">
        <v>325</v>
      </c>
      <c r="J114" s="186" t="s">
        <v>567</v>
      </c>
      <c r="K114" s="155"/>
      <c r="L114" s="155"/>
      <c r="N114" s="155"/>
    </row>
    <row r="115" spans="1:15" s="297" customFormat="1" ht="16.5">
      <c r="A115" s="227">
        <v>45212</v>
      </c>
      <c r="B115" s="186" t="s">
        <v>703</v>
      </c>
      <c r="C115" s="206" t="s">
        <v>431</v>
      </c>
      <c r="D115" s="206"/>
      <c r="E115" s="155">
        <f>5500*593.8055</f>
        <v>3265930.2500000005</v>
      </c>
      <c r="G115" s="206">
        <f t="shared" si="1"/>
        <v>18649903</v>
      </c>
      <c r="H115" s="186" t="s">
        <v>24</v>
      </c>
      <c r="I115" s="230" t="s">
        <v>325</v>
      </c>
      <c r="J115" s="297" t="s">
        <v>352</v>
      </c>
      <c r="K115" s="155" t="s">
        <v>198</v>
      </c>
      <c r="L115" s="155" t="s">
        <v>345</v>
      </c>
      <c r="N115" s="155"/>
    </row>
    <row r="116" spans="1:15" s="178" customFormat="1" ht="16.5" hidden="1">
      <c r="A116" s="227">
        <v>45215</v>
      </c>
      <c r="B116" s="236" t="s">
        <v>386</v>
      </c>
      <c r="C116" s="155" t="s">
        <v>75</v>
      </c>
      <c r="D116" s="155"/>
      <c r="E116" s="226">
        <v>2000000</v>
      </c>
      <c r="G116" s="206">
        <f t="shared" si="1"/>
        <v>20649903</v>
      </c>
      <c r="H116" s="155" t="s">
        <v>25</v>
      </c>
      <c r="M116" s="235"/>
      <c r="N116" s="155"/>
      <c r="O116" s="282"/>
    </row>
    <row r="117" spans="1:15" s="178" customFormat="1" ht="16.5" hidden="1">
      <c r="A117" s="227">
        <v>45215</v>
      </c>
      <c r="B117" s="186" t="s">
        <v>595</v>
      </c>
      <c r="C117" s="186" t="s">
        <v>75</v>
      </c>
      <c r="E117" s="206"/>
      <c r="F117" s="217">
        <v>400000</v>
      </c>
      <c r="G117" s="206">
        <f t="shared" si="1"/>
        <v>20249903</v>
      </c>
      <c r="H117" s="186" t="s">
        <v>25</v>
      </c>
      <c r="M117" s="235"/>
      <c r="N117" s="155"/>
      <c r="O117" s="282"/>
    </row>
    <row r="118" spans="1:15" s="178" customFormat="1" ht="16.5" hidden="1">
      <c r="A118" s="227">
        <v>45215</v>
      </c>
      <c r="B118" s="186" t="s">
        <v>383</v>
      </c>
      <c r="C118" s="232" t="s">
        <v>75</v>
      </c>
      <c r="E118" s="206"/>
      <c r="F118" s="217">
        <v>15000</v>
      </c>
      <c r="G118" s="206">
        <f t="shared" si="1"/>
        <v>20234903</v>
      </c>
      <c r="H118" s="186" t="s">
        <v>25</v>
      </c>
      <c r="M118" s="235"/>
      <c r="O118" s="282"/>
    </row>
    <row r="119" spans="1:15" s="178" customFormat="1" ht="16.5" hidden="1">
      <c r="A119" s="227">
        <v>45215</v>
      </c>
      <c r="B119" s="155" t="s">
        <v>385</v>
      </c>
      <c r="C119" s="155" t="s">
        <v>75</v>
      </c>
      <c r="E119" s="155"/>
      <c r="F119" s="155">
        <v>190000</v>
      </c>
      <c r="G119" s="206">
        <f t="shared" si="1"/>
        <v>20044903</v>
      </c>
      <c r="H119" s="155" t="s">
        <v>25</v>
      </c>
      <c r="I119" s="155"/>
      <c r="M119" s="235"/>
      <c r="O119" s="196"/>
    </row>
    <row r="120" spans="1:15" s="178" customFormat="1" ht="16.5" hidden="1">
      <c r="A120" s="227">
        <v>45215</v>
      </c>
      <c r="B120" s="186" t="s">
        <v>387</v>
      </c>
      <c r="C120" s="186" t="s">
        <v>75</v>
      </c>
      <c r="F120" s="243">
        <v>190000</v>
      </c>
      <c r="G120" s="206">
        <f t="shared" si="1"/>
        <v>19854903</v>
      </c>
      <c r="H120" s="186" t="s">
        <v>25</v>
      </c>
      <c r="M120" s="235"/>
      <c r="O120" s="282"/>
    </row>
    <row r="121" spans="1:15" s="178" customFormat="1" ht="16.5" hidden="1">
      <c r="A121" s="227">
        <v>45215</v>
      </c>
      <c r="B121" s="186" t="s">
        <v>388</v>
      </c>
      <c r="C121" s="186" t="s">
        <v>75</v>
      </c>
      <c r="F121" s="243">
        <v>115000</v>
      </c>
      <c r="G121" s="206">
        <f t="shared" si="1"/>
        <v>19739903</v>
      </c>
      <c r="H121" s="186" t="s">
        <v>25</v>
      </c>
      <c r="M121" s="235"/>
      <c r="N121" s="155"/>
      <c r="O121" s="282"/>
    </row>
    <row r="122" spans="1:15" s="178" customFormat="1" ht="16.5" hidden="1">
      <c r="A122" s="227">
        <v>45215</v>
      </c>
      <c r="B122" s="186" t="s">
        <v>594</v>
      </c>
      <c r="C122" s="155" t="s">
        <v>75</v>
      </c>
      <c r="D122" s="155"/>
      <c r="F122" s="186">
        <v>30000</v>
      </c>
      <c r="G122" s="206">
        <f t="shared" si="1"/>
        <v>19709903</v>
      </c>
      <c r="H122" s="155" t="s">
        <v>25</v>
      </c>
      <c r="I122" s="187"/>
      <c r="K122" s="155"/>
      <c r="M122" s="235"/>
      <c r="N122" s="155"/>
      <c r="O122" s="196"/>
    </row>
    <row r="123" spans="1:15" s="178" customFormat="1" ht="16.5" hidden="1">
      <c r="A123" s="229">
        <v>45215</v>
      </c>
      <c r="B123" s="232" t="s">
        <v>390</v>
      </c>
      <c r="C123" s="155" t="s">
        <v>75</v>
      </c>
      <c r="F123" s="217">
        <v>30000</v>
      </c>
      <c r="G123" s="206">
        <f t="shared" si="1"/>
        <v>19679903</v>
      </c>
      <c r="H123" s="186" t="s">
        <v>25</v>
      </c>
      <c r="I123" s="187"/>
      <c r="K123" s="155"/>
      <c r="L123" s="155"/>
      <c r="N123" s="155"/>
      <c r="O123" s="282"/>
    </row>
    <row r="124" spans="1:15" s="178" customFormat="1" ht="16.5" hidden="1">
      <c r="A124" s="225">
        <v>45215</v>
      </c>
      <c r="B124" s="186" t="s">
        <v>391</v>
      </c>
      <c r="C124" s="155" t="s">
        <v>75</v>
      </c>
      <c r="F124" s="186">
        <v>20000</v>
      </c>
      <c r="G124" s="206">
        <f t="shared" si="1"/>
        <v>19659903</v>
      </c>
      <c r="H124" s="186" t="s">
        <v>25</v>
      </c>
      <c r="J124" s="155"/>
      <c r="K124" s="155"/>
      <c r="L124" s="155"/>
      <c r="N124" s="155"/>
      <c r="O124" s="282"/>
    </row>
    <row r="125" spans="1:15" s="178" customFormat="1" ht="16.5" hidden="1">
      <c r="A125" s="227">
        <v>45215</v>
      </c>
      <c r="B125" s="186" t="s">
        <v>392</v>
      </c>
      <c r="C125" s="155" t="s">
        <v>75</v>
      </c>
      <c r="F125" s="186">
        <v>20000</v>
      </c>
      <c r="G125" s="206">
        <f t="shared" si="1"/>
        <v>19639903</v>
      </c>
      <c r="H125" s="155" t="s">
        <v>25</v>
      </c>
      <c r="K125" s="155"/>
      <c r="L125" s="155"/>
      <c r="N125" s="155"/>
      <c r="O125" s="282"/>
    </row>
    <row r="126" spans="1:15" s="178" customFormat="1" ht="16.5" hidden="1">
      <c r="A126" s="227">
        <v>45215</v>
      </c>
      <c r="B126" s="238" t="s">
        <v>393</v>
      </c>
      <c r="C126" s="155" t="s">
        <v>75</v>
      </c>
      <c r="D126" s="155"/>
      <c r="E126" s="239"/>
      <c r="F126" s="240">
        <v>20000</v>
      </c>
      <c r="G126" s="206">
        <f t="shared" si="1"/>
        <v>19619903</v>
      </c>
      <c r="H126" s="241" t="s">
        <v>25</v>
      </c>
      <c r="K126" s="155"/>
      <c r="L126" s="155"/>
      <c r="O126" s="282"/>
    </row>
    <row r="127" spans="1:15" s="297" customFormat="1" ht="16.5">
      <c r="A127" s="225">
        <v>45215</v>
      </c>
      <c r="B127" s="186" t="s">
        <v>394</v>
      </c>
      <c r="C127" s="155" t="s">
        <v>171</v>
      </c>
      <c r="D127" s="155" t="s">
        <v>2</v>
      </c>
      <c r="E127" s="206"/>
      <c r="F127" s="206">
        <v>15000</v>
      </c>
      <c r="G127" s="206">
        <f t="shared" si="1"/>
        <v>19604903</v>
      </c>
      <c r="H127" s="186" t="s">
        <v>25</v>
      </c>
      <c r="I127" s="186" t="s">
        <v>323</v>
      </c>
      <c r="J127" s="297" t="s">
        <v>567</v>
      </c>
      <c r="K127" s="155" t="s">
        <v>199</v>
      </c>
      <c r="L127" s="155" t="s">
        <v>345</v>
      </c>
      <c r="M127" s="235" t="s">
        <v>634</v>
      </c>
      <c r="N127" s="155" t="s">
        <v>558</v>
      </c>
    </row>
    <row r="128" spans="1:15" s="297" customFormat="1" ht="16.5">
      <c r="A128" s="227">
        <v>45215</v>
      </c>
      <c r="B128" s="186" t="s">
        <v>395</v>
      </c>
      <c r="C128" s="155" t="s">
        <v>171</v>
      </c>
      <c r="D128" s="155" t="s">
        <v>154</v>
      </c>
      <c r="F128" s="186">
        <v>30000</v>
      </c>
      <c r="G128" s="206">
        <f t="shared" si="1"/>
        <v>19574903</v>
      </c>
      <c r="H128" s="234" t="s">
        <v>25</v>
      </c>
      <c r="I128" s="155" t="s">
        <v>323</v>
      </c>
      <c r="J128" s="297" t="s">
        <v>567</v>
      </c>
      <c r="K128" s="155" t="s">
        <v>199</v>
      </c>
      <c r="L128" s="155" t="s">
        <v>345</v>
      </c>
      <c r="M128" s="235" t="s">
        <v>635</v>
      </c>
      <c r="N128" s="155" t="s">
        <v>558</v>
      </c>
    </row>
    <row r="129" spans="1:15" s="297" customFormat="1" ht="16.5">
      <c r="A129" s="227">
        <v>45215</v>
      </c>
      <c r="B129" s="217" t="s">
        <v>396</v>
      </c>
      <c r="C129" s="155" t="s">
        <v>171</v>
      </c>
      <c r="D129" s="186" t="s">
        <v>4</v>
      </c>
      <c r="F129" s="288">
        <v>25000</v>
      </c>
      <c r="G129" s="206">
        <f t="shared" si="1"/>
        <v>19549903</v>
      </c>
      <c r="H129" s="186" t="s">
        <v>25</v>
      </c>
      <c r="I129" s="186" t="s">
        <v>323</v>
      </c>
      <c r="J129" s="297" t="s">
        <v>331</v>
      </c>
      <c r="K129" s="155" t="s">
        <v>199</v>
      </c>
      <c r="L129" s="155" t="s">
        <v>345</v>
      </c>
      <c r="M129" s="235" t="s">
        <v>636</v>
      </c>
      <c r="N129" s="155" t="s">
        <v>558</v>
      </c>
    </row>
    <row r="130" spans="1:15" s="297" customFormat="1" ht="16.5">
      <c r="A130" s="227">
        <v>45215</v>
      </c>
      <c r="B130" s="155" t="s">
        <v>397</v>
      </c>
      <c r="C130" s="155" t="s">
        <v>171</v>
      </c>
      <c r="D130" s="186" t="s">
        <v>4</v>
      </c>
      <c r="E130" s="155"/>
      <c r="F130" s="287">
        <v>15000</v>
      </c>
      <c r="G130" s="206">
        <f t="shared" si="1"/>
        <v>19534903</v>
      </c>
      <c r="H130" s="186" t="s">
        <v>25</v>
      </c>
      <c r="I130" s="186" t="s">
        <v>323</v>
      </c>
      <c r="J130" s="297" t="s">
        <v>331</v>
      </c>
      <c r="K130" s="155" t="s">
        <v>198</v>
      </c>
      <c r="L130" s="155" t="s">
        <v>345</v>
      </c>
      <c r="N130" s="155"/>
      <c r="O130" s="155"/>
    </row>
    <row r="131" spans="1:15" s="297" customFormat="1" ht="16.5">
      <c r="A131" s="227">
        <v>45215</v>
      </c>
      <c r="B131" s="232" t="s">
        <v>398</v>
      </c>
      <c r="C131" s="155" t="s">
        <v>171</v>
      </c>
      <c r="D131" s="186" t="s">
        <v>155</v>
      </c>
      <c r="F131" s="206">
        <v>10000</v>
      </c>
      <c r="G131" s="206">
        <f t="shared" si="1"/>
        <v>19524903</v>
      </c>
      <c r="H131" s="190" t="s">
        <v>25</v>
      </c>
      <c r="I131" s="186" t="s">
        <v>323</v>
      </c>
      <c r="J131" s="297" t="s">
        <v>567</v>
      </c>
      <c r="K131" s="155" t="s">
        <v>199</v>
      </c>
      <c r="L131" s="155" t="s">
        <v>345</v>
      </c>
      <c r="M131" s="235" t="s">
        <v>637</v>
      </c>
      <c r="N131" s="155" t="s">
        <v>558</v>
      </c>
    </row>
    <row r="132" spans="1:15" s="297" customFormat="1" ht="16.5">
      <c r="A132" s="227">
        <v>45215</v>
      </c>
      <c r="B132" s="186" t="s">
        <v>399</v>
      </c>
      <c r="C132" s="155" t="s">
        <v>171</v>
      </c>
      <c r="D132" s="186" t="s">
        <v>2</v>
      </c>
      <c r="F132" s="239">
        <v>10000</v>
      </c>
      <c r="G132" s="206">
        <f t="shared" si="1"/>
        <v>19514903</v>
      </c>
      <c r="H132" s="186" t="s">
        <v>25</v>
      </c>
      <c r="I132" s="186" t="s">
        <v>323</v>
      </c>
      <c r="J132" s="297" t="s">
        <v>567</v>
      </c>
      <c r="K132" s="155" t="s">
        <v>199</v>
      </c>
      <c r="L132" s="155" t="s">
        <v>345</v>
      </c>
      <c r="M132" s="235" t="s">
        <v>638</v>
      </c>
      <c r="N132" s="155" t="s">
        <v>558</v>
      </c>
    </row>
    <row r="133" spans="1:15" s="297" customFormat="1" ht="16.5">
      <c r="A133" s="225">
        <v>45215</v>
      </c>
      <c r="B133" s="155" t="s">
        <v>400</v>
      </c>
      <c r="C133" s="186" t="s">
        <v>171</v>
      </c>
      <c r="D133" s="186" t="s">
        <v>154</v>
      </c>
      <c r="E133" s="155"/>
      <c r="F133" s="155">
        <v>10000</v>
      </c>
      <c r="G133" s="206">
        <f t="shared" si="1"/>
        <v>19504903</v>
      </c>
      <c r="H133" s="155" t="s">
        <v>25</v>
      </c>
      <c r="I133" s="186" t="s">
        <v>323</v>
      </c>
      <c r="J133" s="297" t="s">
        <v>567</v>
      </c>
      <c r="K133" s="155" t="s">
        <v>199</v>
      </c>
      <c r="L133" s="155" t="s">
        <v>345</v>
      </c>
      <c r="M133" s="235" t="s">
        <v>639</v>
      </c>
      <c r="N133" s="155" t="s">
        <v>558</v>
      </c>
      <c r="O133" s="155"/>
    </row>
    <row r="134" spans="1:15" s="297" customFormat="1" ht="16.5">
      <c r="A134" s="227">
        <v>45215</v>
      </c>
      <c r="B134" s="186" t="s">
        <v>401</v>
      </c>
      <c r="C134" s="155" t="s">
        <v>171</v>
      </c>
      <c r="D134" s="186" t="s">
        <v>4</v>
      </c>
      <c r="E134" s="206"/>
      <c r="F134" s="290">
        <v>5000</v>
      </c>
      <c r="G134" s="206">
        <f t="shared" si="1"/>
        <v>19499903</v>
      </c>
      <c r="H134" s="226" t="s">
        <v>25</v>
      </c>
      <c r="I134" s="186" t="s">
        <v>323</v>
      </c>
      <c r="J134" s="297" t="s">
        <v>331</v>
      </c>
      <c r="K134" s="155" t="s">
        <v>199</v>
      </c>
      <c r="L134" s="155" t="s">
        <v>345</v>
      </c>
      <c r="M134" s="235" t="s">
        <v>640</v>
      </c>
      <c r="N134" s="155" t="s">
        <v>558</v>
      </c>
    </row>
    <row r="135" spans="1:15" s="178" customFormat="1" ht="16.5" hidden="1">
      <c r="A135" s="227">
        <v>45215</v>
      </c>
      <c r="B135" s="186" t="s">
        <v>383</v>
      </c>
      <c r="C135" s="187" t="s">
        <v>75</v>
      </c>
      <c r="F135" s="186">
        <v>20000</v>
      </c>
      <c r="G135" s="206">
        <f t="shared" si="1"/>
        <v>19479903</v>
      </c>
      <c r="H135" s="186" t="s">
        <v>25</v>
      </c>
      <c r="I135" s="187"/>
      <c r="L135" s="155"/>
      <c r="N135" s="155"/>
      <c r="O135" s="196"/>
    </row>
    <row r="136" spans="1:15" s="297" customFormat="1" ht="16.5">
      <c r="A136" s="227">
        <v>45215</v>
      </c>
      <c r="B136" s="186" t="s">
        <v>402</v>
      </c>
      <c r="C136" s="187" t="s">
        <v>229</v>
      </c>
      <c r="D136" s="186" t="s">
        <v>155</v>
      </c>
      <c r="F136" s="242">
        <v>150000</v>
      </c>
      <c r="G136" s="206">
        <f t="shared" si="1"/>
        <v>19329903</v>
      </c>
      <c r="H136" s="186" t="s">
        <v>25</v>
      </c>
      <c r="I136" s="186" t="s">
        <v>364</v>
      </c>
      <c r="J136" s="186" t="s">
        <v>567</v>
      </c>
      <c r="K136" s="155" t="s">
        <v>198</v>
      </c>
      <c r="L136" s="155" t="s">
        <v>345</v>
      </c>
    </row>
    <row r="137" spans="1:15" s="178" customFormat="1" ht="16.5" hidden="1">
      <c r="A137" s="225">
        <v>45215</v>
      </c>
      <c r="B137" s="186" t="s">
        <v>432</v>
      </c>
      <c r="C137" s="155" t="s">
        <v>75</v>
      </c>
      <c r="D137" s="190"/>
      <c r="E137" s="155"/>
      <c r="F137" s="155">
        <v>2000000</v>
      </c>
      <c r="G137" s="206">
        <f t="shared" si="1"/>
        <v>17329903</v>
      </c>
      <c r="H137" s="186" t="s">
        <v>24</v>
      </c>
      <c r="I137" s="230">
        <v>3654576</v>
      </c>
      <c r="N137" s="155"/>
      <c r="O137" s="196"/>
    </row>
    <row r="138" spans="1:15" s="178" customFormat="1" ht="16.5" hidden="1">
      <c r="A138" s="227">
        <v>45215</v>
      </c>
      <c r="B138" s="155" t="s">
        <v>462</v>
      </c>
      <c r="C138" s="155" t="s">
        <v>75</v>
      </c>
      <c r="E138" s="155">
        <v>20000</v>
      </c>
      <c r="F138" s="230"/>
      <c r="G138" s="206">
        <f t="shared" si="1"/>
        <v>17349903</v>
      </c>
      <c r="H138" s="155" t="s">
        <v>297</v>
      </c>
      <c r="M138" s="235"/>
      <c r="N138" s="155"/>
      <c r="O138" s="196"/>
    </row>
    <row r="139" spans="1:15" s="178" customFormat="1" ht="16.5" hidden="1">
      <c r="A139" s="229">
        <v>45215</v>
      </c>
      <c r="B139" s="155" t="s">
        <v>474</v>
      </c>
      <c r="C139" s="155" t="s">
        <v>75</v>
      </c>
      <c r="E139" s="186">
        <v>400000</v>
      </c>
      <c r="F139" s="230"/>
      <c r="G139" s="206">
        <f t="shared" si="1"/>
        <v>17749903</v>
      </c>
      <c r="H139" s="186" t="s">
        <v>306</v>
      </c>
      <c r="M139" s="235"/>
      <c r="O139" s="196"/>
    </row>
    <row r="140" spans="1:15" s="178" customFormat="1" ht="16.5" hidden="1">
      <c r="A140" s="227">
        <v>45215</v>
      </c>
      <c r="B140" s="234" t="s">
        <v>478</v>
      </c>
      <c r="C140" s="234" t="s">
        <v>75</v>
      </c>
      <c r="E140" s="218">
        <v>15000</v>
      </c>
      <c r="F140" s="218"/>
      <c r="G140" s="206">
        <f t="shared" si="1"/>
        <v>17764903</v>
      </c>
      <c r="H140" s="234" t="s">
        <v>31</v>
      </c>
      <c r="I140" s="155"/>
      <c r="M140" s="235"/>
      <c r="N140" s="155"/>
      <c r="O140" s="282"/>
    </row>
    <row r="141" spans="1:15" s="178" customFormat="1" ht="16.5" hidden="1">
      <c r="A141" s="227">
        <v>45215</v>
      </c>
      <c r="B141" s="234" t="s">
        <v>477</v>
      </c>
      <c r="C141" s="187" t="s">
        <v>75</v>
      </c>
      <c r="E141" s="218">
        <v>20000</v>
      </c>
      <c r="F141" s="218"/>
      <c r="G141" s="206">
        <f t="shared" si="1"/>
        <v>17784903</v>
      </c>
      <c r="H141" s="234" t="s">
        <v>31</v>
      </c>
      <c r="M141" s="234"/>
      <c r="N141" s="234"/>
      <c r="O141" s="282"/>
    </row>
    <row r="142" spans="1:15" s="178" customFormat="1" ht="16.5" hidden="1">
      <c r="A142" s="227">
        <v>45215</v>
      </c>
      <c r="B142" s="234" t="s">
        <v>487</v>
      </c>
      <c r="C142" s="155" t="s">
        <v>488</v>
      </c>
      <c r="E142" s="218">
        <v>30000</v>
      </c>
      <c r="F142" s="218"/>
      <c r="G142" s="206">
        <f t="shared" ref="G142:G205" si="2">+G141+E142-F142</f>
        <v>17814903</v>
      </c>
      <c r="H142" s="186" t="s">
        <v>197</v>
      </c>
      <c r="K142" s="155"/>
      <c r="L142" s="155"/>
      <c r="M142" s="235"/>
      <c r="N142" s="155"/>
      <c r="O142" s="282"/>
    </row>
    <row r="143" spans="1:15" s="178" customFormat="1" ht="16.5" hidden="1">
      <c r="A143" s="274">
        <v>45215</v>
      </c>
      <c r="B143" s="155" t="s">
        <v>501</v>
      </c>
      <c r="C143" s="155" t="s">
        <v>75</v>
      </c>
      <c r="D143" s="155"/>
      <c r="E143" s="155">
        <v>20000</v>
      </c>
      <c r="F143" s="155"/>
      <c r="G143" s="206">
        <f t="shared" si="2"/>
        <v>17834903</v>
      </c>
      <c r="H143" s="155" t="s">
        <v>312</v>
      </c>
      <c r="I143" s="155"/>
      <c r="J143" s="155"/>
      <c r="K143" s="155"/>
      <c r="L143" s="155"/>
      <c r="M143" s="155"/>
      <c r="N143" s="155"/>
      <c r="O143" s="196"/>
    </row>
    <row r="144" spans="1:15" s="178" customFormat="1" ht="16.5" hidden="1">
      <c r="A144" s="274">
        <v>45215</v>
      </c>
      <c r="B144" s="155" t="s">
        <v>502</v>
      </c>
      <c r="C144" s="155" t="s">
        <v>75</v>
      </c>
      <c r="D144" s="155"/>
      <c r="E144" s="155">
        <v>115000</v>
      </c>
      <c r="F144" s="155"/>
      <c r="G144" s="206">
        <f t="shared" si="2"/>
        <v>17949903</v>
      </c>
      <c r="H144" s="155" t="s">
        <v>312</v>
      </c>
      <c r="I144" s="155"/>
      <c r="J144" s="155"/>
      <c r="K144" s="155"/>
      <c r="L144" s="155"/>
      <c r="M144" s="155"/>
      <c r="N144" s="155"/>
      <c r="O144" s="196"/>
    </row>
    <row r="145" spans="1:18" s="297" customFormat="1" ht="16.5">
      <c r="A145" s="274">
        <v>45215</v>
      </c>
      <c r="B145" s="155" t="s">
        <v>503</v>
      </c>
      <c r="C145" s="155" t="s">
        <v>34</v>
      </c>
      <c r="D145" s="186" t="s">
        <v>4</v>
      </c>
      <c r="E145" s="155"/>
      <c r="F145" s="287">
        <v>15000</v>
      </c>
      <c r="G145" s="206">
        <f t="shared" si="2"/>
        <v>17934903</v>
      </c>
      <c r="H145" s="155" t="s">
        <v>312</v>
      </c>
      <c r="I145" s="155" t="s">
        <v>322</v>
      </c>
      <c r="J145" s="186" t="s">
        <v>331</v>
      </c>
      <c r="K145" s="155" t="s">
        <v>198</v>
      </c>
      <c r="L145" s="155" t="s">
        <v>345</v>
      </c>
      <c r="M145" s="155"/>
      <c r="N145" s="155"/>
      <c r="O145" s="155"/>
    </row>
    <row r="146" spans="1:18" s="178" customFormat="1" ht="16.5" hidden="1">
      <c r="A146" s="225">
        <v>45215</v>
      </c>
      <c r="B146" s="232" t="s">
        <v>475</v>
      </c>
      <c r="C146" s="155" t="s">
        <v>75</v>
      </c>
      <c r="E146" s="189">
        <v>30000</v>
      </c>
      <c r="F146" s="217"/>
      <c r="G146" s="206">
        <f t="shared" si="2"/>
        <v>17964903</v>
      </c>
      <c r="H146" s="186" t="s">
        <v>93</v>
      </c>
      <c r="I146" s="155"/>
      <c r="K146" s="155"/>
      <c r="L146" s="155"/>
      <c r="N146" s="155"/>
      <c r="O146" s="282"/>
    </row>
    <row r="147" spans="1:18" s="178" customFormat="1" ht="16.5" hidden="1">
      <c r="A147" s="229">
        <v>45215</v>
      </c>
      <c r="B147" s="186" t="s">
        <v>475</v>
      </c>
      <c r="C147" s="186" t="s">
        <v>512</v>
      </c>
      <c r="E147" s="186">
        <v>20000</v>
      </c>
      <c r="G147" s="206">
        <f t="shared" si="2"/>
        <v>17984903</v>
      </c>
      <c r="H147" s="234" t="s">
        <v>298</v>
      </c>
      <c r="I147" s="187"/>
      <c r="K147" s="155"/>
      <c r="L147" s="155"/>
      <c r="N147" s="155"/>
      <c r="O147" s="284"/>
    </row>
    <row r="148" spans="1:18" s="297" customFormat="1" ht="16.5">
      <c r="A148" s="229">
        <v>45215</v>
      </c>
      <c r="B148" s="244" t="s">
        <v>344</v>
      </c>
      <c r="C148" s="155" t="s">
        <v>34</v>
      </c>
      <c r="D148" s="186" t="s">
        <v>4</v>
      </c>
      <c r="F148" s="291">
        <v>15000</v>
      </c>
      <c r="G148" s="206">
        <f t="shared" si="2"/>
        <v>17969903</v>
      </c>
      <c r="H148" s="238" t="s">
        <v>29</v>
      </c>
      <c r="I148" s="186" t="s">
        <v>330</v>
      </c>
      <c r="J148" s="297" t="s">
        <v>331</v>
      </c>
      <c r="K148" s="155" t="s">
        <v>199</v>
      </c>
      <c r="L148" s="155" t="s">
        <v>345</v>
      </c>
      <c r="M148" s="235" t="s">
        <v>641</v>
      </c>
      <c r="N148" s="155" t="s">
        <v>559</v>
      </c>
    </row>
    <row r="149" spans="1:18" s="178" customFormat="1" ht="16.5" hidden="1">
      <c r="A149" s="227">
        <v>45215</v>
      </c>
      <c r="B149" s="186" t="s">
        <v>449</v>
      </c>
      <c r="C149" s="186" t="s">
        <v>75</v>
      </c>
      <c r="E149" s="186">
        <v>190000</v>
      </c>
      <c r="G149" s="206">
        <f t="shared" si="2"/>
        <v>18159903</v>
      </c>
      <c r="H149" s="186" t="s">
        <v>29</v>
      </c>
      <c r="K149" s="155"/>
      <c r="L149" s="155"/>
      <c r="N149" s="155"/>
      <c r="O149" s="282"/>
      <c r="P149" s="155"/>
      <c r="Q149" s="155"/>
      <c r="R149" s="155"/>
    </row>
    <row r="150" spans="1:18" s="178" customFormat="1" ht="16.5" hidden="1">
      <c r="A150" s="229">
        <v>45215</v>
      </c>
      <c r="B150" s="186" t="s">
        <v>328</v>
      </c>
      <c r="C150" s="186" t="s">
        <v>488</v>
      </c>
      <c r="E150" s="226">
        <v>190000</v>
      </c>
      <c r="G150" s="206">
        <f t="shared" si="2"/>
        <v>18349903</v>
      </c>
      <c r="H150" s="234" t="s">
        <v>268</v>
      </c>
      <c r="I150" s="187"/>
      <c r="N150" s="155"/>
      <c r="O150" s="282"/>
      <c r="P150" s="155"/>
      <c r="Q150" s="155"/>
      <c r="R150" s="155"/>
    </row>
    <row r="151" spans="1:18" s="297" customFormat="1" ht="16.5">
      <c r="A151" s="227">
        <v>45215</v>
      </c>
      <c r="B151" s="186" t="s">
        <v>537</v>
      </c>
      <c r="C151" s="186" t="s">
        <v>34</v>
      </c>
      <c r="D151" s="186" t="s">
        <v>4</v>
      </c>
      <c r="E151" s="206"/>
      <c r="F151" s="290">
        <v>9000</v>
      </c>
      <c r="G151" s="206">
        <f t="shared" si="2"/>
        <v>18340903</v>
      </c>
      <c r="H151" s="186" t="s">
        <v>268</v>
      </c>
      <c r="I151" s="186" t="s">
        <v>322</v>
      </c>
      <c r="J151" s="297" t="s">
        <v>331</v>
      </c>
      <c r="K151" s="155" t="s">
        <v>199</v>
      </c>
      <c r="L151" s="155" t="s">
        <v>345</v>
      </c>
      <c r="M151" s="235" t="s">
        <v>642</v>
      </c>
      <c r="N151" s="155" t="s">
        <v>559</v>
      </c>
      <c r="P151" s="155"/>
      <c r="Q151" s="155"/>
      <c r="R151" s="155"/>
    </row>
    <row r="152" spans="1:18" s="297" customFormat="1" ht="16.5">
      <c r="A152" s="231">
        <v>45216</v>
      </c>
      <c r="B152" s="206" t="s">
        <v>555</v>
      </c>
      <c r="C152" s="187" t="s">
        <v>174</v>
      </c>
      <c r="D152" s="186" t="s">
        <v>320</v>
      </c>
      <c r="E152" s="243"/>
      <c r="F152" s="186">
        <v>10448</v>
      </c>
      <c r="G152" s="206">
        <f t="shared" si="2"/>
        <v>18330455</v>
      </c>
      <c r="H152" s="186" t="s">
        <v>25</v>
      </c>
      <c r="I152" s="186" t="s">
        <v>323</v>
      </c>
      <c r="J152" s="297" t="s">
        <v>102</v>
      </c>
      <c r="K152" s="297" t="s">
        <v>199</v>
      </c>
      <c r="L152" s="297" t="s">
        <v>345</v>
      </c>
      <c r="M152" s="235" t="s">
        <v>643</v>
      </c>
      <c r="N152" s="155" t="s">
        <v>557</v>
      </c>
      <c r="P152" s="155"/>
      <c r="Q152" s="155"/>
      <c r="R152" s="155"/>
    </row>
    <row r="153" spans="1:18" s="297" customFormat="1" ht="16.5">
      <c r="A153" s="231">
        <v>45216</v>
      </c>
      <c r="B153" s="186" t="s">
        <v>556</v>
      </c>
      <c r="C153" s="187" t="s">
        <v>174</v>
      </c>
      <c r="D153" s="186" t="s">
        <v>320</v>
      </c>
      <c r="E153" s="206"/>
      <c r="F153" s="217">
        <v>2302</v>
      </c>
      <c r="G153" s="206">
        <f t="shared" si="2"/>
        <v>18328153</v>
      </c>
      <c r="H153" s="186" t="s">
        <v>25</v>
      </c>
      <c r="I153" s="155" t="s">
        <v>323</v>
      </c>
      <c r="J153" s="186" t="s">
        <v>567</v>
      </c>
      <c r="K153" s="155" t="s">
        <v>198</v>
      </c>
      <c r="L153" s="155" t="s">
        <v>345</v>
      </c>
      <c r="N153" s="155"/>
    </row>
    <row r="154" spans="1:18" s="178" customFormat="1" ht="16.5" hidden="1">
      <c r="A154" s="231">
        <v>45216</v>
      </c>
      <c r="B154" s="186" t="s">
        <v>377</v>
      </c>
      <c r="C154" s="187" t="s">
        <v>75</v>
      </c>
      <c r="F154" s="186">
        <v>93000</v>
      </c>
      <c r="G154" s="206">
        <f t="shared" si="2"/>
        <v>18235153</v>
      </c>
      <c r="H154" s="186" t="s">
        <v>25</v>
      </c>
      <c r="K154" s="155"/>
      <c r="L154" s="155"/>
      <c r="N154" s="155"/>
      <c r="O154" s="282"/>
      <c r="P154" s="155"/>
      <c r="Q154" s="155"/>
      <c r="R154" s="155"/>
    </row>
    <row r="155" spans="1:18" s="297" customFormat="1" ht="16.5">
      <c r="A155" s="227">
        <v>45216</v>
      </c>
      <c r="B155" s="186" t="s">
        <v>403</v>
      </c>
      <c r="C155" s="187" t="s">
        <v>338</v>
      </c>
      <c r="D155" s="186" t="s">
        <v>154</v>
      </c>
      <c r="E155" s="206"/>
      <c r="F155" s="217">
        <v>72000</v>
      </c>
      <c r="G155" s="206">
        <f t="shared" si="2"/>
        <v>18163153</v>
      </c>
      <c r="H155" s="186" t="s">
        <v>25</v>
      </c>
      <c r="I155" s="186" t="s">
        <v>323</v>
      </c>
      <c r="J155" s="186" t="s">
        <v>567</v>
      </c>
      <c r="K155" s="155" t="s">
        <v>198</v>
      </c>
      <c r="L155" s="155" t="s">
        <v>345</v>
      </c>
      <c r="P155" s="155"/>
      <c r="Q155" s="155"/>
      <c r="R155" s="155"/>
    </row>
    <row r="156" spans="1:18" s="297" customFormat="1" ht="16.5">
      <c r="A156" s="227">
        <v>45216</v>
      </c>
      <c r="B156" s="186" t="s">
        <v>404</v>
      </c>
      <c r="C156" s="155" t="s">
        <v>238</v>
      </c>
      <c r="D156" s="155" t="s">
        <v>320</v>
      </c>
      <c r="F156" s="186">
        <v>25000</v>
      </c>
      <c r="G156" s="206">
        <f t="shared" si="2"/>
        <v>18138153</v>
      </c>
      <c r="H156" s="186" t="s">
        <v>25</v>
      </c>
      <c r="I156" s="187" t="s">
        <v>323</v>
      </c>
      <c r="J156" s="297" t="s">
        <v>102</v>
      </c>
      <c r="K156" s="155" t="s">
        <v>199</v>
      </c>
      <c r="L156" s="155" t="s">
        <v>345</v>
      </c>
      <c r="M156" s="235" t="s">
        <v>644</v>
      </c>
      <c r="N156" s="155" t="s">
        <v>554</v>
      </c>
      <c r="O156" s="155"/>
      <c r="P156" s="155"/>
      <c r="Q156" s="155"/>
      <c r="R156" s="155"/>
    </row>
    <row r="157" spans="1:18" s="297" customFormat="1" ht="16.5">
      <c r="A157" s="227">
        <v>45217</v>
      </c>
      <c r="B157" s="186" t="s">
        <v>405</v>
      </c>
      <c r="C157" s="186" t="s">
        <v>238</v>
      </c>
      <c r="D157" s="186" t="s">
        <v>320</v>
      </c>
      <c r="F157" s="186">
        <v>127500</v>
      </c>
      <c r="G157" s="206">
        <f t="shared" si="2"/>
        <v>18010653</v>
      </c>
      <c r="H157" s="186" t="s">
        <v>25</v>
      </c>
      <c r="I157" s="187" t="s">
        <v>323</v>
      </c>
      <c r="J157" s="297" t="s">
        <v>102</v>
      </c>
      <c r="K157" s="155" t="s">
        <v>199</v>
      </c>
      <c r="L157" s="155" t="s">
        <v>345</v>
      </c>
      <c r="M157" s="235" t="s">
        <v>645</v>
      </c>
      <c r="N157" s="155" t="s">
        <v>554</v>
      </c>
      <c r="P157" s="155"/>
      <c r="Q157" s="155"/>
      <c r="R157" s="155"/>
    </row>
    <row r="158" spans="1:18" s="297" customFormat="1" ht="16.5">
      <c r="A158" s="227">
        <v>45217</v>
      </c>
      <c r="B158" s="186" t="s">
        <v>406</v>
      </c>
      <c r="C158" s="186" t="s">
        <v>569</v>
      </c>
      <c r="D158" s="186" t="s">
        <v>4</v>
      </c>
      <c r="F158" s="292">
        <v>120000</v>
      </c>
      <c r="G158" s="206">
        <f t="shared" si="2"/>
        <v>17890653</v>
      </c>
      <c r="H158" s="186" t="s">
        <v>25</v>
      </c>
      <c r="I158" s="187" t="s">
        <v>323</v>
      </c>
      <c r="J158" s="186" t="s">
        <v>352</v>
      </c>
      <c r="K158" s="155" t="s">
        <v>198</v>
      </c>
      <c r="L158" s="155" t="s">
        <v>345</v>
      </c>
      <c r="M158" s="235"/>
      <c r="N158" s="155"/>
      <c r="P158" s="155"/>
      <c r="Q158" s="155"/>
      <c r="R158" s="155"/>
    </row>
    <row r="159" spans="1:18" s="178" customFormat="1" ht="16.5" hidden="1">
      <c r="A159" s="227">
        <v>45216</v>
      </c>
      <c r="B159" s="155" t="s">
        <v>457</v>
      </c>
      <c r="C159" s="186" t="s">
        <v>75</v>
      </c>
      <c r="E159" s="186">
        <v>93000</v>
      </c>
      <c r="G159" s="206">
        <f t="shared" si="2"/>
        <v>17983653</v>
      </c>
      <c r="H159" s="186" t="s">
        <v>297</v>
      </c>
      <c r="M159" s="235"/>
      <c r="N159" s="155"/>
      <c r="O159" s="282"/>
      <c r="P159" s="155"/>
      <c r="Q159" s="155"/>
      <c r="R159" s="155"/>
    </row>
    <row r="160" spans="1:18" s="297" customFormat="1" ht="16.5">
      <c r="A160" s="225">
        <v>45216</v>
      </c>
      <c r="B160" s="186" t="s">
        <v>463</v>
      </c>
      <c r="C160" s="155" t="s">
        <v>314</v>
      </c>
      <c r="D160" s="186" t="s">
        <v>154</v>
      </c>
      <c r="E160" s="206"/>
      <c r="F160" s="217">
        <v>8000</v>
      </c>
      <c r="G160" s="206">
        <f t="shared" si="2"/>
        <v>17975653</v>
      </c>
      <c r="H160" s="186" t="s">
        <v>297</v>
      </c>
      <c r="I160" s="186" t="s">
        <v>322</v>
      </c>
      <c r="J160" s="297" t="s">
        <v>102</v>
      </c>
      <c r="K160" s="155" t="s">
        <v>199</v>
      </c>
      <c r="L160" s="155" t="s">
        <v>345</v>
      </c>
      <c r="M160" s="235" t="s">
        <v>646</v>
      </c>
      <c r="N160" s="155" t="s">
        <v>559</v>
      </c>
      <c r="P160" s="155"/>
      <c r="Q160" s="155"/>
      <c r="R160" s="155"/>
    </row>
    <row r="161" spans="1:18" s="297" customFormat="1" ht="16.5">
      <c r="A161" s="274">
        <v>45216</v>
      </c>
      <c r="B161" s="155" t="s">
        <v>504</v>
      </c>
      <c r="C161" s="155" t="s">
        <v>299</v>
      </c>
      <c r="D161" s="186" t="s">
        <v>4</v>
      </c>
      <c r="E161" s="155"/>
      <c r="F161" s="287">
        <v>60000</v>
      </c>
      <c r="G161" s="206">
        <f t="shared" si="2"/>
        <v>17915653</v>
      </c>
      <c r="H161" s="155" t="s">
        <v>312</v>
      </c>
      <c r="I161" s="155" t="s">
        <v>326</v>
      </c>
      <c r="J161" s="186" t="s">
        <v>352</v>
      </c>
      <c r="K161" s="155" t="s">
        <v>198</v>
      </c>
      <c r="L161" s="155" t="s">
        <v>345</v>
      </c>
      <c r="M161" s="155"/>
      <c r="N161" s="155"/>
      <c r="O161" s="155"/>
      <c r="P161" s="155"/>
      <c r="Q161" s="155"/>
      <c r="R161" s="155"/>
    </row>
    <row r="162" spans="1:18" s="297" customFormat="1" ht="16.5">
      <c r="A162" s="231">
        <v>45216</v>
      </c>
      <c r="B162" s="186" t="s">
        <v>529</v>
      </c>
      <c r="C162" s="155" t="s">
        <v>299</v>
      </c>
      <c r="D162" s="186" t="s">
        <v>4</v>
      </c>
      <c r="E162" s="230"/>
      <c r="F162" s="293">
        <v>110000</v>
      </c>
      <c r="G162" s="206">
        <f t="shared" si="2"/>
        <v>17805653</v>
      </c>
      <c r="H162" s="186" t="s">
        <v>29</v>
      </c>
      <c r="I162" s="155" t="s">
        <v>364</v>
      </c>
      <c r="J162" s="297" t="s">
        <v>352</v>
      </c>
      <c r="K162" s="155" t="s">
        <v>199</v>
      </c>
      <c r="L162" s="155" t="s">
        <v>345</v>
      </c>
      <c r="M162" s="235" t="s">
        <v>647</v>
      </c>
      <c r="N162" s="155" t="s">
        <v>560</v>
      </c>
      <c r="P162" s="155"/>
      <c r="Q162" s="155"/>
      <c r="R162" s="155"/>
    </row>
    <row r="163" spans="1:18" s="297" customFormat="1" ht="16.5">
      <c r="A163" s="227">
        <v>45216</v>
      </c>
      <c r="B163" s="186" t="s">
        <v>538</v>
      </c>
      <c r="C163" s="187" t="s">
        <v>327</v>
      </c>
      <c r="D163" s="186" t="s">
        <v>4</v>
      </c>
      <c r="F163" s="292">
        <v>110000</v>
      </c>
      <c r="G163" s="206">
        <f t="shared" si="2"/>
        <v>17695653</v>
      </c>
      <c r="H163" s="155" t="s">
        <v>268</v>
      </c>
      <c r="I163" s="186" t="s">
        <v>326</v>
      </c>
      <c r="J163" s="297" t="s">
        <v>352</v>
      </c>
      <c r="K163" s="155" t="s">
        <v>199</v>
      </c>
      <c r="L163" s="155" t="s">
        <v>345</v>
      </c>
      <c r="M163" s="235" t="s">
        <v>648</v>
      </c>
      <c r="N163" s="155" t="s">
        <v>560</v>
      </c>
      <c r="P163" s="155"/>
      <c r="Q163" s="155"/>
      <c r="R163" s="155"/>
    </row>
    <row r="164" spans="1:18" s="297" customFormat="1" ht="16.5">
      <c r="A164" s="227">
        <v>45216</v>
      </c>
      <c r="B164" s="186" t="s">
        <v>539</v>
      </c>
      <c r="C164" s="187" t="s">
        <v>34</v>
      </c>
      <c r="D164" s="186" t="s">
        <v>4</v>
      </c>
      <c r="E164" s="206"/>
      <c r="F164" s="289">
        <v>4000</v>
      </c>
      <c r="G164" s="206">
        <f t="shared" si="2"/>
        <v>17691653</v>
      </c>
      <c r="H164" s="186" t="s">
        <v>268</v>
      </c>
      <c r="I164" s="155" t="s">
        <v>323</v>
      </c>
      <c r="J164" s="297" t="s">
        <v>331</v>
      </c>
      <c r="K164" s="155" t="s">
        <v>199</v>
      </c>
      <c r="L164" s="155" t="s">
        <v>345</v>
      </c>
      <c r="M164" s="235" t="s">
        <v>649</v>
      </c>
      <c r="N164" s="155" t="s">
        <v>559</v>
      </c>
      <c r="P164" s="155"/>
      <c r="Q164" s="155"/>
      <c r="R164" s="155"/>
    </row>
    <row r="165" spans="1:18" s="297" customFormat="1" ht="16.5">
      <c r="A165" s="227">
        <v>45218</v>
      </c>
      <c r="B165" s="186" t="s">
        <v>407</v>
      </c>
      <c r="C165" s="155" t="s">
        <v>229</v>
      </c>
      <c r="D165" s="186" t="s">
        <v>155</v>
      </c>
      <c r="F165" s="186">
        <v>70000</v>
      </c>
      <c r="G165" s="206">
        <f t="shared" si="2"/>
        <v>17621653</v>
      </c>
      <c r="H165" s="234" t="s">
        <v>25</v>
      </c>
      <c r="I165" s="155" t="s">
        <v>364</v>
      </c>
      <c r="J165" s="297" t="s">
        <v>331</v>
      </c>
      <c r="K165" s="155" t="s">
        <v>198</v>
      </c>
      <c r="L165" s="155" t="s">
        <v>345</v>
      </c>
      <c r="N165" s="155"/>
      <c r="P165" s="155"/>
      <c r="Q165" s="155"/>
      <c r="R165" s="155"/>
    </row>
    <row r="166" spans="1:18" s="297" customFormat="1" ht="16.5">
      <c r="A166" s="227">
        <v>45218</v>
      </c>
      <c r="B166" s="186" t="s">
        <v>408</v>
      </c>
      <c r="C166" s="155" t="s">
        <v>229</v>
      </c>
      <c r="D166" s="155" t="s">
        <v>155</v>
      </c>
      <c r="E166" s="206"/>
      <c r="F166" s="206">
        <v>48000</v>
      </c>
      <c r="G166" s="206">
        <f t="shared" si="2"/>
        <v>17573653</v>
      </c>
      <c r="H166" s="186" t="s">
        <v>25</v>
      </c>
      <c r="I166" s="155" t="s">
        <v>364</v>
      </c>
      <c r="J166" s="186" t="s">
        <v>567</v>
      </c>
      <c r="K166" s="155" t="s">
        <v>198</v>
      </c>
      <c r="L166" s="155" t="s">
        <v>345</v>
      </c>
      <c r="M166" s="235"/>
      <c r="N166" s="155"/>
      <c r="P166" s="155"/>
      <c r="Q166" s="155"/>
      <c r="R166" s="155"/>
    </row>
    <row r="167" spans="1:18" s="297" customFormat="1" ht="16.5">
      <c r="A167" s="227">
        <v>45217</v>
      </c>
      <c r="B167" s="186" t="s">
        <v>464</v>
      </c>
      <c r="C167" s="155" t="s">
        <v>299</v>
      </c>
      <c r="D167" s="155" t="s">
        <v>154</v>
      </c>
      <c r="E167" s="206"/>
      <c r="F167" s="217">
        <v>20000</v>
      </c>
      <c r="G167" s="206">
        <f t="shared" si="2"/>
        <v>17553653</v>
      </c>
      <c r="H167" s="186" t="s">
        <v>297</v>
      </c>
      <c r="I167" s="186" t="s">
        <v>326</v>
      </c>
      <c r="J167" s="297" t="s">
        <v>102</v>
      </c>
      <c r="K167" s="155" t="s">
        <v>199</v>
      </c>
      <c r="L167" s="155" t="s">
        <v>345</v>
      </c>
      <c r="M167" s="235" t="s">
        <v>650</v>
      </c>
      <c r="N167" s="155" t="s">
        <v>560</v>
      </c>
      <c r="P167" s="155"/>
      <c r="Q167" s="155"/>
      <c r="R167" s="155"/>
    </row>
    <row r="168" spans="1:18" s="297" customFormat="1" ht="16.5">
      <c r="A168" s="227">
        <v>45218</v>
      </c>
      <c r="B168" s="186" t="s">
        <v>482</v>
      </c>
      <c r="C168" s="187" t="s">
        <v>568</v>
      </c>
      <c r="D168" s="186" t="s">
        <v>320</v>
      </c>
      <c r="E168" s="206"/>
      <c r="F168" s="206">
        <v>15000</v>
      </c>
      <c r="G168" s="206">
        <f t="shared" si="2"/>
        <v>17538653</v>
      </c>
      <c r="H168" s="186" t="s">
        <v>31</v>
      </c>
      <c r="I168" s="186" t="s">
        <v>322</v>
      </c>
      <c r="J168" s="186" t="s">
        <v>567</v>
      </c>
      <c r="K168" s="155" t="s">
        <v>198</v>
      </c>
      <c r="L168" s="155" t="s">
        <v>345</v>
      </c>
      <c r="N168" s="155"/>
      <c r="P168" s="155"/>
      <c r="Q168" s="155"/>
      <c r="R168" s="155"/>
    </row>
    <row r="169" spans="1:18" s="297" customFormat="1" ht="16.5">
      <c r="A169" s="274">
        <v>45218</v>
      </c>
      <c r="B169" s="155" t="s">
        <v>505</v>
      </c>
      <c r="C169" s="155" t="s">
        <v>299</v>
      </c>
      <c r="D169" s="186" t="s">
        <v>4</v>
      </c>
      <c r="E169" s="155"/>
      <c r="F169" s="287">
        <v>30000</v>
      </c>
      <c r="G169" s="206">
        <f t="shared" si="2"/>
        <v>17508653</v>
      </c>
      <c r="H169" s="155" t="s">
        <v>312</v>
      </c>
      <c r="I169" s="155" t="s">
        <v>322</v>
      </c>
      <c r="J169" s="186" t="s">
        <v>331</v>
      </c>
      <c r="K169" s="155" t="s">
        <v>198</v>
      </c>
      <c r="L169" s="155" t="s">
        <v>345</v>
      </c>
      <c r="M169" s="155"/>
      <c r="N169" s="155"/>
      <c r="O169" s="155"/>
      <c r="P169" s="155"/>
      <c r="Q169" s="155"/>
      <c r="R169" s="155"/>
    </row>
    <row r="170" spans="1:18" s="297" customFormat="1" ht="16.5">
      <c r="A170" s="274">
        <v>45218</v>
      </c>
      <c r="B170" s="155" t="s">
        <v>506</v>
      </c>
      <c r="C170" s="155" t="s">
        <v>34</v>
      </c>
      <c r="D170" s="186" t="s">
        <v>4</v>
      </c>
      <c r="E170" s="155"/>
      <c r="F170" s="287">
        <v>5000</v>
      </c>
      <c r="G170" s="206">
        <f t="shared" si="2"/>
        <v>17503653</v>
      </c>
      <c r="H170" s="155" t="s">
        <v>312</v>
      </c>
      <c r="I170" s="155" t="s">
        <v>322</v>
      </c>
      <c r="J170" s="186" t="s">
        <v>331</v>
      </c>
      <c r="K170" s="155" t="s">
        <v>198</v>
      </c>
      <c r="L170" s="155" t="s">
        <v>345</v>
      </c>
      <c r="M170" s="155"/>
      <c r="N170" s="155"/>
      <c r="O170" s="155"/>
      <c r="P170" s="155"/>
      <c r="Q170" s="155"/>
      <c r="R170" s="155"/>
    </row>
    <row r="171" spans="1:18" s="178" customFormat="1" ht="16.5" hidden="1">
      <c r="A171" s="227">
        <v>45219</v>
      </c>
      <c r="B171" s="186" t="s">
        <v>386</v>
      </c>
      <c r="C171" s="155" t="s">
        <v>75</v>
      </c>
      <c r="D171" s="155"/>
      <c r="E171" s="186">
        <v>2000000</v>
      </c>
      <c r="G171" s="206">
        <f t="shared" si="2"/>
        <v>19503653</v>
      </c>
      <c r="H171" s="186" t="s">
        <v>25</v>
      </c>
      <c r="M171" s="235"/>
      <c r="N171" s="155"/>
      <c r="O171" s="196"/>
      <c r="P171" s="155"/>
      <c r="Q171" s="155"/>
      <c r="R171" s="155"/>
    </row>
    <row r="172" spans="1:18" s="178" customFormat="1" ht="16.5" hidden="1">
      <c r="A172" s="227">
        <v>45219</v>
      </c>
      <c r="B172" s="186" t="s">
        <v>385</v>
      </c>
      <c r="C172" s="155" t="s">
        <v>75</v>
      </c>
      <c r="F172" s="186">
        <v>194000</v>
      </c>
      <c r="G172" s="206">
        <f t="shared" si="2"/>
        <v>19309653</v>
      </c>
      <c r="H172" s="186" t="s">
        <v>25</v>
      </c>
      <c r="J172" s="155"/>
      <c r="K172" s="155"/>
      <c r="L172" s="155"/>
      <c r="N172" s="155"/>
      <c r="O172" s="282"/>
      <c r="P172" s="155"/>
      <c r="Q172" s="155"/>
      <c r="R172" s="155"/>
    </row>
    <row r="173" spans="1:18" s="178" customFormat="1" ht="16.5" hidden="1">
      <c r="A173" s="227">
        <v>45219</v>
      </c>
      <c r="B173" s="186" t="s">
        <v>387</v>
      </c>
      <c r="C173" s="155" t="s">
        <v>75</v>
      </c>
      <c r="E173" s="206"/>
      <c r="F173" s="186">
        <v>191500</v>
      </c>
      <c r="G173" s="206">
        <f t="shared" si="2"/>
        <v>19118153</v>
      </c>
      <c r="H173" s="186" t="s">
        <v>25</v>
      </c>
      <c r="I173" s="155"/>
      <c r="K173" s="155"/>
      <c r="L173" s="155"/>
      <c r="N173" s="155"/>
      <c r="O173" s="282"/>
      <c r="P173" s="155"/>
      <c r="Q173" s="155"/>
      <c r="R173" s="155"/>
    </row>
    <row r="174" spans="1:18" s="178" customFormat="1" ht="16.5" hidden="1">
      <c r="A174" s="227">
        <v>45219</v>
      </c>
      <c r="B174" s="186" t="s">
        <v>388</v>
      </c>
      <c r="C174" s="186" t="s">
        <v>75</v>
      </c>
      <c r="F174" s="186">
        <v>117000</v>
      </c>
      <c r="G174" s="206">
        <f t="shared" si="2"/>
        <v>19001153</v>
      </c>
      <c r="H174" s="186" t="s">
        <v>25</v>
      </c>
      <c r="I174" s="155"/>
      <c r="N174" s="155"/>
      <c r="O174" s="282"/>
      <c r="P174" s="155"/>
      <c r="Q174" s="155"/>
      <c r="R174" s="155"/>
    </row>
    <row r="175" spans="1:18" s="178" customFormat="1" ht="16.5" hidden="1">
      <c r="A175" s="227">
        <v>45219</v>
      </c>
      <c r="B175" s="186" t="s">
        <v>378</v>
      </c>
      <c r="C175" s="186" t="s">
        <v>75</v>
      </c>
      <c r="F175" s="230">
        <v>197000</v>
      </c>
      <c r="G175" s="206">
        <f t="shared" si="2"/>
        <v>18804153</v>
      </c>
      <c r="H175" s="234" t="s">
        <v>25</v>
      </c>
      <c r="I175" s="187"/>
      <c r="N175" s="155"/>
      <c r="O175" s="282"/>
    </row>
    <row r="176" spans="1:18" s="297" customFormat="1" ht="16.5">
      <c r="A176" s="227">
        <v>45219</v>
      </c>
      <c r="B176" s="186" t="s">
        <v>409</v>
      </c>
      <c r="C176" s="155" t="s">
        <v>338</v>
      </c>
      <c r="D176" s="186" t="s">
        <v>154</v>
      </c>
      <c r="E176" s="206"/>
      <c r="F176" s="210">
        <v>173000</v>
      </c>
      <c r="G176" s="206">
        <f t="shared" si="2"/>
        <v>18631153</v>
      </c>
      <c r="H176" s="155" t="s">
        <v>25</v>
      </c>
      <c r="I176" s="186" t="s">
        <v>323</v>
      </c>
      <c r="J176" s="186" t="s">
        <v>567</v>
      </c>
      <c r="K176" s="155" t="s">
        <v>198</v>
      </c>
      <c r="L176" s="155" t="s">
        <v>345</v>
      </c>
      <c r="P176" s="155"/>
      <c r="Q176" s="155"/>
      <c r="R176" s="155"/>
    </row>
    <row r="177" spans="1:15" s="297" customFormat="1" ht="16.5">
      <c r="A177" s="227">
        <v>45219</v>
      </c>
      <c r="B177" s="155" t="s">
        <v>410</v>
      </c>
      <c r="C177" s="187" t="s">
        <v>337</v>
      </c>
      <c r="D177" s="186" t="s">
        <v>320</v>
      </c>
      <c r="E177" s="155"/>
      <c r="F177" s="155">
        <v>11565</v>
      </c>
      <c r="G177" s="206">
        <f t="shared" si="2"/>
        <v>18619588</v>
      </c>
      <c r="H177" s="186" t="s">
        <v>25</v>
      </c>
      <c r="I177" s="186" t="s">
        <v>323</v>
      </c>
      <c r="J177" s="297" t="s">
        <v>102</v>
      </c>
      <c r="K177" s="155" t="s">
        <v>199</v>
      </c>
      <c r="L177" s="155" t="s">
        <v>345</v>
      </c>
      <c r="M177" s="235" t="s">
        <v>651</v>
      </c>
      <c r="N177" s="155" t="s">
        <v>346</v>
      </c>
      <c r="O177" s="155"/>
    </row>
    <row r="178" spans="1:15" s="297" customFormat="1" ht="16.5">
      <c r="A178" s="227">
        <v>45219</v>
      </c>
      <c r="B178" s="238" t="s">
        <v>324</v>
      </c>
      <c r="C178" s="187" t="s">
        <v>337</v>
      </c>
      <c r="D178" s="186" t="s">
        <v>320</v>
      </c>
      <c r="E178" s="239"/>
      <c r="F178" s="240">
        <v>3510</v>
      </c>
      <c r="G178" s="206">
        <f t="shared" si="2"/>
        <v>18616078</v>
      </c>
      <c r="H178" s="186" t="s">
        <v>25</v>
      </c>
      <c r="I178" s="186" t="s">
        <v>323</v>
      </c>
      <c r="J178" s="186" t="s">
        <v>567</v>
      </c>
      <c r="K178" s="234" t="s">
        <v>198</v>
      </c>
      <c r="L178" s="234" t="s">
        <v>345</v>
      </c>
      <c r="N178" s="155"/>
    </row>
    <row r="179" spans="1:15" s="178" customFormat="1" ht="16.5" hidden="1">
      <c r="A179" s="227">
        <v>45219</v>
      </c>
      <c r="B179" s="186" t="s">
        <v>433</v>
      </c>
      <c r="C179" s="178" t="s">
        <v>75</v>
      </c>
      <c r="D179" s="249"/>
      <c r="F179" s="186">
        <v>2000000</v>
      </c>
      <c r="G179" s="206">
        <f t="shared" si="2"/>
        <v>16616078</v>
      </c>
      <c r="H179" s="186" t="s">
        <v>24</v>
      </c>
      <c r="I179" s="230">
        <v>3654577</v>
      </c>
      <c r="O179" s="282"/>
    </row>
    <row r="180" spans="1:15" s="297" customFormat="1" ht="16.5">
      <c r="A180" s="227">
        <v>45219</v>
      </c>
      <c r="B180" s="186" t="s">
        <v>341</v>
      </c>
      <c r="C180" s="186" t="s">
        <v>314</v>
      </c>
      <c r="D180" s="186" t="s">
        <v>154</v>
      </c>
      <c r="E180" s="206"/>
      <c r="F180" s="206">
        <v>8000</v>
      </c>
      <c r="G180" s="206">
        <f t="shared" si="2"/>
        <v>16608078</v>
      </c>
      <c r="H180" s="186" t="s">
        <v>297</v>
      </c>
      <c r="I180" s="186" t="s">
        <v>322</v>
      </c>
      <c r="J180" s="297" t="s">
        <v>102</v>
      </c>
      <c r="K180" s="155" t="s">
        <v>199</v>
      </c>
      <c r="L180" s="155" t="s">
        <v>345</v>
      </c>
      <c r="M180" s="235" t="s">
        <v>652</v>
      </c>
      <c r="N180" s="155" t="s">
        <v>559</v>
      </c>
    </row>
    <row r="181" spans="1:15" s="297" customFormat="1" ht="16.5">
      <c r="A181" s="227">
        <v>45219</v>
      </c>
      <c r="B181" s="186" t="s">
        <v>465</v>
      </c>
      <c r="C181" s="155" t="s">
        <v>299</v>
      </c>
      <c r="D181" s="155" t="s">
        <v>154</v>
      </c>
      <c r="E181" s="230"/>
      <c r="F181" s="230">
        <v>30000</v>
      </c>
      <c r="G181" s="206">
        <f t="shared" si="2"/>
        <v>16578078</v>
      </c>
      <c r="H181" s="186" t="s">
        <v>297</v>
      </c>
      <c r="I181" s="186" t="s">
        <v>322</v>
      </c>
      <c r="J181" s="297" t="s">
        <v>102</v>
      </c>
      <c r="K181" s="155" t="s">
        <v>199</v>
      </c>
      <c r="L181" s="155" t="s">
        <v>345</v>
      </c>
      <c r="M181" s="235" t="s">
        <v>653</v>
      </c>
      <c r="N181" s="155" t="s">
        <v>560</v>
      </c>
      <c r="O181" s="155"/>
    </row>
    <row r="182" spans="1:15" s="178" customFormat="1" ht="16.5" hidden="1">
      <c r="A182" s="274">
        <v>45219</v>
      </c>
      <c r="B182" s="155" t="s">
        <v>502</v>
      </c>
      <c r="C182" s="155" t="s">
        <v>75</v>
      </c>
      <c r="D182" s="155"/>
      <c r="E182" s="155">
        <v>117000</v>
      </c>
      <c r="F182" s="155"/>
      <c r="G182" s="206">
        <f t="shared" si="2"/>
        <v>16695078</v>
      </c>
      <c r="H182" s="155" t="s">
        <v>312</v>
      </c>
      <c r="I182" s="155"/>
      <c r="J182" s="155"/>
      <c r="K182" s="155"/>
      <c r="L182" s="155"/>
      <c r="M182" s="155"/>
      <c r="N182" s="155"/>
      <c r="O182" s="196"/>
    </row>
    <row r="183" spans="1:15" s="178" customFormat="1" ht="16.5" hidden="1">
      <c r="A183" s="227">
        <v>45219</v>
      </c>
      <c r="B183" s="186" t="s">
        <v>457</v>
      </c>
      <c r="C183" s="186" t="s">
        <v>512</v>
      </c>
      <c r="E183" s="206">
        <v>197000</v>
      </c>
      <c r="F183" s="206"/>
      <c r="G183" s="206">
        <f t="shared" si="2"/>
        <v>16892078</v>
      </c>
      <c r="H183" s="186" t="s">
        <v>298</v>
      </c>
      <c r="K183" s="155"/>
      <c r="L183" s="155"/>
      <c r="O183" s="282"/>
    </row>
    <row r="184" spans="1:15" s="178" customFormat="1" ht="16.5" hidden="1">
      <c r="A184" s="227">
        <v>45219</v>
      </c>
      <c r="B184" s="186" t="s">
        <v>530</v>
      </c>
      <c r="C184" s="186" t="s">
        <v>75</v>
      </c>
      <c r="E184" s="186">
        <v>194000</v>
      </c>
      <c r="G184" s="206">
        <f t="shared" si="2"/>
        <v>17086078</v>
      </c>
      <c r="H184" s="234" t="s">
        <v>29</v>
      </c>
      <c r="I184" s="187"/>
      <c r="L184" s="155"/>
      <c r="N184" s="155"/>
      <c r="O184" s="282"/>
    </row>
    <row r="185" spans="1:15" s="178" customFormat="1" ht="16.5" hidden="1">
      <c r="A185" s="231">
        <v>45219</v>
      </c>
      <c r="B185" s="236" t="s">
        <v>328</v>
      </c>
      <c r="C185" s="187" t="s">
        <v>75</v>
      </c>
      <c r="D185" s="250"/>
      <c r="E185" s="246">
        <v>191500</v>
      </c>
      <c r="F185" s="230"/>
      <c r="G185" s="206">
        <f t="shared" si="2"/>
        <v>17277578</v>
      </c>
      <c r="H185" s="186" t="s">
        <v>268</v>
      </c>
      <c r="I185" s="155"/>
      <c r="J185" s="155"/>
      <c r="L185" s="155"/>
      <c r="N185" s="155"/>
      <c r="O185" s="282"/>
    </row>
    <row r="186" spans="1:15" s="297" customFormat="1" ht="16.5">
      <c r="A186" s="227">
        <v>45220</v>
      </c>
      <c r="B186" s="155" t="s">
        <v>517</v>
      </c>
      <c r="C186" s="155" t="s">
        <v>34</v>
      </c>
      <c r="D186" s="186" t="s">
        <v>154</v>
      </c>
      <c r="E186" s="155"/>
      <c r="F186" s="155">
        <v>15000</v>
      </c>
      <c r="G186" s="206">
        <f t="shared" si="2"/>
        <v>17262578</v>
      </c>
      <c r="H186" s="155" t="s">
        <v>298</v>
      </c>
      <c r="I186" s="155" t="s">
        <v>322</v>
      </c>
      <c r="J186" s="297" t="s">
        <v>102</v>
      </c>
      <c r="K186" s="155" t="s">
        <v>199</v>
      </c>
      <c r="L186" s="155" t="s">
        <v>345</v>
      </c>
      <c r="M186" s="235" t="s">
        <v>654</v>
      </c>
      <c r="N186" s="155" t="s">
        <v>559</v>
      </c>
      <c r="O186" s="155"/>
    </row>
    <row r="187" spans="1:15" s="297" customFormat="1" ht="16.5">
      <c r="A187" s="225">
        <v>45220</v>
      </c>
      <c r="B187" s="186" t="s">
        <v>570</v>
      </c>
      <c r="C187" s="155" t="s">
        <v>34</v>
      </c>
      <c r="D187" s="186" t="s">
        <v>4</v>
      </c>
      <c r="E187" s="206"/>
      <c r="F187" s="290">
        <v>4000</v>
      </c>
      <c r="G187" s="206">
        <f t="shared" si="2"/>
        <v>17258578</v>
      </c>
      <c r="H187" s="186" t="s">
        <v>29</v>
      </c>
      <c r="I187" s="186" t="s">
        <v>330</v>
      </c>
      <c r="J187" s="297" t="s">
        <v>352</v>
      </c>
      <c r="K187" s="155" t="s">
        <v>198</v>
      </c>
      <c r="L187" s="155" t="s">
        <v>345</v>
      </c>
      <c r="N187" s="155"/>
    </row>
    <row r="188" spans="1:15" s="297" customFormat="1" ht="16.5">
      <c r="A188" s="227">
        <v>45220</v>
      </c>
      <c r="B188" s="186" t="s">
        <v>571</v>
      </c>
      <c r="C188" s="186" t="s">
        <v>34</v>
      </c>
      <c r="D188" s="186" t="s">
        <v>4</v>
      </c>
      <c r="F188" s="288">
        <v>4000</v>
      </c>
      <c r="G188" s="206">
        <f t="shared" si="2"/>
        <v>17254578</v>
      </c>
      <c r="H188" s="186" t="s">
        <v>29</v>
      </c>
      <c r="I188" s="187" t="s">
        <v>330</v>
      </c>
      <c r="J188" s="297" t="s">
        <v>352</v>
      </c>
      <c r="K188" s="155" t="s">
        <v>198</v>
      </c>
      <c r="L188" s="155" t="s">
        <v>345</v>
      </c>
      <c r="N188" s="155"/>
    </row>
    <row r="189" spans="1:15" s="297" customFormat="1" ht="16.5">
      <c r="A189" s="227">
        <v>45220</v>
      </c>
      <c r="B189" s="155" t="s">
        <v>540</v>
      </c>
      <c r="C189" s="187" t="s">
        <v>34</v>
      </c>
      <c r="D189" s="186" t="s">
        <v>4</v>
      </c>
      <c r="E189" s="155"/>
      <c r="F189" s="287">
        <v>10000</v>
      </c>
      <c r="G189" s="206">
        <f t="shared" si="2"/>
        <v>17244578</v>
      </c>
      <c r="H189" s="155" t="s">
        <v>268</v>
      </c>
      <c r="I189" s="155" t="s">
        <v>322</v>
      </c>
      <c r="J189" s="297" t="s">
        <v>331</v>
      </c>
      <c r="K189" s="155" t="s">
        <v>199</v>
      </c>
      <c r="L189" s="155" t="s">
        <v>345</v>
      </c>
      <c r="M189" s="235" t="s">
        <v>655</v>
      </c>
      <c r="N189" s="155" t="s">
        <v>559</v>
      </c>
      <c r="O189" s="155"/>
    </row>
    <row r="190" spans="1:15" s="297" customFormat="1" ht="16.5">
      <c r="A190" s="227">
        <v>45220</v>
      </c>
      <c r="B190" s="186" t="s">
        <v>541</v>
      </c>
      <c r="C190" s="187" t="s">
        <v>327</v>
      </c>
      <c r="D190" s="186" t="s">
        <v>4</v>
      </c>
      <c r="F190" s="299">
        <v>60000</v>
      </c>
      <c r="G190" s="206">
        <f t="shared" si="2"/>
        <v>17184578</v>
      </c>
      <c r="H190" s="186" t="s">
        <v>268</v>
      </c>
      <c r="I190" s="297" t="s">
        <v>322</v>
      </c>
      <c r="J190" s="297" t="s">
        <v>352</v>
      </c>
      <c r="K190" s="155" t="s">
        <v>199</v>
      </c>
      <c r="L190" s="155" t="s">
        <v>345</v>
      </c>
      <c r="M190" s="235" t="s">
        <v>656</v>
      </c>
      <c r="N190" s="155" t="s">
        <v>560</v>
      </c>
    </row>
    <row r="191" spans="1:15" s="297" customFormat="1" ht="16.5">
      <c r="A191" s="274">
        <v>45221</v>
      </c>
      <c r="B191" s="155" t="s">
        <v>507</v>
      </c>
      <c r="C191" s="155" t="s">
        <v>362</v>
      </c>
      <c r="D191" s="186" t="s">
        <v>4</v>
      </c>
      <c r="E191" s="155"/>
      <c r="F191" s="287">
        <v>13000</v>
      </c>
      <c r="G191" s="206">
        <f t="shared" si="2"/>
        <v>17171578</v>
      </c>
      <c r="H191" s="155" t="s">
        <v>312</v>
      </c>
      <c r="I191" s="155" t="s">
        <v>326</v>
      </c>
      <c r="J191" s="186" t="s">
        <v>331</v>
      </c>
      <c r="K191" s="155" t="s">
        <v>198</v>
      </c>
      <c r="L191" s="155" t="s">
        <v>345</v>
      </c>
      <c r="M191" s="155"/>
      <c r="N191" s="155"/>
      <c r="O191" s="155"/>
    </row>
    <row r="192" spans="1:15" s="297" customFormat="1" ht="16.5">
      <c r="A192" s="229">
        <v>45222</v>
      </c>
      <c r="B192" s="186" t="s">
        <v>411</v>
      </c>
      <c r="C192" s="187" t="s">
        <v>229</v>
      </c>
      <c r="D192" s="186" t="s">
        <v>155</v>
      </c>
      <c r="F192" s="186">
        <v>22000</v>
      </c>
      <c r="G192" s="206">
        <f t="shared" si="2"/>
        <v>17149578</v>
      </c>
      <c r="H192" s="186" t="s">
        <v>25</v>
      </c>
      <c r="I192" s="186" t="s">
        <v>364</v>
      </c>
      <c r="J192" s="186" t="s">
        <v>567</v>
      </c>
      <c r="K192" s="155" t="s">
        <v>198</v>
      </c>
      <c r="L192" s="155" t="s">
        <v>345</v>
      </c>
      <c r="N192" s="155"/>
    </row>
    <row r="193" spans="1:15" s="178" customFormat="1" ht="16.5" hidden="1">
      <c r="A193" s="227">
        <v>45222</v>
      </c>
      <c r="B193" s="155" t="s">
        <v>383</v>
      </c>
      <c r="C193" s="187" t="s">
        <v>75</v>
      </c>
      <c r="E193" s="155"/>
      <c r="F193" s="155">
        <v>20000</v>
      </c>
      <c r="G193" s="206">
        <f t="shared" si="2"/>
        <v>17129578</v>
      </c>
      <c r="H193" s="155" t="s">
        <v>25</v>
      </c>
      <c r="I193" s="155"/>
      <c r="J193" s="155"/>
      <c r="K193" s="155"/>
      <c r="L193" s="155"/>
      <c r="M193" s="155"/>
      <c r="N193" s="155"/>
      <c r="O193" s="196"/>
    </row>
    <row r="194" spans="1:15" s="178" customFormat="1" ht="16.5" hidden="1">
      <c r="A194" s="227">
        <v>45222</v>
      </c>
      <c r="B194" s="186" t="s">
        <v>477</v>
      </c>
      <c r="C194" s="187" t="s">
        <v>75</v>
      </c>
      <c r="E194" s="206">
        <v>20000</v>
      </c>
      <c r="F194" s="206"/>
      <c r="G194" s="206">
        <f t="shared" si="2"/>
        <v>17149578</v>
      </c>
      <c r="H194" s="186" t="s">
        <v>31</v>
      </c>
      <c r="J194" s="155"/>
      <c r="O194" s="282"/>
    </row>
    <row r="195" spans="1:15" s="297" customFormat="1" ht="16.5">
      <c r="A195" s="274">
        <v>45222</v>
      </c>
      <c r="B195" s="155" t="s">
        <v>508</v>
      </c>
      <c r="C195" s="155" t="s">
        <v>299</v>
      </c>
      <c r="D195" s="186" t="s">
        <v>4</v>
      </c>
      <c r="E195" s="155"/>
      <c r="F195" s="287">
        <v>60000</v>
      </c>
      <c r="G195" s="206">
        <f t="shared" si="2"/>
        <v>17089578</v>
      </c>
      <c r="H195" s="155" t="s">
        <v>312</v>
      </c>
      <c r="I195" s="155" t="s">
        <v>322</v>
      </c>
      <c r="J195" s="186" t="s">
        <v>352</v>
      </c>
      <c r="K195" s="155" t="s">
        <v>198</v>
      </c>
      <c r="L195" s="155" t="s">
        <v>345</v>
      </c>
      <c r="M195" s="155"/>
      <c r="N195" s="155"/>
      <c r="O195" s="155"/>
    </row>
    <row r="196" spans="1:15" s="297" customFormat="1" ht="16.5">
      <c r="A196" s="274">
        <v>45222</v>
      </c>
      <c r="B196" s="155" t="s">
        <v>342</v>
      </c>
      <c r="C196" s="155" t="s">
        <v>34</v>
      </c>
      <c r="D196" s="186" t="s">
        <v>4</v>
      </c>
      <c r="E196" s="155"/>
      <c r="F196" s="287">
        <v>10000</v>
      </c>
      <c r="G196" s="206">
        <f t="shared" si="2"/>
        <v>17079578</v>
      </c>
      <c r="H196" s="155" t="s">
        <v>312</v>
      </c>
      <c r="I196" s="155" t="s">
        <v>322</v>
      </c>
      <c r="J196" s="186" t="s">
        <v>352</v>
      </c>
      <c r="K196" s="155" t="s">
        <v>198</v>
      </c>
      <c r="L196" s="155" t="s">
        <v>345</v>
      </c>
      <c r="M196" s="155"/>
      <c r="N196" s="155"/>
      <c r="O196" s="155"/>
    </row>
    <row r="197" spans="1:15" s="297" customFormat="1" ht="16.5">
      <c r="A197" s="229">
        <v>45222</v>
      </c>
      <c r="B197" s="186" t="s">
        <v>518</v>
      </c>
      <c r="C197" s="155" t="s">
        <v>299</v>
      </c>
      <c r="D197" s="186" t="s">
        <v>154</v>
      </c>
      <c r="E197" s="206"/>
      <c r="F197" s="206">
        <v>50000</v>
      </c>
      <c r="G197" s="206">
        <f t="shared" si="2"/>
        <v>17029578</v>
      </c>
      <c r="H197" s="186" t="s">
        <v>298</v>
      </c>
      <c r="I197" s="186" t="s">
        <v>364</v>
      </c>
      <c r="J197" s="297" t="s">
        <v>102</v>
      </c>
      <c r="K197" s="155" t="s">
        <v>199</v>
      </c>
      <c r="L197" s="155" t="s">
        <v>345</v>
      </c>
      <c r="M197" s="235" t="s">
        <v>657</v>
      </c>
      <c r="N197" s="155" t="s">
        <v>560</v>
      </c>
      <c r="O197" s="228"/>
    </row>
    <row r="198" spans="1:15" s="297" customFormat="1" ht="16.5">
      <c r="A198" s="227">
        <v>45222</v>
      </c>
      <c r="B198" s="186" t="s">
        <v>531</v>
      </c>
      <c r="C198" s="187" t="s">
        <v>299</v>
      </c>
      <c r="D198" s="186" t="s">
        <v>4</v>
      </c>
      <c r="E198" s="206"/>
      <c r="F198" s="290">
        <v>90000</v>
      </c>
      <c r="G198" s="206">
        <f t="shared" si="2"/>
        <v>16939578</v>
      </c>
      <c r="H198" s="186" t="s">
        <v>29</v>
      </c>
      <c r="I198" s="186" t="s">
        <v>330</v>
      </c>
      <c r="J198" s="297" t="s">
        <v>352</v>
      </c>
      <c r="K198" s="155" t="s">
        <v>199</v>
      </c>
      <c r="L198" s="155" t="s">
        <v>345</v>
      </c>
      <c r="M198" s="235" t="s">
        <v>658</v>
      </c>
      <c r="N198" s="155" t="s">
        <v>560</v>
      </c>
      <c r="O198" s="206"/>
    </row>
    <row r="199" spans="1:15" s="297" customFormat="1" ht="16.5">
      <c r="A199" s="227">
        <v>45222</v>
      </c>
      <c r="B199" s="234" t="s">
        <v>572</v>
      </c>
      <c r="C199" s="187" t="s">
        <v>34</v>
      </c>
      <c r="D199" s="186" t="s">
        <v>4</v>
      </c>
      <c r="E199" s="218"/>
      <c r="F199" s="294">
        <v>6000</v>
      </c>
      <c r="G199" s="206">
        <f t="shared" si="2"/>
        <v>16933578</v>
      </c>
      <c r="H199" s="234" t="s">
        <v>29</v>
      </c>
      <c r="I199" s="186" t="s">
        <v>330</v>
      </c>
      <c r="J199" s="297" t="s">
        <v>352</v>
      </c>
      <c r="K199" s="155" t="s">
        <v>199</v>
      </c>
      <c r="L199" s="155" t="s">
        <v>345</v>
      </c>
      <c r="M199" s="235" t="s">
        <v>659</v>
      </c>
      <c r="N199" s="155" t="s">
        <v>559</v>
      </c>
    </row>
    <row r="200" spans="1:15" s="297" customFormat="1" ht="16.5">
      <c r="A200" s="231">
        <v>45222</v>
      </c>
      <c r="B200" s="186" t="s">
        <v>542</v>
      </c>
      <c r="C200" s="155" t="s">
        <v>327</v>
      </c>
      <c r="D200" s="186" t="s">
        <v>4</v>
      </c>
      <c r="F200" s="288">
        <v>30000</v>
      </c>
      <c r="G200" s="206">
        <f t="shared" si="2"/>
        <v>16903578</v>
      </c>
      <c r="H200" s="186" t="s">
        <v>268</v>
      </c>
      <c r="I200" s="186" t="s">
        <v>322</v>
      </c>
      <c r="J200" s="297" t="s">
        <v>331</v>
      </c>
      <c r="K200" s="155" t="s">
        <v>198</v>
      </c>
      <c r="L200" s="155" t="s">
        <v>345</v>
      </c>
      <c r="N200" s="155"/>
    </row>
    <row r="201" spans="1:15" s="297" customFormat="1" ht="16.5">
      <c r="A201" s="231">
        <v>45222</v>
      </c>
      <c r="B201" s="186" t="s">
        <v>543</v>
      </c>
      <c r="C201" s="155" t="s">
        <v>34</v>
      </c>
      <c r="D201" s="186" t="s">
        <v>4</v>
      </c>
      <c r="F201" s="292">
        <v>11000</v>
      </c>
      <c r="G201" s="206">
        <f t="shared" si="2"/>
        <v>16892578</v>
      </c>
      <c r="H201" s="186" t="s">
        <v>268</v>
      </c>
      <c r="I201" s="155" t="s">
        <v>322</v>
      </c>
      <c r="J201" s="297" t="s">
        <v>352</v>
      </c>
      <c r="K201" s="155" t="s">
        <v>199</v>
      </c>
      <c r="L201" s="155" t="s">
        <v>345</v>
      </c>
      <c r="M201" s="235" t="s">
        <v>660</v>
      </c>
      <c r="N201" s="155" t="s">
        <v>559</v>
      </c>
    </row>
    <row r="202" spans="1:15" s="297" customFormat="1" ht="16.5">
      <c r="A202" s="227">
        <v>45223</v>
      </c>
      <c r="B202" s="186" t="s">
        <v>412</v>
      </c>
      <c r="C202" s="187" t="s">
        <v>3</v>
      </c>
      <c r="D202" s="186" t="s">
        <v>320</v>
      </c>
      <c r="F202" s="297">
        <v>20000</v>
      </c>
      <c r="G202" s="206">
        <f t="shared" si="2"/>
        <v>16872578</v>
      </c>
      <c r="H202" s="186" t="s">
        <v>25</v>
      </c>
      <c r="I202" s="186" t="s">
        <v>323</v>
      </c>
      <c r="J202" s="186" t="s">
        <v>567</v>
      </c>
      <c r="K202" s="155" t="s">
        <v>198</v>
      </c>
      <c r="L202" s="155" t="s">
        <v>345</v>
      </c>
    </row>
    <row r="203" spans="1:15" s="178" customFormat="1" ht="16.5" hidden="1">
      <c r="A203" s="227">
        <v>45223</v>
      </c>
      <c r="B203" s="186" t="s">
        <v>389</v>
      </c>
      <c r="C203" s="155" t="s">
        <v>75</v>
      </c>
      <c r="D203" s="186"/>
      <c r="E203" s="206"/>
      <c r="F203" s="210">
        <v>126000</v>
      </c>
      <c r="G203" s="206">
        <f t="shared" si="2"/>
        <v>16746578</v>
      </c>
      <c r="H203" s="186" t="s">
        <v>25</v>
      </c>
      <c r="J203" s="186"/>
      <c r="K203" s="186"/>
      <c r="L203" s="186"/>
      <c r="M203" s="235"/>
      <c r="O203" s="283"/>
    </row>
    <row r="204" spans="1:15" s="178" customFormat="1" ht="16.5" hidden="1">
      <c r="A204" s="227">
        <v>45223</v>
      </c>
      <c r="B204" s="155" t="s">
        <v>377</v>
      </c>
      <c r="C204" s="155" t="s">
        <v>75</v>
      </c>
      <c r="D204" s="186"/>
      <c r="F204" s="155">
        <v>110000</v>
      </c>
      <c r="G204" s="206">
        <f t="shared" si="2"/>
        <v>16636578</v>
      </c>
      <c r="H204" s="155" t="s">
        <v>25</v>
      </c>
      <c r="J204" s="186"/>
      <c r="K204" s="186"/>
      <c r="L204" s="186"/>
      <c r="M204" s="235"/>
      <c r="O204" s="282"/>
    </row>
    <row r="205" spans="1:15" s="178" customFormat="1" ht="16.5" hidden="1">
      <c r="A205" s="225">
        <v>45223</v>
      </c>
      <c r="B205" s="217" t="s">
        <v>457</v>
      </c>
      <c r="C205" s="186" t="s">
        <v>75</v>
      </c>
      <c r="D205" s="186"/>
      <c r="E205" s="155">
        <v>110000</v>
      </c>
      <c r="F205" s="186"/>
      <c r="G205" s="206">
        <f t="shared" si="2"/>
        <v>16746578</v>
      </c>
      <c r="H205" s="186" t="s">
        <v>297</v>
      </c>
      <c r="I205" s="187"/>
      <c r="J205" s="186"/>
      <c r="M205" s="235"/>
      <c r="O205" s="282"/>
    </row>
    <row r="206" spans="1:15" s="297" customFormat="1" ht="16.5">
      <c r="A206" s="231">
        <v>45223</v>
      </c>
      <c r="B206" s="232" t="s">
        <v>466</v>
      </c>
      <c r="C206" s="155" t="s">
        <v>314</v>
      </c>
      <c r="D206" s="186" t="s">
        <v>154</v>
      </c>
      <c r="E206" s="190"/>
      <c r="F206" s="217">
        <v>10000</v>
      </c>
      <c r="G206" s="206">
        <f t="shared" ref="G206:G269" si="3">+G205+E206-F206</f>
        <v>16736578</v>
      </c>
      <c r="H206" s="226" t="s">
        <v>297</v>
      </c>
      <c r="I206" s="186" t="s">
        <v>322</v>
      </c>
      <c r="J206" s="297" t="s">
        <v>102</v>
      </c>
      <c r="K206" s="155" t="s">
        <v>199</v>
      </c>
      <c r="L206" s="155" t="s">
        <v>345</v>
      </c>
      <c r="M206" s="235" t="s">
        <v>661</v>
      </c>
      <c r="N206" s="155" t="s">
        <v>559</v>
      </c>
      <c r="O206" s="186"/>
    </row>
    <row r="207" spans="1:15" s="178" customFormat="1" ht="16.5" hidden="1">
      <c r="A207" s="227">
        <v>45223</v>
      </c>
      <c r="B207" s="234" t="s">
        <v>487</v>
      </c>
      <c r="C207" s="234" t="s">
        <v>488</v>
      </c>
      <c r="D207" s="186"/>
      <c r="E207" s="218">
        <v>126000</v>
      </c>
      <c r="F207" s="218"/>
      <c r="G207" s="206">
        <f t="shared" si="3"/>
        <v>16862578</v>
      </c>
      <c r="H207" s="186" t="s">
        <v>197</v>
      </c>
      <c r="I207" s="186"/>
      <c r="M207" s="186"/>
      <c r="O207" s="283"/>
    </row>
    <row r="208" spans="1:15" s="297" customFormat="1" ht="16.5">
      <c r="A208" s="227">
        <v>45223</v>
      </c>
      <c r="B208" s="155" t="s">
        <v>495</v>
      </c>
      <c r="C208" s="155" t="s">
        <v>34</v>
      </c>
      <c r="D208" s="186" t="s">
        <v>154</v>
      </c>
      <c r="E208" s="186"/>
      <c r="F208" s="186">
        <v>10000</v>
      </c>
      <c r="G208" s="206">
        <f t="shared" si="3"/>
        <v>16852578</v>
      </c>
      <c r="H208" s="186" t="s">
        <v>197</v>
      </c>
      <c r="I208" s="186" t="s">
        <v>323</v>
      </c>
      <c r="J208" s="297" t="s">
        <v>102</v>
      </c>
      <c r="K208" s="155" t="s">
        <v>199</v>
      </c>
      <c r="L208" s="155" t="s">
        <v>345</v>
      </c>
      <c r="M208" s="235" t="s">
        <v>662</v>
      </c>
      <c r="N208" s="155" t="s">
        <v>559</v>
      </c>
      <c r="O208" s="186"/>
    </row>
    <row r="209" spans="1:15" s="297" customFormat="1" ht="16.5">
      <c r="A209" s="229">
        <v>45224</v>
      </c>
      <c r="B209" s="206" t="s">
        <v>467</v>
      </c>
      <c r="C209" s="155" t="s">
        <v>299</v>
      </c>
      <c r="D209" s="186" t="s">
        <v>154</v>
      </c>
      <c r="F209" s="186">
        <v>30000</v>
      </c>
      <c r="G209" s="206">
        <f t="shared" si="3"/>
        <v>16822578</v>
      </c>
      <c r="H209" s="155" t="s">
        <v>297</v>
      </c>
      <c r="I209" s="186" t="s">
        <v>322</v>
      </c>
      <c r="J209" s="297" t="s">
        <v>102</v>
      </c>
      <c r="K209" s="155" t="s">
        <v>199</v>
      </c>
      <c r="L209" s="155" t="s">
        <v>345</v>
      </c>
      <c r="M209" s="235" t="s">
        <v>663</v>
      </c>
      <c r="N209" s="155" t="s">
        <v>560</v>
      </c>
      <c r="O209" s="186"/>
    </row>
    <row r="210" spans="1:15" s="297" customFormat="1" ht="16.5">
      <c r="A210" s="227">
        <v>45224</v>
      </c>
      <c r="B210" s="186" t="s">
        <v>496</v>
      </c>
      <c r="C210" s="155" t="s">
        <v>299</v>
      </c>
      <c r="D210" s="186" t="s">
        <v>154</v>
      </c>
      <c r="E210" s="186"/>
      <c r="F210" s="186">
        <v>30000</v>
      </c>
      <c r="G210" s="206">
        <f t="shared" si="3"/>
        <v>16792578</v>
      </c>
      <c r="H210" s="226" t="s">
        <v>197</v>
      </c>
      <c r="I210" s="155" t="s">
        <v>326</v>
      </c>
      <c r="J210" s="297" t="s">
        <v>102</v>
      </c>
      <c r="K210" s="155" t="s">
        <v>199</v>
      </c>
      <c r="L210" s="155" t="s">
        <v>345</v>
      </c>
      <c r="M210" s="235" t="s">
        <v>664</v>
      </c>
      <c r="N210" s="155" t="s">
        <v>560</v>
      </c>
      <c r="O210" s="186"/>
    </row>
    <row r="211" spans="1:15" s="297" customFormat="1" ht="16.5">
      <c r="A211" s="227">
        <v>45224</v>
      </c>
      <c r="B211" s="247" t="s">
        <v>576</v>
      </c>
      <c r="C211" s="155" t="s">
        <v>299</v>
      </c>
      <c r="D211" s="186" t="s">
        <v>154</v>
      </c>
      <c r="E211" s="226"/>
      <c r="F211" s="230">
        <v>30000</v>
      </c>
      <c r="G211" s="206">
        <f t="shared" si="3"/>
        <v>16762578</v>
      </c>
      <c r="H211" s="186" t="s">
        <v>298</v>
      </c>
      <c r="I211" s="186" t="s">
        <v>322</v>
      </c>
      <c r="J211" s="297" t="s">
        <v>102</v>
      </c>
      <c r="K211" s="155" t="s">
        <v>199</v>
      </c>
      <c r="L211" s="155" t="s">
        <v>345</v>
      </c>
      <c r="M211" s="235" t="s">
        <v>665</v>
      </c>
      <c r="N211" s="155" t="s">
        <v>560</v>
      </c>
      <c r="O211" s="186"/>
    </row>
    <row r="212" spans="1:15" s="297" customFormat="1" ht="16.5">
      <c r="A212" s="231">
        <v>45224</v>
      </c>
      <c r="B212" s="186" t="s">
        <v>519</v>
      </c>
      <c r="C212" s="186" t="s">
        <v>34</v>
      </c>
      <c r="D212" s="155" t="s">
        <v>154</v>
      </c>
      <c r="E212" s="226"/>
      <c r="F212" s="186">
        <v>6000</v>
      </c>
      <c r="G212" s="206">
        <f t="shared" si="3"/>
        <v>16756578</v>
      </c>
      <c r="H212" s="234" t="s">
        <v>298</v>
      </c>
      <c r="I212" s="232" t="s">
        <v>322</v>
      </c>
      <c r="J212" s="297" t="s">
        <v>102</v>
      </c>
      <c r="K212" s="155" t="s">
        <v>199</v>
      </c>
      <c r="L212" s="155" t="s">
        <v>345</v>
      </c>
      <c r="M212" s="235" t="s">
        <v>666</v>
      </c>
      <c r="N212" s="155" t="s">
        <v>559</v>
      </c>
    </row>
    <row r="213" spans="1:15" s="297" customFormat="1" ht="16.5">
      <c r="A213" s="227">
        <v>45224</v>
      </c>
      <c r="B213" s="186" t="s">
        <v>520</v>
      </c>
      <c r="C213" s="186" t="s">
        <v>34</v>
      </c>
      <c r="D213" s="155" t="s">
        <v>154</v>
      </c>
      <c r="F213" s="186">
        <v>4000</v>
      </c>
      <c r="G213" s="206">
        <f t="shared" si="3"/>
        <v>16752578</v>
      </c>
      <c r="H213" s="234" t="s">
        <v>298</v>
      </c>
      <c r="I213" s="187" t="s">
        <v>322</v>
      </c>
      <c r="J213" s="297" t="s">
        <v>102</v>
      </c>
      <c r="K213" s="155" t="s">
        <v>199</v>
      </c>
      <c r="L213" s="155" t="s">
        <v>345</v>
      </c>
      <c r="M213" s="235" t="s">
        <v>667</v>
      </c>
      <c r="N213" s="155" t="s">
        <v>559</v>
      </c>
      <c r="O213" s="155"/>
    </row>
    <row r="214" spans="1:15" s="297" customFormat="1" ht="16.5">
      <c r="A214" s="225">
        <v>45225</v>
      </c>
      <c r="B214" s="186" t="s">
        <v>532</v>
      </c>
      <c r="C214" s="187" t="s">
        <v>299</v>
      </c>
      <c r="D214" s="186" t="s">
        <v>4</v>
      </c>
      <c r="E214" s="206"/>
      <c r="F214" s="290">
        <v>45000</v>
      </c>
      <c r="G214" s="206">
        <f t="shared" si="3"/>
        <v>16707578</v>
      </c>
      <c r="H214" s="186" t="s">
        <v>29</v>
      </c>
      <c r="I214" s="186" t="s">
        <v>330</v>
      </c>
      <c r="J214" s="297" t="s">
        <v>352</v>
      </c>
      <c r="K214" s="155" t="s">
        <v>199</v>
      </c>
      <c r="L214" s="155" t="s">
        <v>345</v>
      </c>
      <c r="M214" s="235" t="s">
        <v>668</v>
      </c>
      <c r="N214" s="155" t="s">
        <v>560</v>
      </c>
    </row>
    <row r="215" spans="1:15" s="297" customFormat="1" ht="16.5">
      <c r="A215" s="227">
        <v>45225</v>
      </c>
      <c r="B215" s="186" t="s">
        <v>533</v>
      </c>
      <c r="C215" s="187" t="s">
        <v>34</v>
      </c>
      <c r="D215" s="186" t="s">
        <v>4</v>
      </c>
      <c r="E215" s="206"/>
      <c r="F215" s="289">
        <v>3000</v>
      </c>
      <c r="G215" s="206">
        <f t="shared" si="3"/>
        <v>16704578</v>
      </c>
      <c r="H215" s="186" t="s">
        <v>29</v>
      </c>
      <c r="I215" s="186" t="s">
        <v>330</v>
      </c>
      <c r="J215" s="297" t="s">
        <v>352</v>
      </c>
      <c r="K215" s="155" t="s">
        <v>199</v>
      </c>
      <c r="L215" s="155" t="s">
        <v>345</v>
      </c>
      <c r="M215" s="235" t="s">
        <v>669</v>
      </c>
      <c r="N215" s="155" t="s">
        <v>559</v>
      </c>
    </row>
    <row r="216" spans="1:15" s="297" customFormat="1" ht="16.5">
      <c r="A216" s="227">
        <v>45225</v>
      </c>
      <c r="B216" s="186" t="s">
        <v>544</v>
      </c>
      <c r="C216" s="186" t="s">
        <v>327</v>
      </c>
      <c r="D216" s="186" t="s">
        <v>4</v>
      </c>
      <c r="F216" s="300">
        <v>45000</v>
      </c>
      <c r="G216" s="206">
        <f t="shared" si="3"/>
        <v>16659578</v>
      </c>
      <c r="H216" s="186" t="s">
        <v>268</v>
      </c>
      <c r="I216" s="186" t="s">
        <v>322</v>
      </c>
      <c r="J216" s="297" t="s">
        <v>352</v>
      </c>
      <c r="K216" s="155" t="s">
        <v>199</v>
      </c>
      <c r="L216" s="155" t="s">
        <v>345</v>
      </c>
      <c r="M216" s="235" t="s">
        <v>670</v>
      </c>
      <c r="N216" s="155" t="s">
        <v>560</v>
      </c>
    </row>
    <row r="217" spans="1:15" s="297" customFormat="1" ht="16.5">
      <c r="A217" s="227">
        <v>45225</v>
      </c>
      <c r="B217" s="232" t="s">
        <v>545</v>
      </c>
      <c r="C217" s="155" t="s">
        <v>34</v>
      </c>
      <c r="D217" s="186" t="s">
        <v>4</v>
      </c>
      <c r="F217" s="292">
        <v>5000</v>
      </c>
      <c r="G217" s="206">
        <f t="shared" si="3"/>
        <v>16654578</v>
      </c>
      <c r="H217" s="186" t="s">
        <v>268</v>
      </c>
      <c r="I217" s="186" t="s">
        <v>322</v>
      </c>
      <c r="J217" s="297" t="s">
        <v>352</v>
      </c>
      <c r="K217" s="155" t="s">
        <v>199</v>
      </c>
      <c r="L217" s="155" t="s">
        <v>345</v>
      </c>
      <c r="M217" s="235" t="s">
        <v>671</v>
      </c>
      <c r="N217" s="155" t="s">
        <v>559</v>
      </c>
    </row>
    <row r="218" spans="1:15" s="297" customFormat="1" ht="16.5">
      <c r="A218" s="227">
        <v>45226</v>
      </c>
      <c r="B218" s="186" t="s">
        <v>413</v>
      </c>
      <c r="C218" s="186" t="s">
        <v>229</v>
      </c>
      <c r="D218" s="186" t="s">
        <v>155</v>
      </c>
      <c r="F218" s="298">
        <v>42000</v>
      </c>
      <c r="G218" s="206">
        <f t="shared" si="3"/>
        <v>16612578</v>
      </c>
      <c r="H218" s="186" t="s">
        <v>25</v>
      </c>
      <c r="I218" s="297" t="s">
        <v>364</v>
      </c>
      <c r="J218" s="186" t="s">
        <v>567</v>
      </c>
      <c r="K218" s="155" t="s">
        <v>198</v>
      </c>
      <c r="L218" s="155" t="s">
        <v>345</v>
      </c>
      <c r="M218" s="235"/>
      <c r="N218" s="155"/>
    </row>
    <row r="219" spans="1:15" s="178" customFormat="1" ht="16.5" hidden="1">
      <c r="A219" s="227">
        <v>45226</v>
      </c>
      <c r="B219" s="234" t="s">
        <v>414</v>
      </c>
      <c r="C219" s="155" t="s">
        <v>75</v>
      </c>
      <c r="E219" s="218"/>
      <c r="F219" s="218">
        <v>20000</v>
      </c>
      <c r="G219" s="206">
        <f t="shared" si="3"/>
        <v>16592578</v>
      </c>
      <c r="H219" s="186" t="s">
        <v>25</v>
      </c>
      <c r="I219" s="186"/>
      <c r="J219" s="186"/>
      <c r="K219" s="186"/>
      <c r="L219" s="186"/>
      <c r="M219" s="235"/>
      <c r="O219" s="283"/>
    </row>
    <row r="220" spans="1:15" s="297" customFormat="1" ht="16.5">
      <c r="A220" s="227">
        <v>45226</v>
      </c>
      <c r="B220" s="155" t="s">
        <v>468</v>
      </c>
      <c r="C220" s="186" t="s">
        <v>522</v>
      </c>
      <c r="D220" s="186" t="s">
        <v>154</v>
      </c>
      <c r="F220" s="155">
        <v>22000</v>
      </c>
      <c r="G220" s="206">
        <f t="shared" si="3"/>
        <v>16570578</v>
      </c>
      <c r="H220" s="155" t="s">
        <v>297</v>
      </c>
      <c r="I220" s="155" t="s">
        <v>326</v>
      </c>
      <c r="J220" s="186" t="s">
        <v>567</v>
      </c>
      <c r="K220" s="155" t="s">
        <v>198</v>
      </c>
      <c r="L220" s="155" t="s">
        <v>345</v>
      </c>
    </row>
    <row r="221" spans="1:15" s="178" customFormat="1" ht="16.5" hidden="1">
      <c r="A221" s="227">
        <v>45226</v>
      </c>
      <c r="B221" s="186" t="s">
        <v>475</v>
      </c>
      <c r="C221" s="155" t="s">
        <v>75</v>
      </c>
      <c r="D221" s="186"/>
      <c r="E221" s="206">
        <v>20000</v>
      </c>
      <c r="F221" s="206"/>
      <c r="G221" s="206">
        <f t="shared" si="3"/>
        <v>16590578</v>
      </c>
      <c r="H221" s="186" t="s">
        <v>306</v>
      </c>
      <c r="I221" s="186"/>
      <c r="J221" s="186"/>
      <c r="K221" s="186"/>
      <c r="L221" s="186"/>
      <c r="M221" s="235"/>
      <c r="N221" s="186"/>
      <c r="O221" s="283"/>
    </row>
    <row r="222" spans="1:15" s="297" customFormat="1" ht="16.5">
      <c r="A222" s="227">
        <v>45226</v>
      </c>
      <c r="B222" s="232" t="s">
        <v>483</v>
      </c>
      <c r="C222" s="187" t="s">
        <v>34</v>
      </c>
      <c r="D222" s="186" t="s">
        <v>155</v>
      </c>
      <c r="E222" s="186"/>
      <c r="F222" s="190">
        <v>51000</v>
      </c>
      <c r="G222" s="206">
        <f t="shared" si="3"/>
        <v>16539578</v>
      </c>
      <c r="H222" s="186" t="s">
        <v>31</v>
      </c>
      <c r="I222" s="186" t="s">
        <v>326</v>
      </c>
      <c r="J222" s="297" t="s">
        <v>102</v>
      </c>
      <c r="K222" s="155" t="s">
        <v>199</v>
      </c>
      <c r="L222" s="155" t="s">
        <v>345</v>
      </c>
      <c r="M222" s="235" t="s">
        <v>672</v>
      </c>
      <c r="N222" s="155" t="s">
        <v>559</v>
      </c>
      <c r="O222" s="186"/>
    </row>
    <row r="223" spans="1:15" s="297" customFormat="1" ht="16.5">
      <c r="A223" s="227">
        <v>45226</v>
      </c>
      <c r="B223" s="186" t="s">
        <v>497</v>
      </c>
      <c r="C223" s="186" t="s">
        <v>522</v>
      </c>
      <c r="D223" s="186" t="s">
        <v>154</v>
      </c>
      <c r="E223" s="206"/>
      <c r="F223" s="206">
        <v>29000</v>
      </c>
      <c r="G223" s="206">
        <f t="shared" si="3"/>
        <v>16510578</v>
      </c>
      <c r="H223" s="186" t="s">
        <v>197</v>
      </c>
      <c r="I223" s="186" t="s">
        <v>326</v>
      </c>
      <c r="J223" s="186" t="s">
        <v>567</v>
      </c>
      <c r="K223" s="155" t="s">
        <v>198</v>
      </c>
      <c r="L223" s="155" t="s">
        <v>345</v>
      </c>
      <c r="M223" s="235"/>
      <c r="O223" s="186"/>
    </row>
    <row r="224" spans="1:15" s="297" customFormat="1" ht="16.5">
      <c r="A224" s="227">
        <v>45226</v>
      </c>
      <c r="B224" s="186" t="s">
        <v>521</v>
      </c>
      <c r="C224" s="186" t="s">
        <v>522</v>
      </c>
      <c r="D224" s="186" t="s">
        <v>154</v>
      </c>
      <c r="E224" s="206"/>
      <c r="F224" s="206">
        <v>26000</v>
      </c>
      <c r="G224" s="206">
        <f t="shared" si="3"/>
        <v>16484578</v>
      </c>
      <c r="H224" s="186" t="s">
        <v>298</v>
      </c>
      <c r="I224" s="186" t="s">
        <v>364</v>
      </c>
      <c r="J224" s="186" t="s">
        <v>567</v>
      </c>
      <c r="K224" s="155" t="s">
        <v>198</v>
      </c>
      <c r="L224" s="155" t="s">
        <v>345</v>
      </c>
      <c r="M224" s="235"/>
    </row>
    <row r="225" spans="1:15" s="297" customFormat="1" ht="16.5">
      <c r="A225" s="227">
        <v>45226</v>
      </c>
      <c r="B225" s="186" t="s">
        <v>534</v>
      </c>
      <c r="C225" s="155" t="s">
        <v>329</v>
      </c>
      <c r="D225" s="186" t="s">
        <v>4</v>
      </c>
      <c r="E225" s="186"/>
      <c r="F225" s="287">
        <v>52500</v>
      </c>
      <c r="G225" s="206">
        <f t="shared" si="3"/>
        <v>16432078</v>
      </c>
      <c r="H225" s="155" t="s">
        <v>29</v>
      </c>
      <c r="I225" s="186" t="s">
        <v>364</v>
      </c>
      <c r="J225" s="186" t="s">
        <v>352</v>
      </c>
      <c r="K225" s="155" t="s">
        <v>198</v>
      </c>
      <c r="L225" s="155" t="s">
        <v>345</v>
      </c>
      <c r="M225" s="235"/>
      <c r="N225" s="186"/>
    </row>
    <row r="226" spans="1:15" s="297" customFormat="1" ht="16.5">
      <c r="A226" s="227">
        <v>45226</v>
      </c>
      <c r="B226" s="232" t="s">
        <v>546</v>
      </c>
      <c r="C226" s="155" t="s">
        <v>329</v>
      </c>
      <c r="D226" s="186" t="s">
        <v>4</v>
      </c>
      <c r="E226" s="186"/>
      <c r="F226" s="290">
        <v>16000</v>
      </c>
      <c r="G226" s="206">
        <f t="shared" si="3"/>
        <v>16416078</v>
      </c>
      <c r="H226" s="186" t="s">
        <v>268</v>
      </c>
      <c r="I226" s="186" t="s">
        <v>322</v>
      </c>
      <c r="J226" s="186" t="s">
        <v>352</v>
      </c>
      <c r="K226" s="155" t="s">
        <v>198</v>
      </c>
      <c r="L226" s="155" t="s">
        <v>345</v>
      </c>
      <c r="M226" s="235"/>
      <c r="O226" s="186"/>
    </row>
    <row r="227" spans="1:15" s="297" customFormat="1" ht="16.5">
      <c r="A227" s="227">
        <v>45227</v>
      </c>
      <c r="B227" s="186" t="s">
        <v>469</v>
      </c>
      <c r="C227" s="187" t="s">
        <v>314</v>
      </c>
      <c r="D227" s="186" t="s">
        <v>154</v>
      </c>
      <c r="F227" s="298">
        <v>10000</v>
      </c>
      <c r="G227" s="206">
        <f t="shared" si="3"/>
        <v>16406078</v>
      </c>
      <c r="H227" s="186" t="s">
        <v>297</v>
      </c>
      <c r="I227" s="297" t="s">
        <v>322</v>
      </c>
      <c r="J227" s="297" t="s">
        <v>102</v>
      </c>
      <c r="K227" s="155" t="s">
        <v>199</v>
      </c>
      <c r="L227" s="155" t="s">
        <v>345</v>
      </c>
      <c r="M227" s="235" t="s">
        <v>673</v>
      </c>
      <c r="N227" s="155" t="s">
        <v>559</v>
      </c>
    </row>
    <row r="228" spans="1:15" s="297" customFormat="1" ht="16.5">
      <c r="A228" s="227">
        <v>45227</v>
      </c>
      <c r="B228" s="186" t="s">
        <v>470</v>
      </c>
      <c r="C228" s="155" t="s">
        <v>299</v>
      </c>
      <c r="D228" s="186" t="s">
        <v>154</v>
      </c>
      <c r="E228" s="239"/>
      <c r="F228" s="239">
        <v>45000</v>
      </c>
      <c r="G228" s="206">
        <f t="shared" si="3"/>
        <v>16361078</v>
      </c>
      <c r="H228" s="241" t="s">
        <v>297</v>
      </c>
      <c r="I228" s="186" t="s">
        <v>322</v>
      </c>
      <c r="J228" s="297" t="s">
        <v>102</v>
      </c>
      <c r="K228" s="155" t="s">
        <v>199</v>
      </c>
      <c r="L228" s="155" t="s">
        <v>345</v>
      </c>
      <c r="M228" s="235" t="s">
        <v>674</v>
      </c>
      <c r="N228" s="155" t="s">
        <v>560</v>
      </c>
      <c r="O228" s="186"/>
    </row>
    <row r="229" spans="1:15" s="297" customFormat="1" ht="16.5">
      <c r="A229" s="227">
        <v>45227</v>
      </c>
      <c r="B229" s="232" t="s">
        <v>471</v>
      </c>
      <c r="C229" s="155" t="s">
        <v>314</v>
      </c>
      <c r="D229" s="186" t="s">
        <v>154</v>
      </c>
      <c r="E229" s="189"/>
      <c r="F229" s="217">
        <v>42900</v>
      </c>
      <c r="G229" s="206">
        <f t="shared" si="3"/>
        <v>16318178</v>
      </c>
      <c r="H229" s="206" t="s">
        <v>297</v>
      </c>
      <c r="I229" s="186" t="s">
        <v>326</v>
      </c>
      <c r="J229" s="297" t="s">
        <v>102</v>
      </c>
      <c r="K229" s="155" t="s">
        <v>199</v>
      </c>
      <c r="L229" s="155" t="s">
        <v>345</v>
      </c>
      <c r="M229" s="235" t="s">
        <v>675</v>
      </c>
      <c r="N229" s="155" t="s">
        <v>559</v>
      </c>
      <c r="O229" s="186"/>
    </row>
    <row r="230" spans="1:15" s="297" customFormat="1" ht="16.5">
      <c r="A230" s="227">
        <v>45227</v>
      </c>
      <c r="B230" s="155" t="s">
        <v>498</v>
      </c>
      <c r="C230" s="155" t="s">
        <v>34</v>
      </c>
      <c r="D230" s="186" t="s">
        <v>154</v>
      </c>
      <c r="F230" s="190">
        <v>10000</v>
      </c>
      <c r="G230" s="206">
        <f t="shared" si="3"/>
        <v>16308178</v>
      </c>
      <c r="H230" s="155" t="s">
        <v>197</v>
      </c>
      <c r="I230" s="186" t="s">
        <v>323</v>
      </c>
      <c r="J230" s="297" t="s">
        <v>102</v>
      </c>
      <c r="K230" s="155" t="s">
        <v>199</v>
      </c>
      <c r="L230" s="155" t="s">
        <v>345</v>
      </c>
      <c r="M230" s="235" t="s">
        <v>676</v>
      </c>
      <c r="N230" s="155" t="s">
        <v>559</v>
      </c>
    </row>
    <row r="231" spans="1:15" s="297" customFormat="1" ht="16.5">
      <c r="A231" s="225">
        <v>45227</v>
      </c>
      <c r="B231" s="155" t="s">
        <v>500</v>
      </c>
      <c r="C231" s="155" t="s">
        <v>299</v>
      </c>
      <c r="D231" s="186" t="s">
        <v>154</v>
      </c>
      <c r="F231" s="230">
        <v>45000</v>
      </c>
      <c r="G231" s="206">
        <f t="shared" si="3"/>
        <v>16263178</v>
      </c>
      <c r="H231" s="155" t="s">
        <v>197</v>
      </c>
      <c r="I231" s="155" t="s">
        <v>323</v>
      </c>
      <c r="J231" s="297" t="s">
        <v>102</v>
      </c>
      <c r="K231" s="155" t="s">
        <v>199</v>
      </c>
      <c r="L231" s="155" t="s">
        <v>345</v>
      </c>
      <c r="M231" s="235" t="s">
        <v>677</v>
      </c>
      <c r="N231" s="155" t="s">
        <v>560</v>
      </c>
    </row>
    <row r="232" spans="1:15" s="297" customFormat="1" ht="16.5">
      <c r="A232" s="225">
        <v>45227</v>
      </c>
      <c r="B232" s="155" t="s">
        <v>499</v>
      </c>
      <c r="C232" s="186" t="s">
        <v>34</v>
      </c>
      <c r="D232" s="186" t="s">
        <v>154</v>
      </c>
      <c r="E232" s="238"/>
      <c r="F232" s="186">
        <v>57300</v>
      </c>
      <c r="G232" s="206">
        <f t="shared" si="3"/>
        <v>16205878</v>
      </c>
      <c r="H232" s="186" t="s">
        <v>197</v>
      </c>
      <c r="I232" s="245" t="s">
        <v>326</v>
      </c>
      <c r="J232" s="297" t="s">
        <v>102</v>
      </c>
      <c r="K232" s="155" t="s">
        <v>199</v>
      </c>
      <c r="L232" s="155" t="s">
        <v>345</v>
      </c>
      <c r="M232" s="235" t="s">
        <v>678</v>
      </c>
      <c r="N232" s="155" t="s">
        <v>559</v>
      </c>
      <c r="O232" s="186"/>
    </row>
    <row r="233" spans="1:15" s="297" customFormat="1" ht="16.5">
      <c r="A233" s="227">
        <v>45227</v>
      </c>
      <c r="B233" s="186" t="s">
        <v>577</v>
      </c>
      <c r="C233" s="186" t="s">
        <v>299</v>
      </c>
      <c r="D233" s="186" t="s">
        <v>154</v>
      </c>
      <c r="E233" s="206"/>
      <c r="F233" s="206">
        <v>45000</v>
      </c>
      <c r="G233" s="206">
        <f t="shared" si="3"/>
        <v>16160878</v>
      </c>
      <c r="H233" s="186" t="s">
        <v>298</v>
      </c>
      <c r="I233" s="186" t="s">
        <v>322</v>
      </c>
      <c r="J233" s="297" t="s">
        <v>102</v>
      </c>
      <c r="K233" s="155" t="s">
        <v>199</v>
      </c>
      <c r="L233" s="155" t="s">
        <v>345</v>
      </c>
      <c r="M233" s="235" t="s">
        <v>679</v>
      </c>
      <c r="N233" s="155" t="s">
        <v>560</v>
      </c>
    </row>
    <row r="234" spans="1:15" s="297" customFormat="1" ht="16.5">
      <c r="A234" s="227">
        <v>45227</v>
      </c>
      <c r="B234" s="155" t="s">
        <v>523</v>
      </c>
      <c r="C234" s="155" t="s">
        <v>34</v>
      </c>
      <c r="D234" s="186" t="s">
        <v>154</v>
      </c>
      <c r="E234" s="155"/>
      <c r="F234" s="155">
        <v>5000</v>
      </c>
      <c r="G234" s="206">
        <f t="shared" si="3"/>
        <v>16155878</v>
      </c>
      <c r="H234" s="155" t="s">
        <v>298</v>
      </c>
      <c r="I234" s="155" t="s">
        <v>322</v>
      </c>
      <c r="J234" s="297" t="s">
        <v>102</v>
      </c>
      <c r="K234" s="155" t="s">
        <v>199</v>
      </c>
      <c r="L234" s="155" t="s">
        <v>345</v>
      </c>
      <c r="M234" s="235" t="s">
        <v>680</v>
      </c>
      <c r="N234" s="155" t="s">
        <v>559</v>
      </c>
      <c r="O234" s="155"/>
    </row>
    <row r="235" spans="1:15" s="297" customFormat="1" ht="16.5">
      <c r="A235" s="227">
        <v>45227</v>
      </c>
      <c r="B235" s="155" t="s">
        <v>524</v>
      </c>
      <c r="C235" s="155" t="s">
        <v>34</v>
      </c>
      <c r="D235" s="186" t="s">
        <v>154</v>
      </c>
      <c r="E235" s="155"/>
      <c r="F235" s="155">
        <v>6000</v>
      </c>
      <c r="G235" s="206">
        <f t="shared" si="3"/>
        <v>16149878</v>
      </c>
      <c r="H235" s="155" t="s">
        <v>298</v>
      </c>
      <c r="I235" s="155" t="s">
        <v>322</v>
      </c>
      <c r="J235" s="297" t="s">
        <v>102</v>
      </c>
      <c r="K235" s="155" t="s">
        <v>199</v>
      </c>
      <c r="L235" s="155" t="s">
        <v>345</v>
      </c>
      <c r="M235" s="235" t="s">
        <v>681</v>
      </c>
      <c r="N235" s="155" t="s">
        <v>559</v>
      </c>
      <c r="O235" s="155"/>
    </row>
    <row r="236" spans="1:15" s="297" customFormat="1" ht="16.5">
      <c r="A236" s="227">
        <v>45227</v>
      </c>
      <c r="B236" s="186" t="s">
        <v>525</v>
      </c>
      <c r="C236" s="186" t="s">
        <v>34</v>
      </c>
      <c r="D236" s="186" t="s">
        <v>154</v>
      </c>
      <c r="F236" s="298">
        <v>64700</v>
      </c>
      <c r="G236" s="206">
        <f t="shared" si="3"/>
        <v>16085178</v>
      </c>
      <c r="H236" s="186" t="s">
        <v>298</v>
      </c>
      <c r="I236" s="186" t="s">
        <v>364</v>
      </c>
      <c r="J236" s="297" t="s">
        <v>102</v>
      </c>
      <c r="K236" s="155" t="s">
        <v>199</v>
      </c>
      <c r="L236" s="155" t="s">
        <v>345</v>
      </c>
      <c r="M236" s="235" t="s">
        <v>682</v>
      </c>
      <c r="N236" s="155" t="s">
        <v>559</v>
      </c>
    </row>
    <row r="237" spans="1:15" s="297" customFormat="1" ht="16.5">
      <c r="A237" s="227">
        <v>45227</v>
      </c>
      <c r="B237" s="232" t="s">
        <v>535</v>
      </c>
      <c r="C237" s="155" t="s">
        <v>34</v>
      </c>
      <c r="D237" s="186" t="s">
        <v>4</v>
      </c>
      <c r="F237" s="290">
        <v>7000</v>
      </c>
      <c r="G237" s="206">
        <f t="shared" si="3"/>
        <v>16078178</v>
      </c>
      <c r="H237" s="186" t="s">
        <v>29</v>
      </c>
      <c r="I237" s="186" t="s">
        <v>330</v>
      </c>
      <c r="J237" s="297" t="s">
        <v>352</v>
      </c>
      <c r="K237" s="155" t="s">
        <v>199</v>
      </c>
      <c r="L237" s="155" t="s">
        <v>345</v>
      </c>
      <c r="M237" s="235" t="s">
        <v>683</v>
      </c>
      <c r="N237" s="155" t="s">
        <v>559</v>
      </c>
    </row>
    <row r="238" spans="1:15" s="297" customFormat="1" ht="16.5">
      <c r="A238" s="227">
        <v>45227</v>
      </c>
      <c r="B238" s="155" t="s">
        <v>536</v>
      </c>
      <c r="C238" s="186" t="s">
        <v>299</v>
      </c>
      <c r="D238" s="186" t="s">
        <v>4</v>
      </c>
      <c r="F238" s="288">
        <v>30000</v>
      </c>
      <c r="G238" s="206">
        <f t="shared" si="3"/>
        <v>16048178</v>
      </c>
      <c r="H238" s="186" t="s">
        <v>29</v>
      </c>
      <c r="I238" s="187" t="s">
        <v>330</v>
      </c>
      <c r="J238" s="297" t="s">
        <v>352</v>
      </c>
      <c r="K238" s="155" t="s">
        <v>199</v>
      </c>
      <c r="L238" s="155" t="s">
        <v>345</v>
      </c>
      <c r="M238" s="235" t="s">
        <v>684</v>
      </c>
      <c r="N238" s="155" t="s">
        <v>560</v>
      </c>
      <c r="O238" s="155"/>
    </row>
    <row r="239" spans="1:15" s="297" customFormat="1" ht="16.5">
      <c r="A239" s="227">
        <v>45227</v>
      </c>
      <c r="B239" s="186" t="s">
        <v>573</v>
      </c>
      <c r="C239" s="186" t="s">
        <v>34</v>
      </c>
      <c r="D239" s="186" t="s">
        <v>4</v>
      </c>
      <c r="F239" s="292">
        <v>73200</v>
      </c>
      <c r="G239" s="206">
        <f t="shared" si="3"/>
        <v>15974978</v>
      </c>
      <c r="H239" s="234" t="s">
        <v>29</v>
      </c>
      <c r="I239" s="187" t="s">
        <v>364</v>
      </c>
      <c r="J239" s="297" t="s">
        <v>352</v>
      </c>
      <c r="K239" s="155" t="s">
        <v>199</v>
      </c>
      <c r="L239" s="155" t="s">
        <v>345</v>
      </c>
      <c r="M239" s="235" t="s">
        <v>685</v>
      </c>
      <c r="N239" s="155" t="s">
        <v>559</v>
      </c>
    </row>
    <row r="240" spans="1:15" s="297" customFormat="1" ht="16.5">
      <c r="A240" s="227">
        <v>45227</v>
      </c>
      <c r="B240" s="155" t="s">
        <v>547</v>
      </c>
      <c r="C240" s="155" t="s">
        <v>34</v>
      </c>
      <c r="D240" s="186" t="s">
        <v>4</v>
      </c>
      <c r="E240" s="155"/>
      <c r="F240" s="295">
        <v>6000</v>
      </c>
      <c r="G240" s="206">
        <f t="shared" si="3"/>
        <v>15968978</v>
      </c>
      <c r="H240" s="226" t="s">
        <v>268</v>
      </c>
      <c r="I240" s="186" t="s">
        <v>326</v>
      </c>
      <c r="J240" s="297" t="s">
        <v>352</v>
      </c>
      <c r="K240" s="155" t="s">
        <v>199</v>
      </c>
      <c r="L240" s="155" t="s">
        <v>345</v>
      </c>
      <c r="M240" s="235" t="s">
        <v>686</v>
      </c>
      <c r="N240" s="155" t="s">
        <v>559</v>
      </c>
      <c r="O240" s="155"/>
    </row>
    <row r="241" spans="1:15" s="297" customFormat="1" ht="16.5">
      <c r="A241" s="227">
        <v>45227</v>
      </c>
      <c r="B241" s="217" t="s">
        <v>548</v>
      </c>
      <c r="C241" s="155" t="s">
        <v>327</v>
      </c>
      <c r="D241" s="186" t="s">
        <v>4</v>
      </c>
      <c r="E241" s="155"/>
      <c r="F241" s="287">
        <v>30000</v>
      </c>
      <c r="G241" s="206">
        <f t="shared" si="3"/>
        <v>15938978</v>
      </c>
      <c r="H241" s="155" t="s">
        <v>268</v>
      </c>
      <c r="I241" s="186" t="s">
        <v>322</v>
      </c>
      <c r="J241" s="297" t="s">
        <v>352</v>
      </c>
      <c r="K241" s="155" t="s">
        <v>199</v>
      </c>
      <c r="L241" s="155" t="s">
        <v>345</v>
      </c>
      <c r="M241" s="235" t="s">
        <v>687</v>
      </c>
      <c r="N241" s="155" t="s">
        <v>560</v>
      </c>
      <c r="O241" s="155"/>
    </row>
    <row r="242" spans="1:15" s="297" customFormat="1" ht="16.5">
      <c r="A242" s="227">
        <v>45227</v>
      </c>
      <c r="B242" s="234" t="s">
        <v>549</v>
      </c>
      <c r="C242" s="234" t="s">
        <v>34</v>
      </c>
      <c r="D242" s="186" t="s">
        <v>4</v>
      </c>
      <c r="E242" s="218"/>
      <c r="F242" s="294">
        <v>46000</v>
      </c>
      <c r="G242" s="206">
        <f t="shared" si="3"/>
        <v>15892978</v>
      </c>
      <c r="H242" s="234" t="s">
        <v>268</v>
      </c>
      <c r="I242" s="186" t="s">
        <v>326</v>
      </c>
      <c r="J242" s="297" t="s">
        <v>352</v>
      </c>
      <c r="K242" s="155" t="s">
        <v>199</v>
      </c>
      <c r="L242" s="155" t="s">
        <v>345</v>
      </c>
      <c r="M242" s="235" t="s">
        <v>688</v>
      </c>
      <c r="N242" s="155" t="s">
        <v>559</v>
      </c>
    </row>
    <row r="243" spans="1:15" s="297" customFormat="1" ht="16.5">
      <c r="A243" s="227">
        <v>45229</v>
      </c>
      <c r="B243" s="186" t="s">
        <v>415</v>
      </c>
      <c r="C243" s="187" t="s">
        <v>3</v>
      </c>
      <c r="D243" s="186" t="s">
        <v>320</v>
      </c>
      <c r="E243" s="206"/>
      <c r="F243" s="206">
        <v>75625</v>
      </c>
      <c r="G243" s="206">
        <f t="shared" si="3"/>
        <v>15817353</v>
      </c>
      <c r="H243" s="186" t="s">
        <v>25</v>
      </c>
      <c r="I243" s="186" t="s">
        <v>323</v>
      </c>
      <c r="J243" s="186" t="s">
        <v>567</v>
      </c>
      <c r="K243" s="155" t="s">
        <v>198</v>
      </c>
      <c r="L243" s="155" t="s">
        <v>345</v>
      </c>
      <c r="N243" s="155"/>
    </row>
    <row r="244" spans="1:15" s="297" customFormat="1" ht="16.5">
      <c r="A244" s="229">
        <v>45230</v>
      </c>
      <c r="B244" s="232" t="s">
        <v>416</v>
      </c>
      <c r="C244" s="155" t="s">
        <v>267</v>
      </c>
      <c r="D244" s="155" t="s">
        <v>320</v>
      </c>
      <c r="F244" s="217">
        <v>45050</v>
      </c>
      <c r="G244" s="206">
        <f t="shared" si="3"/>
        <v>15772303</v>
      </c>
      <c r="H244" s="186" t="s">
        <v>25</v>
      </c>
      <c r="I244" s="186" t="s">
        <v>323</v>
      </c>
      <c r="J244" s="297" t="s">
        <v>102</v>
      </c>
      <c r="K244" s="226" t="s">
        <v>199</v>
      </c>
      <c r="L244" s="297" t="s">
        <v>345</v>
      </c>
      <c r="M244" s="235" t="s">
        <v>689</v>
      </c>
      <c r="N244" s="297" t="s">
        <v>553</v>
      </c>
    </row>
    <row r="245" spans="1:15" s="297" customFormat="1" ht="16.5">
      <c r="A245" s="227">
        <v>45230</v>
      </c>
      <c r="B245" s="155" t="s">
        <v>417</v>
      </c>
      <c r="C245" s="155" t="s">
        <v>229</v>
      </c>
      <c r="D245" s="186" t="s">
        <v>339</v>
      </c>
      <c r="E245" s="155"/>
      <c r="F245" s="155">
        <v>25000</v>
      </c>
      <c r="G245" s="206">
        <f t="shared" si="3"/>
        <v>15747303</v>
      </c>
      <c r="H245" s="186" t="s">
        <v>25</v>
      </c>
      <c r="I245" s="186" t="s">
        <v>364</v>
      </c>
      <c r="J245" s="186" t="s">
        <v>567</v>
      </c>
      <c r="K245" s="155" t="s">
        <v>198</v>
      </c>
      <c r="L245" s="155" t="s">
        <v>345</v>
      </c>
      <c r="N245" s="155"/>
      <c r="O245" s="155"/>
    </row>
    <row r="246" spans="1:15" s="297" customFormat="1" ht="16.5">
      <c r="A246" s="227">
        <v>45230</v>
      </c>
      <c r="B246" s="232" t="s">
        <v>418</v>
      </c>
      <c r="C246" s="155" t="s">
        <v>229</v>
      </c>
      <c r="D246" s="236" t="s">
        <v>339</v>
      </c>
      <c r="E246" s="206"/>
      <c r="F246" s="206">
        <v>25000</v>
      </c>
      <c r="G246" s="206">
        <f t="shared" si="3"/>
        <v>15722303</v>
      </c>
      <c r="H246" s="186" t="s">
        <v>25</v>
      </c>
      <c r="I246" s="186" t="s">
        <v>364</v>
      </c>
      <c r="J246" s="186" t="s">
        <v>567</v>
      </c>
      <c r="K246" s="155" t="s">
        <v>198</v>
      </c>
      <c r="L246" s="155" t="s">
        <v>345</v>
      </c>
    </row>
    <row r="247" spans="1:15" s="297" customFormat="1" ht="16.5">
      <c r="A247" s="229">
        <v>45230</v>
      </c>
      <c r="B247" s="232" t="s">
        <v>419</v>
      </c>
      <c r="C247" s="155" t="s">
        <v>229</v>
      </c>
      <c r="D247" s="155" t="s">
        <v>339</v>
      </c>
      <c r="F247" s="217">
        <v>25000</v>
      </c>
      <c r="G247" s="206">
        <f t="shared" si="3"/>
        <v>15697303</v>
      </c>
      <c r="H247" s="186" t="s">
        <v>25</v>
      </c>
      <c r="I247" s="186" t="s">
        <v>364</v>
      </c>
      <c r="J247" s="186" t="s">
        <v>567</v>
      </c>
      <c r="K247" s="155" t="s">
        <v>198</v>
      </c>
      <c r="L247" s="155" t="s">
        <v>345</v>
      </c>
    </row>
    <row r="248" spans="1:15" s="297" customFormat="1" ht="16.5">
      <c r="A248" s="227">
        <v>45230</v>
      </c>
      <c r="B248" s="186" t="s">
        <v>420</v>
      </c>
      <c r="C248" s="187" t="s">
        <v>229</v>
      </c>
      <c r="D248" s="186" t="s">
        <v>339</v>
      </c>
      <c r="E248" s="206"/>
      <c r="F248" s="217">
        <v>35000</v>
      </c>
      <c r="G248" s="206">
        <f t="shared" si="3"/>
        <v>15662303</v>
      </c>
      <c r="H248" s="186" t="s">
        <v>25</v>
      </c>
      <c r="I248" s="155" t="s">
        <v>364</v>
      </c>
      <c r="J248" s="186" t="s">
        <v>567</v>
      </c>
      <c r="K248" s="155" t="s">
        <v>198</v>
      </c>
      <c r="L248" s="155" t="s">
        <v>345</v>
      </c>
      <c r="N248" s="155"/>
    </row>
    <row r="249" spans="1:15" s="297" customFormat="1" ht="16.5">
      <c r="A249" s="225">
        <v>45230</v>
      </c>
      <c r="B249" s="155" t="s">
        <v>421</v>
      </c>
      <c r="C249" s="187" t="s">
        <v>229</v>
      </c>
      <c r="D249" s="186" t="s">
        <v>339</v>
      </c>
      <c r="F249" s="186">
        <v>25000</v>
      </c>
      <c r="G249" s="206">
        <f t="shared" si="3"/>
        <v>15637303</v>
      </c>
      <c r="H249" s="186" t="s">
        <v>25</v>
      </c>
      <c r="I249" s="186" t="s">
        <v>364</v>
      </c>
      <c r="J249" s="186" t="s">
        <v>567</v>
      </c>
      <c r="K249" s="155" t="s">
        <v>198</v>
      </c>
      <c r="L249" s="155" t="s">
        <v>345</v>
      </c>
    </row>
    <row r="250" spans="1:15" s="297" customFormat="1" ht="16.5">
      <c r="A250" s="227">
        <v>45230</v>
      </c>
      <c r="B250" s="155" t="s">
        <v>422</v>
      </c>
      <c r="C250" s="187" t="s">
        <v>229</v>
      </c>
      <c r="D250" s="186" t="s">
        <v>154</v>
      </c>
      <c r="E250" s="155"/>
      <c r="F250" s="155">
        <v>20000</v>
      </c>
      <c r="G250" s="206">
        <f t="shared" si="3"/>
        <v>15617303</v>
      </c>
      <c r="H250" s="155" t="s">
        <v>25</v>
      </c>
      <c r="I250" s="155" t="s">
        <v>364</v>
      </c>
      <c r="J250" s="186" t="s">
        <v>567</v>
      </c>
      <c r="K250" s="155" t="s">
        <v>198</v>
      </c>
      <c r="L250" s="155" t="s">
        <v>345</v>
      </c>
      <c r="M250" s="155"/>
      <c r="N250" s="155"/>
      <c r="O250" s="155"/>
    </row>
    <row r="251" spans="1:15" s="297" customFormat="1" ht="16.5">
      <c r="A251" s="227">
        <v>45230</v>
      </c>
      <c r="B251" s="155" t="s">
        <v>423</v>
      </c>
      <c r="C251" s="155" t="s">
        <v>229</v>
      </c>
      <c r="D251" s="186" t="s">
        <v>154</v>
      </c>
      <c r="E251" s="206"/>
      <c r="F251" s="155">
        <v>20000</v>
      </c>
      <c r="G251" s="206">
        <f t="shared" si="3"/>
        <v>15597303</v>
      </c>
      <c r="H251" s="155" t="s">
        <v>25</v>
      </c>
      <c r="I251" s="186" t="s">
        <v>364</v>
      </c>
      <c r="J251" s="186" t="s">
        <v>567</v>
      </c>
      <c r="K251" s="155" t="s">
        <v>198</v>
      </c>
      <c r="L251" s="155" t="s">
        <v>345</v>
      </c>
      <c r="M251" s="235"/>
      <c r="N251" s="155"/>
    </row>
    <row r="252" spans="1:15" s="297" customFormat="1" ht="16.5">
      <c r="A252" s="225">
        <v>45230</v>
      </c>
      <c r="B252" s="155" t="s">
        <v>424</v>
      </c>
      <c r="C252" s="155" t="s">
        <v>229</v>
      </c>
      <c r="D252" s="186" t="s">
        <v>155</v>
      </c>
      <c r="F252" s="186">
        <v>10000</v>
      </c>
      <c r="G252" s="206">
        <f t="shared" si="3"/>
        <v>15587303</v>
      </c>
      <c r="H252" s="186" t="s">
        <v>25</v>
      </c>
      <c r="I252" s="186" t="s">
        <v>364</v>
      </c>
      <c r="J252" s="186" t="s">
        <v>567</v>
      </c>
      <c r="K252" s="155" t="s">
        <v>198</v>
      </c>
      <c r="L252" s="155" t="s">
        <v>345</v>
      </c>
    </row>
    <row r="253" spans="1:15" s="297" customFormat="1" ht="16.5">
      <c r="A253" s="227">
        <v>45230</v>
      </c>
      <c r="B253" s="155" t="s">
        <v>425</v>
      </c>
      <c r="C253" s="155" t="s">
        <v>229</v>
      </c>
      <c r="D253" s="186" t="s">
        <v>154</v>
      </c>
      <c r="E253" s="155"/>
      <c r="F253" s="228">
        <v>20000</v>
      </c>
      <c r="G253" s="206">
        <f t="shared" si="3"/>
        <v>15567303</v>
      </c>
      <c r="H253" s="186" t="s">
        <v>25</v>
      </c>
      <c r="I253" s="186" t="s">
        <v>364</v>
      </c>
      <c r="J253" s="186" t="s">
        <v>567</v>
      </c>
      <c r="K253" s="155" t="s">
        <v>198</v>
      </c>
      <c r="L253" s="155" t="s">
        <v>345</v>
      </c>
      <c r="M253" s="235"/>
      <c r="N253" s="155"/>
      <c r="O253" s="155"/>
    </row>
    <row r="254" spans="1:15" s="297" customFormat="1" ht="16.5">
      <c r="A254" s="227">
        <v>45230</v>
      </c>
      <c r="B254" s="155" t="s">
        <v>426</v>
      </c>
      <c r="C254" s="155" t="s">
        <v>229</v>
      </c>
      <c r="D254" s="186" t="s">
        <v>320</v>
      </c>
      <c r="E254" s="155"/>
      <c r="F254" s="228">
        <v>20000</v>
      </c>
      <c r="G254" s="206">
        <f t="shared" si="3"/>
        <v>15547303</v>
      </c>
      <c r="H254" s="186" t="s">
        <v>25</v>
      </c>
      <c r="I254" s="186" t="s">
        <v>364</v>
      </c>
      <c r="J254" s="186" t="s">
        <v>567</v>
      </c>
      <c r="K254" s="155" t="s">
        <v>198</v>
      </c>
      <c r="L254" s="155" t="s">
        <v>345</v>
      </c>
      <c r="M254" s="235"/>
      <c r="N254" s="155"/>
      <c r="O254" s="155"/>
    </row>
    <row r="255" spans="1:15" s="297" customFormat="1" ht="16.5">
      <c r="A255" s="227">
        <v>45230</v>
      </c>
      <c r="B255" s="186" t="s">
        <v>427</v>
      </c>
      <c r="C255" s="155" t="s">
        <v>229</v>
      </c>
      <c r="D255" s="186" t="s">
        <v>154</v>
      </c>
      <c r="E255" s="206"/>
      <c r="F255" s="206">
        <v>50000</v>
      </c>
      <c r="G255" s="206">
        <f t="shared" si="3"/>
        <v>15497303</v>
      </c>
      <c r="H255" s="186" t="s">
        <v>25</v>
      </c>
      <c r="I255" s="186" t="s">
        <v>364</v>
      </c>
      <c r="J255" s="186" t="s">
        <v>567</v>
      </c>
      <c r="K255" s="155" t="s">
        <v>198</v>
      </c>
      <c r="L255" s="155" t="s">
        <v>345</v>
      </c>
      <c r="M255" s="235"/>
    </row>
    <row r="256" spans="1:15" s="297" customFormat="1" ht="16.5">
      <c r="A256" s="227">
        <v>45230</v>
      </c>
      <c r="B256" s="155" t="s">
        <v>434</v>
      </c>
      <c r="C256" s="186" t="s">
        <v>170</v>
      </c>
      <c r="D256" s="230" t="s">
        <v>154</v>
      </c>
      <c r="F256" s="230">
        <v>359500</v>
      </c>
      <c r="G256" s="206">
        <f t="shared" si="3"/>
        <v>15137803</v>
      </c>
      <c r="H256" s="186" t="s">
        <v>24</v>
      </c>
      <c r="I256" s="155">
        <v>3654578</v>
      </c>
      <c r="J256" s="186" t="s">
        <v>102</v>
      </c>
      <c r="K256" s="155" t="s">
        <v>199</v>
      </c>
      <c r="L256" s="155" t="s">
        <v>345</v>
      </c>
      <c r="M256" s="235" t="s">
        <v>690</v>
      </c>
      <c r="N256" s="155" t="s">
        <v>349</v>
      </c>
      <c r="O256" s="155"/>
    </row>
    <row r="257" spans="1:18" s="297" customFormat="1" ht="16.5">
      <c r="A257" s="227">
        <v>45230</v>
      </c>
      <c r="B257" s="186" t="s">
        <v>435</v>
      </c>
      <c r="C257" s="206" t="s">
        <v>170</v>
      </c>
      <c r="D257" s="206" t="s">
        <v>154</v>
      </c>
      <c r="F257" s="186">
        <v>200000</v>
      </c>
      <c r="G257" s="206">
        <f t="shared" si="3"/>
        <v>14937803</v>
      </c>
      <c r="H257" s="186" t="s">
        <v>24</v>
      </c>
      <c r="I257" s="155">
        <v>3654580</v>
      </c>
      <c r="J257" s="186" t="s">
        <v>102</v>
      </c>
      <c r="K257" s="155" t="s">
        <v>199</v>
      </c>
      <c r="L257" s="155" t="s">
        <v>345</v>
      </c>
      <c r="M257" s="235" t="s">
        <v>691</v>
      </c>
      <c r="N257" s="155" t="s">
        <v>349</v>
      </c>
    </row>
    <row r="258" spans="1:18" s="297" customFormat="1" ht="16.5">
      <c r="A258" s="225">
        <v>45230</v>
      </c>
      <c r="B258" s="186" t="s">
        <v>436</v>
      </c>
      <c r="C258" s="186" t="s">
        <v>170</v>
      </c>
      <c r="D258" s="155" t="s">
        <v>154</v>
      </c>
      <c r="E258" s="226"/>
      <c r="F258" s="186">
        <v>200000</v>
      </c>
      <c r="G258" s="206">
        <f t="shared" si="3"/>
        <v>14737803</v>
      </c>
      <c r="H258" s="186" t="s">
        <v>24</v>
      </c>
      <c r="I258" s="155">
        <v>3654581</v>
      </c>
      <c r="J258" s="186" t="s">
        <v>102</v>
      </c>
      <c r="K258" s="155" t="s">
        <v>199</v>
      </c>
      <c r="L258" s="155" t="s">
        <v>345</v>
      </c>
      <c r="M258" s="235" t="s">
        <v>692</v>
      </c>
      <c r="N258" s="155" t="s">
        <v>349</v>
      </c>
      <c r="O258" s="155"/>
    </row>
    <row r="259" spans="1:18" s="297" customFormat="1" ht="16.5">
      <c r="A259" s="227">
        <v>45230</v>
      </c>
      <c r="B259" s="186" t="s">
        <v>437</v>
      </c>
      <c r="C259" s="218" t="s">
        <v>170</v>
      </c>
      <c r="D259" s="218" t="s">
        <v>154</v>
      </c>
      <c r="F259" s="155">
        <v>200000</v>
      </c>
      <c r="G259" s="206">
        <f t="shared" si="3"/>
        <v>14537803</v>
      </c>
      <c r="H259" s="186" t="s">
        <v>24</v>
      </c>
      <c r="I259" s="155">
        <v>3654582</v>
      </c>
      <c r="J259" s="186" t="s">
        <v>102</v>
      </c>
      <c r="K259" s="155" t="s">
        <v>199</v>
      </c>
      <c r="L259" s="155" t="s">
        <v>345</v>
      </c>
      <c r="M259" s="235" t="s">
        <v>693</v>
      </c>
      <c r="N259" s="155" t="s">
        <v>349</v>
      </c>
    </row>
    <row r="260" spans="1:18" s="297" customFormat="1" ht="16.5">
      <c r="A260" s="229">
        <v>45230</v>
      </c>
      <c r="B260" s="186" t="s">
        <v>438</v>
      </c>
      <c r="C260" s="155" t="s">
        <v>170</v>
      </c>
      <c r="D260" s="155" t="s">
        <v>320</v>
      </c>
      <c r="E260" s="155"/>
      <c r="F260" s="155">
        <v>300000</v>
      </c>
      <c r="G260" s="206">
        <f t="shared" si="3"/>
        <v>14237803</v>
      </c>
      <c r="H260" s="186" t="s">
        <v>24</v>
      </c>
      <c r="I260" s="155">
        <v>3654583</v>
      </c>
      <c r="J260" s="186" t="s">
        <v>102</v>
      </c>
      <c r="K260" s="155" t="s">
        <v>199</v>
      </c>
      <c r="L260" s="155" t="s">
        <v>345</v>
      </c>
      <c r="M260" s="235" t="s">
        <v>694</v>
      </c>
      <c r="N260" s="155" t="s">
        <v>348</v>
      </c>
      <c r="O260" s="155"/>
    </row>
    <row r="261" spans="1:18" s="297" customFormat="1" ht="16.5">
      <c r="A261" s="225">
        <v>45230</v>
      </c>
      <c r="B261" s="186" t="s">
        <v>439</v>
      </c>
      <c r="C261" s="189" t="s">
        <v>170</v>
      </c>
      <c r="D261" s="206" t="s">
        <v>155</v>
      </c>
      <c r="E261" s="206"/>
      <c r="F261" s="186">
        <v>235600</v>
      </c>
      <c r="G261" s="206">
        <f t="shared" si="3"/>
        <v>14002203</v>
      </c>
      <c r="H261" s="186" t="s">
        <v>24</v>
      </c>
      <c r="I261" s="155">
        <v>3654584</v>
      </c>
      <c r="J261" s="186" t="s">
        <v>102</v>
      </c>
      <c r="K261" s="155" t="s">
        <v>199</v>
      </c>
      <c r="L261" s="155" t="s">
        <v>345</v>
      </c>
      <c r="M261" s="235" t="s">
        <v>695</v>
      </c>
      <c r="N261" s="155" t="s">
        <v>350</v>
      </c>
    </row>
    <row r="262" spans="1:18" s="297" customFormat="1" ht="16.5">
      <c r="A262" s="227">
        <v>45230</v>
      </c>
      <c r="B262" s="186" t="s">
        <v>440</v>
      </c>
      <c r="C262" s="218" t="s">
        <v>170</v>
      </c>
      <c r="D262" s="218" t="s">
        <v>2</v>
      </c>
      <c r="E262" s="234"/>
      <c r="F262" s="186">
        <v>918340</v>
      </c>
      <c r="G262" s="206">
        <f t="shared" si="3"/>
        <v>13083863</v>
      </c>
      <c r="H262" s="186" t="s">
        <v>24</v>
      </c>
      <c r="I262" s="234">
        <v>3654585</v>
      </c>
      <c r="J262" s="186" t="s">
        <v>102</v>
      </c>
      <c r="K262" s="155" t="s">
        <v>199</v>
      </c>
      <c r="L262" s="155" t="s">
        <v>345</v>
      </c>
      <c r="M262" s="235" t="s">
        <v>696</v>
      </c>
      <c r="N262" s="155" t="s">
        <v>351</v>
      </c>
    </row>
    <row r="263" spans="1:18" s="297" customFormat="1" ht="16.5">
      <c r="A263" s="227">
        <v>45230</v>
      </c>
      <c r="B263" s="186" t="s">
        <v>441</v>
      </c>
      <c r="C263" s="186" t="s">
        <v>170</v>
      </c>
      <c r="D263" s="186" t="s">
        <v>4</v>
      </c>
      <c r="E263" s="155"/>
      <c r="F263" s="292">
        <v>275000</v>
      </c>
      <c r="G263" s="206">
        <f t="shared" si="3"/>
        <v>12808863</v>
      </c>
      <c r="H263" s="186" t="s">
        <v>24</v>
      </c>
      <c r="I263" s="155">
        <v>3654586</v>
      </c>
      <c r="J263" s="297" t="s">
        <v>352</v>
      </c>
      <c r="K263" s="155" t="s">
        <v>199</v>
      </c>
      <c r="L263" s="155" t="s">
        <v>345</v>
      </c>
      <c r="M263" s="235" t="s">
        <v>697</v>
      </c>
      <c r="N263" s="155" t="s">
        <v>347</v>
      </c>
    </row>
    <row r="264" spans="1:18" s="297" customFormat="1" ht="16.5">
      <c r="A264" s="231">
        <v>45230</v>
      </c>
      <c r="B264" s="186" t="s">
        <v>442</v>
      </c>
      <c r="C264" s="226" t="s">
        <v>170</v>
      </c>
      <c r="D264" s="186" t="s">
        <v>4</v>
      </c>
      <c r="E264" s="155"/>
      <c r="F264" s="292">
        <v>410000</v>
      </c>
      <c r="G264" s="206">
        <f t="shared" si="3"/>
        <v>12398863</v>
      </c>
      <c r="H264" s="186" t="s">
        <v>24</v>
      </c>
      <c r="I264" s="155">
        <v>3654587</v>
      </c>
      <c r="J264" s="297" t="s">
        <v>352</v>
      </c>
      <c r="K264" s="155" t="s">
        <v>199</v>
      </c>
      <c r="L264" s="155" t="s">
        <v>345</v>
      </c>
      <c r="M264" s="235" t="s">
        <v>698</v>
      </c>
      <c r="N264" s="155" t="s">
        <v>347</v>
      </c>
      <c r="O264" s="155"/>
    </row>
    <row r="265" spans="1:18" s="297" customFormat="1" ht="16.5">
      <c r="A265" s="227">
        <v>45230</v>
      </c>
      <c r="B265" s="155" t="s">
        <v>456</v>
      </c>
      <c r="C265" s="155" t="s">
        <v>34</v>
      </c>
      <c r="D265" s="186" t="s">
        <v>2</v>
      </c>
      <c r="E265" s="155"/>
      <c r="F265" s="230">
        <v>15500</v>
      </c>
      <c r="G265" s="206">
        <f t="shared" si="3"/>
        <v>12383363</v>
      </c>
      <c r="H265" s="155" t="s">
        <v>47</v>
      </c>
      <c r="I265" s="186" t="s">
        <v>326</v>
      </c>
      <c r="J265" s="297" t="s">
        <v>102</v>
      </c>
      <c r="K265" s="155" t="s">
        <v>199</v>
      </c>
      <c r="L265" s="155" t="s">
        <v>345</v>
      </c>
      <c r="M265" s="235" t="s">
        <v>699</v>
      </c>
      <c r="N265" s="155" t="s">
        <v>559</v>
      </c>
      <c r="O265" s="155"/>
    </row>
    <row r="266" spans="1:18" s="297" customFormat="1" ht="16.5">
      <c r="A266" s="227">
        <v>45230</v>
      </c>
      <c r="B266" s="155" t="s">
        <v>476</v>
      </c>
      <c r="C266" s="155" t="s">
        <v>34</v>
      </c>
      <c r="D266" s="155" t="s">
        <v>2</v>
      </c>
      <c r="F266" s="186">
        <v>45000</v>
      </c>
      <c r="G266" s="206">
        <f t="shared" si="3"/>
        <v>12338363</v>
      </c>
      <c r="H266" s="155" t="s">
        <v>306</v>
      </c>
      <c r="I266" s="186" t="s">
        <v>326</v>
      </c>
      <c r="J266" s="297" t="s">
        <v>102</v>
      </c>
      <c r="K266" s="155" t="s">
        <v>199</v>
      </c>
      <c r="L266" s="155" t="s">
        <v>345</v>
      </c>
      <c r="M266" s="235" t="s">
        <v>700</v>
      </c>
      <c r="N266" s="155" t="s">
        <v>559</v>
      </c>
      <c r="O266" s="155"/>
    </row>
    <row r="267" spans="1:18" s="297" customFormat="1" ht="16.5">
      <c r="A267" s="274">
        <v>45230</v>
      </c>
      <c r="B267" s="155" t="s">
        <v>509</v>
      </c>
      <c r="C267" s="155" t="s">
        <v>299</v>
      </c>
      <c r="D267" s="186" t="s">
        <v>4</v>
      </c>
      <c r="E267" s="155"/>
      <c r="F267" s="287">
        <v>13000</v>
      </c>
      <c r="G267" s="206">
        <f t="shared" si="3"/>
        <v>12325363</v>
      </c>
      <c r="H267" s="155" t="s">
        <v>312</v>
      </c>
      <c r="I267" s="186" t="s">
        <v>364</v>
      </c>
      <c r="J267" s="186" t="s">
        <v>352</v>
      </c>
      <c r="K267" s="155" t="s">
        <v>198</v>
      </c>
      <c r="L267" s="155" t="s">
        <v>345</v>
      </c>
    </row>
    <row r="268" spans="1:18" s="297" customFormat="1" ht="16.5">
      <c r="A268" s="274">
        <v>45230</v>
      </c>
      <c r="B268" s="155" t="s">
        <v>510</v>
      </c>
      <c r="C268" s="155" t="s">
        <v>34</v>
      </c>
      <c r="D268" s="186" t="s">
        <v>4</v>
      </c>
      <c r="E268" s="155"/>
      <c r="F268" s="287">
        <v>58200</v>
      </c>
      <c r="G268" s="206">
        <f t="shared" si="3"/>
        <v>12267163</v>
      </c>
      <c r="H268" s="155" t="s">
        <v>312</v>
      </c>
      <c r="I268" s="186" t="s">
        <v>364</v>
      </c>
      <c r="J268" s="186" t="s">
        <v>352</v>
      </c>
      <c r="K268" s="155" t="s">
        <v>198</v>
      </c>
      <c r="L268" s="155" t="s">
        <v>345</v>
      </c>
    </row>
    <row r="269" spans="1:18" s="297" customFormat="1" ht="16.5">
      <c r="A269" s="227">
        <v>45230</v>
      </c>
      <c r="B269" s="186" t="s">
        <v>511</v>
      </c>
      <c r="C269" s="187" t="s">
        <v>34</v>
      </c>
      <c r="D269" s="186" t="s">
        <v>320</v>
      </c>
      <c r="F269" s="240">
        <v>41500</v>
      </c>
      <c r="G269" s="206">
        <f t="shared" si="3"/>
        <v>12225663</v>
      </c>
      <c r="H269" s="186" t="s">
        <v>93</v>
      </c>
      <c r="I269" s="155" t="s">
        <v>364</v>
      </c>
      <c r="J269" s="297" t="s">
        <v>102</v>
      </c>
      <c r="K269" s="155" t="s">
        <v>199</v>
      </c>
      <c r="L269" s="155" t="s">
        <v>345</v>
      </c>
      <c r="M269" s="235" t="s">
        <v>701</v>
      </c>
      <c r="N269" s="155" t="s">
        <v>559</v>
      </c>
      <c r="P269" s="155"/>
      <c r="Q269" s="155"/>
      <c r="R269" s="155"/>
    </row>
    <row r="270" spans="1:18" s="178" customFormat="1" ht="16.5">
      <c r="A270" s="231"/>
      <c r="B270" s="238"/>
      <c r="C270" s="155"/>
      <c r="F270" s="296"/>
      <c r="G270" s="206"/>
      <c r="H270" s="226"/>
      <c r="I270" s="155"/>
      <c r="M270" s="235"/>
      <c r="O270" s="282"/>
      <c r="P270" s="155"/>
      <c r="Q270" s="155"/>
      <c r="R270" s="155"/>
    </row>
    <row r="271" spans="1:18" s="178" customFormat="1" ht="16.5">
      <c r="A271" s="227"/>
      <c r="C271" s="155"/>
      <c r="E271" s="206"/>
      <c r="F271" s="210"/>
      <c r="G271" s="206"/>
      <c r="M271" s="235"/>
      <c r="O271" s="282"/>
      <c r="P271" s="155"/>
      <c r="Q271" s="155"/>
      <c r="R271" s="155"/>
    </row>
    <row r="272" spans="1:18" s="178" customFormat="1" ht="16.5">
      <c r="A272" s="227"/>
      <c r="B272" s="155"/>
      <c r="C272" s="155"/>
      <c r="E272" s="155"/>
      <c r="F272" s="155"/>
      <c r="G272" s="233"/>
      <c r="H272" s="155"/>
      <c r="I272" s="155"/>
      <c r="M272" s="235"/>
      <c r="N272" s="155"/>
      <c r="O272" s="196"/>
      <c r="P272" s="155"/>
      <c r="Q272" s="155"/>
      <c r="R272" s="155"/>
    </row>
    <row r="273" spans="1:18" s="178" customFormat="1" ht="16.5">
      <c r="A273" s="227"/>
      <c r="B273" s="155"/>
      <c r="C273" s="155"/>
      <c r="E273" s="155"/>
      <c r="F273" s="155"/>
      <c r="G273" s="233"/>
      <c r="H273" s="155"/>
      <c r="M273" s="235"/>
      <c r="O273" s="196"/>
      <c r="P273" s="155"/>
      <c r="Q273" s="155"/>
      <c r="R273" s="155"/>
    </row>
    <row r="274" spans="1:18" s="178" customFormat="1" ht="16.5">
      <c r="A274" s="227"/>
      <c r="F274" s="249"/>
      <c r="G274" s="206"/>
      <c r="M274" s="235"/>
      <c r="O274" s="282"/>
      <c r="P274" s="155"/>
      <c r="Q274" s="155"/>
      <c r="R274" s="155"/>
    </row>
    <row r="275" spans="1:18" s="178" customFormat="1" ht="16.5">
      <c r="A275" s="227"/>
      <c r="F275" s="249"/>
      <c r="G275" s="206"/>
      <c r="M275" s="235"/>
      <c r="N275" s="155"/>
      <c r="O275" s="282"/>
      <c r="P275" s="155"/>
      <c r="Q275" s="155"/>
      <c r="R275" s="155"/>
    </row>
    <row r="276" spans="1:18" s="178" customFormat="1" ht="16.5">
      <c r="A276" s="227"/>
      <c r="C276" s="155"/>
      <c r="D276" s="155"/>
      <c r="G276" s="206"/>
      <c r="M276" s="235"/>
      <c r="N276" s="155"/>
      <c r="O276" s="282"/>
      <c r="P276" s="155"/>
      <c r="Q276" s="155"/>
      <c r="R276" s="155"/>
    </row>
    <row r="277" spans="1:18" s="178" customFormat="1" ht="16.5">
      <c r="A277" s="227"/>
      <c r="C277" s="155"/>
      <c r="D277" s="155"/>
      <c r="E277" s="206"/>
      <c r="F277" s="206"/>
      <c r="G277" s="206"/>
      <c r="I277" s="155"/>
      <c r="K277" s="155"/>
      <c r="L277" s="155"/>
      <c r="N277" s="155"/>
      <c r="O277" s="282"/>
      <c r="P277" s="155"/>
      <c r="Q277" s="155"/>
      <c r="R277" s="155"/>
    </row>
    <row r="278" spans="1:18" s="178" customFormat="1" ht="16.5">
      <c r="A278" s="225"/>
      <c r="B278" s="155"/>
      <c r="C278" s="155"/>
      <c r="E278" s="155"/>
      <c r="F278" s="230"/>
      <c r="G278" s="206"/>
      <c r="H278" s="155"/>
      <c r="K278" s="155"/>
      <c r="L278" s="155"/>
      <c r="N278" s="155"/>
      <c r="O278" s="196"/>
      <c r="P278" s="155"/>
      <c r="Q278" s="155"/>
      <c r="R278" s="155"/>
    </row>
    <row r="279" spans="1:18" s="178" customFormat="1" ht="16.5">
      <c r="A279" s="231"/>
      <c r="B279" s="232"/>
      <c r="C279" s="155"/>
      <c r="F279" s="217"/>
      <c r="G279" s="206"/>
      <c r="H279" s="226"/>
      <c r="N279" s="155"/>
      <c r="O279" s="282"/>
      <c r="P279" s="155"/>
      <c r="Q279" s="155"/>
      <c r="R279" s="155"/>
    </row>
    <row r="280" spans="1:18" s="178" customFormat="1" ht="16.5">
      <c r="A280" s="231"/>
      <c r="B280" s="238"/>
      <c r="C280" s="155"/>
      <c r="E280" s="239"/>
      <c r="F280" s="240"/>
      <c r="G280" s="206"/>
      <c r="H280" s="241"/>
      <c r="K280" s="155"/>
      <c r="L280" s="155"/>
      <c r="N280" s="155"/>
      <c r="O280" s="282"/>
      <c r="P280" s="155"/>
      <c r="Q280" s="155"/>
      <c r="R280" s="155"/>
    </row>
    <row r="281" spans="1:18" s="178" customFormat="1" ht="16.5">
      <c r="A281" s="231"/>
      <c r="B281" s="238"/>
      <c r="C281" s="155"/>
      <c r="E281" s="239"/>
      <c r="F281" s="240"/>
      <c r="G281" s="206"/>
      <c r="H281" s="241"/>
      <c r="K281" s="155"/>
      <c r="L281" s="155"/>
      <c r="N281" s="155"/>
      <c r="O281" s="282"/>
      <c r="P281" s="155"/>
      <c r="Q281" s="155"/>
      <c r="R281" s="155"/>
    </row>
    <row r="282" spans="1:18" s="178" customFormat="1" ht="16.5">
      <c r="A282" s="231"/>
      <c r="B282" s="155"/>
      <c r="C282" s="155"/>
      <c r="G282" s="206"/>
      <c r="I282" s="155"/>
      <c r="K282" s="155"/>
      <c r="L282" s="155"/>
      <c r="N282" s="155"/>
      <c r="O282" s="282"/>
      <c r="P282" s="155"/>
      <c r="Q282" s="155"/>
      <c r="R282" s="155"/>
    </row>
    <row r="283" spans="1:18" s="178" customFormat="1" ht="16.5">
      <c r="A283" s="227"/>
      <c r="C283" s="155"/>
      <c r="G283" s="206"/>
      <c r="I283" s="155"/>
      <c r="K283" s="155"/>
      <c r="L283" s="155"/>
      <c r="N283" s="155"/>
      <c r="O283" s="282"/>
      <c r="P283" s="155"/>
      <c r="Q283" s="155"/>
      <c r="R283" s="155"/>
    </row>
    <row r="284" spans="1:18" s="178" customFormat="1" ht="16.5">
      <c r="A284" s="227"/>
      <c r="B284" s="232"/>
      <c r="F284" s="206"/>
      <c r="G284" s="206"/>
      <c r="I284" s="155"/>
      <c r="N284" s="155"/>
      <c r="O284" s="282"/>
      <c r="P284" s="155"/>
      <c r="Q284" s="155"/>
      <c r="R284" s="155"/>
    </row>
    <row r="285" spans="1:18" s="178" customFormat="1" ht="16.5">
      <c r="A285" s="227"/>
      <c r="B285" s="155"/>
      <c r="C285" s="187"/>
      <c r="E285" s="155"/>
      <c r="F285" s="155"/>
      <c r="G285" s="206"/>
      <c r="H285" s="155"/>
      <c r="I285" s="155"/>
      <c r="J285" s="155"/>
      <c r="K285" s="155"/>
      <c r="L285" s="155"/>
      <c r="N285" s="155"/>
      <c r="O285" s="196"/>
      <c r="P285" s="155"/>
      <c r="Q285" s="155"/>
      <c r="R285" s="155"/>
    </row>
    <row r="286" spans="1:18" s="178" customFormat="1" ht="16.5">
      <c r="A286" s="227"/>
      <c r="B286" s="234"/>
      <c r="E286" s="218"/>
      <c r="F286" s="218"/>
      <c r="G286" s="206"/>
      <c r="H286" s="234"/>
      <c r="N286" s="155"/>
      <c r="O286" s="282"/>
      <c r="P286" s="155"/>
      <c r="Q286" s="155"/>
      <c r="R286" s="155"/>
    </row>
    <row r="287" spans="1:18" s="178" customFormat="1" ht="16.5">
      <c r="A287" s="225"/>
      <c r="B287" s="155"/>
      <c r="C287" s="187"/>
      <c r="E287" s="155"/>
      <c r="F287" s="228"/>
      <c r="G287" s="206"/>
      <c r="H287" s="155"/>
      <c r="K287" s="155"/>
      <c r="L287" s="155"/>
      <c r="N287" s="155"/>
      <c r="O287" s="196"/>
      <c r="P287" s="155"/>
      <c r="Q287" s="155"/>
      <c r="R287" s="155"/>
    </row>
    <row r="288" spans="1:18" s="178" customFormat="1" ht="16.5">
      <c r="A288" s="227"/>
      <c r="B288" s="234"/>
      <c r="C288" s="187"/>
      <c r="E288" s="218"/>
      <c r="F288" s="218"/>
      <c r="G288" s="206"/>
      <c r="H288" s="234"/>
      <c r="K288" s="155"/>
      <c r="L288" s="155"/>
      <c r="M288" s="234"/>
      <c r="N288" s="234"/>
      <c r="O288" s="282"/>
      <c r="P288" s="155"/>
      <c r="Q288" s="155"/>
      <c r="R288" s="155"/>
    </row>
    <row r="289" spans="1:18" s="178" customFormat="1" ht="16.5">
      <c r="A289" s="227"/>
      <c r="C289" s="187"/>
      <c r="F289" s="240"/>
      <c r="G289" s="206"/>
      <c r="K289" s="226"/>
      <c r="N289" s="155"/>
      <c r="O289" s="282"/>
      <c r="P289" s="155"/>
      <c r="Q289" s="155"/>
      <c r="R289" s="155"/>
    </row>
    <row r="290" spans="1:18" s="178" customFormat="1" ht="16.5">
      <c r="A290" s="227"/>
      <c r="C290" s="187"/>
      <c r="F290" s="239"/>
      <c r="G290" s="206"/>
      <c r="H290" s="226"/>
      <c r="N290" s="155"/>
      <c r="O290" s="282"/>
      <c r="P290" s="155"/>
      <c r="Q290" s="155"/>
      <c r="R290" s="155"/>
    </row>
    <row r="291" spans="1:18" s="178" customFormat="1" ht="16.5">
      <c r="A291" s="227"/>
      <c r="B291" s="155"/>
      <c r="C291" s="187"/>
      <c r="E291" s="155"/>
      <c r="F291" s="155"/>
      <c r="G291" s="233"/>
      <c r="H291" s="155"/>
      <c r="I291" s="155"/>
      <c r="J291" s="155"/>
      <c r="K291" s="155"/>
      <c r="L291" s="155"/>
      <c r="M291" s="155"/>
      <c r="N291" s="155"/>
      <c r="O291" s="196"/>
      <c r="P291" s="155"/>
      <c r="Q291" s="155"/>
      <c r="R291" s="155"/>
    </row>
    <row r="292" spans="1:18" s="178" customFormat="1" ht="16.5">
      <c r="A292" s="227"/>
      <c r="C292" s="187"/>
      <c r="F292" s="249"/>
      <c r="G292" s="206"/>
      <c r="O292" s="282"/>
      <c r="P292" s="155"/>
      <c r="Q292" s="155"/>
      <c r="R292" s="155"/>
    </row>
    <row r="293" spans="1:18" s="178" customFormat="1" ht="16.5">
      <c r="A293" s="231"/>
      <c r="C293" s="155"/>
      <c r="D293" s="155"/>
      <c r="G293" s="206"/>
      <c r="M293" s="235"/>
      <c r="N293" s="155"/>
      <c r="O293" s="282"/>
      <c r="P293" s="155"/>
      <c r="Q293" s="155"/>
      <c r="R293" s="155"/>
    </row>
    <row r="294" spans="1:18" s="178" customFormat="1" ht="16.5">
      <c r="A294" s="229"/>
      <c r="C294" s="155"/>
      <c r="G294" s="206"/>
      <c r="H294" s="155"/>
      <c r="K294" s="226"/>
      <c r="N294" s="155"/>
      <c r="O294" s="282"/>
      <c r="P294" s="155"/>
      <c r="Q294" s="155"/>
      <c r="R294" s="155"/>
    </row>
    <row r="295" spans="1:18" s="178" customFormat="1" ht="16.5">
      <c r="A295" s="229"/>
      <c r="E295" s="206"/>
      <c r="F295" s="206"/>
      <c r="G295" s="206"/>
      <c r="H295" s="155"/>
      <c r="K295" s="155"/>
      <c r="L295" s="155"/>
      <c r="N295" s="155"/>
      <c r="O295" s="282"/>
      <c r="P295" s="155"/>
      <c r="Q295" s="155"/>
      <c r="R295" s="155"/>
    </row>
    <row r="296" spans="1:18" s="178" customFormat="1" ht="16.5">
      <c r="A296" s="231"/>
      <c r="C296" s="155"/>
      <c r="G296" s="206"/>
      <c r="K296" s="155"/>
      <c r="L296" s="155"/>
      <c r="N296" s="155"/>
      <c r="O296" s="282"/>
      <c r="P296" s="155"/>
      <c r="Q296" s="155"/>
      <c r="R296" s="155"/>
    </row>
    <row r="297" spans="1:18" s="178" customFormat="1" ht="16.5">
      <c r="A297" s="227"/>
      <c r="B297" s="234"/>
      <c r="C297" s="155"/>
      <c r="E297" s="218"/>
      <c r="F297" s="218"/>
      <c r="G297" s="206"/>
      <c r="H297" s="234"/>
      <c r="M297" s="235"/>
      <c r="O297" s="282"/>
      <c r="P297" s="155"/>
      <c r="Q297" s="155"/>
      <c r="R297" s="155"/>
    </row>
    <row r="298" spans="1:18" s="178" customFormat="1" ht="16.5">
      <c r="A298" s="227"/>
      <c r="B298" s="234"/>
      <c r="C298" s="234"/>
      <c r="E298" s="218"/>
      <c r="F298" s="218"/>
      <c r="G298" s="206"/>
      <c r="H298" s="234"/>
      <c r="M298" s="235"/>
      <c r="N298" s="155"/>
      <c r="O298" s="282"/>
      <c r="P298" s="155"/>
      <c r="Q298" s="155"/>
      <c r="R298" s="155"/>
    </row>
    <row r="299" spans="1:18" s="178" customFormat="1" ht="16.5">
      <c r="A299" s="227"/>
      <c r="B299" s="155"/>
      <c r="C299" s="155"/>
      <c r="G299" s="206"/>
      <c r="I299" s="155"/>
      <c r="J299" s="155"/>
      <c r="K299" s="155"/>
      <c r="L299" s="155"/>
      <c r="N299" s="155"/>
      <c r="O299" s="284"/>
      <c r="P299" s="155"/>
      <c r="Q299" s="155"/>
      <c r="R299" s="155"/>
    </row>
    <row r="300" spans="1:18" s="178" customFormat="1" ht="16.5">
      <c r="A300" s="227"/>
      <c r="C300" s="155"/>
      <c r="E300" s="206"/>
      <c r="F300" s="206"/>
      <c r="G300" s="206"/>
      <c r="I300" s="155"/>
      <c r="K300" s="155"/>
      <c r="L300" s="155"/>
      <c r="N300" s="155"/>
      <c r="O300" s="282"/>
      <c r="P300" s="155"/>
      <c r="Q300" s="155"/>
      <c r="R300" s="155"/>
    </row>
    <row r="301" spans="1:18" s="178" customFormat="1" ht="16.5">
      <c r="A301" s="227"/>
      <c r="C301" s="155"/>
      <c r="E301" s="206"/>
      <c r="F301" s="206"/>
      <c r="G301" s="206"/>
      <c r="K301" s="155"/>
      <c r="L301" s="155"/>
      <c r="N301" s="155"/>
      <c r="O301" s="282"/>
      <c r="P301" s="155"/>
      <c r="Q301" s="155"/>
      <c r="R301" s="155"/>
    </row>
    <row r="302" spans="1:18" s="178" customFormat="1" ht="16.5">
      <c r="A302" s="227"/>
      <c r="C302" s="155"/>
      <c r="E302" s="206"/>
      <c r="F302" s="206"/>
      <c r="G302" s="206"/>
      <c r="K302" s="155"/>
      <c r="L302" s="155"/>
      <c r="N302" s="206"/>
      <c r="O302" s="284"/>
      <c r="P302" s="155"/>
      <c r="Q302" s="155"/>
      <c r="R302" s="155"/>
    </row>
    <row r="303" spans="1:18" s="178" customFormat="1" ht="16.5">
      <c r="A303" s="225"/>
      <c r="C303" s="206"/>
      <c r="D303" s="206"/>
      <c r="F303" s="230"/>
      <c r="G303" s="206"/>
      <c r="I303" s="187"/>
      <c r="K303" s="155"/>
      <c r="L303" s="155"/>
      <c r="N303" s="155"/>
      <c r="O303" s="282"/>
    </row>
    <row r="304" spans="1:18" s="178" customFormat="1" ht="16.5">
      <c r="A304" s="225"/>
      <c r="C304" s="155"/>
      <c r="E304" s="206"/>
      <c r="F304" s="210"/>
      <c r="G304" s="206"/>
      <c r="M304" s="235"/>
      <c r="N304" s="155"/>
      <c r="O304" s="282"/>
      <c r="P304" s="155"/>
      <c r="Q304" s="155"/>
      <c r="R304" s="155"/>
    </row>
    <row r="305" spans="1:18" s="178" customFormat="1" ht="16.5">
      <c r="A305" s="227"/>
      <c r="B305" s="206"/>
      <c r="C305" s="187"/>
      <c r="D305" s="186"/>
      <c r="E305" s="186"/>
      <c r="F305" s="187"/>
      <c r="G305" s="206"/>
      <c r="H305" s="186"/>
      <c r="I305" s="186"/>
      <c r="M305" s="186"/>
      <c r="O305" s="283"/>
    </row>
    <row r="306" spans="1:18" s="178" customFormat="1" ht="16.5">
      <c r="A306" s="227"/>
      <c r="B306" s="232"/>
      <c r="C306" s="187"/>
      <c r="G306" s="206"/>
      <c r="K306" s="155"/>
      <c r="L306" s="155"/>
      <c r="N306" s="155"/>
      <c r="O306" s="282"/>
      <c r="P306" s="155"/>
      <c r="Q306" s="155"/>
      <c r="R306" s="155"/>
    </row>
    <row r="307" spans="1:18" s="178" customFormat="1" ht="16.5">
      <c r="A307" s="227"/>
      <c r="C307" s="155"/>
      <c r="E307" s="206"/>
      <c r="F307" s="206"/>
      <c r="G307" s="206"/>
      <c r="K307" s="155"/>
      <c r="L307" s="155"/>
      <c r="N307" s="155"/>
      <c r="O307" s="282"/>
      <c r="P307" s="155"/>
      <c r="Q307" s="155"/>
      <c r="R307" s="155"/>
    </row>
    <row r="308" spans="1:18" s="178" customFormat="1" ht="16.5">
      <c r="A308" s="231"/>
      <c r="B308" s="232"/>
      <c r="C308" s="155"/>
      <c r="E308" s="190"/>
      <c r="F308" s="210"/>
      <c r="G308" s="206"/>
      <c r="H308" s="226"/>
      <c r="K308" s="155"/>
      <c r="L308" s="155"/>
      <c r="N308" s="155"/>
      <c r="O308" s="282"/>
    </row>
    <row r="309" spans="1:18" s="178" customFormat="1" ht="16.5">
      <c r="A309" s="227"/>
      <c r="C309" s="155"/>
      <c r="E309" s="206"/>
      <c r="F309" s="210"/>
      <c r="G309" s="206"/>
      <c r="I309" s="155"/>
      <c r="K309" s="155"/>
      <c r="L309" s="155"/>
      <c r="N309" s="155"/>
      <c r="O309" s="282"/>
    </row>
    <row r="310" spans="1:18" s="178" customFormat="1" ht="16.5">
      <c r="A310" s="227"/>
      <c r="C310" s="155"/>
      <c r="F310" s="206"/>
      <c r="G310" s="206"/>
      <c r="H310" s="206"/>
      <c r="K310" s="155"/>
      <c r="L310" s="155"/>
      <c r="N310" s="155"/>
      <c r="O310" s="282"/>
    </row>
    <row r="311" spans="1:18" s="178" customFormat="1" ht="16.5">
      <c r="A311" s="227"/>
      <c r="C311" s="155"/>
      <c r="E311" s="206"/>
      <c r="F311" s="206"/>
      <c r="G311" s="206"/>
      <c r="H311" s="155"/>
      <c r="M311" s="235"/>
      <c r="O311" s="282"/>
    </row>
    <row r="312" spans="1:18" s="178" customFormat="1" ht="16.5">
      <c r="A312" s="227"/>
      <c r="F312" s="249"/>
      <c r="G312" s="206"/>
      <c r="M312" s="235"/>
      <c r="O312" s="282"/>
      <c r="P312" s="226"/>
      <c r="Q312" s="226"/>
      <c r="R312" s="226"/>
    </row>
    <row r="313" spans="1:18" s="178" customFormat="1" ht="16.5">
      <c r="A313" s="227"/>
      <c r="F313" s="249"/>
      <c r="G313" s="206"/>
      <c r="M313" s="235"/>
      <c r="N313" s="155"/>
      <c r="O313" s="282"/>
    </row>
    <row r="314" spans="1:18" s="178" customFormat="1" ht="16.5">
      <c r="A314" s="229"/>
      <c r="B314" s="232"/>
      <c r="C314" s="155"/>
      <c r="D314" s="155"/>
      <c r="F314" s="228"/>
      <c r="G314" s="206"/>
      <c r="I314" s="155"/>
      <c r="M314" s="235"/>
      <c r="N314" s="155"/>
      <c r="O314" s="282"/>
    </row>
    <row r="315" spans="1:18" s="178" customFormat="1" ht="16.5">
      <c r="A315" s="227"/>
      <c r="C315" s="155"/>
      <c r="F315" s="217"/>
      <c r="G315" s="206"/>
      <c r="H315" s="234"/>
      <c r="N315" s="155"/>
      <c r="O315" s="282"/>
    </row>
    <row r="316" spans="1:18" s="178" customFormat="1" ht="16.5">
      <c r="A316" s="227"/>
      <c r="C316" s="155"/>
      <c r="E316" s="206"/>
      <c r="F316" s="206"/>
      <c r="G316" s="206"/>
      <c r="M316" s="235"/>
      <c r="O316" s="282"/>
    </row>
    <row r="317" spans="1:18" s="178" customFormat="1" ht="16.5">
      <c r="A317" s="225"/>
      <c r="B317" s="155"/>
      <c r="C317" s="155"/>
      <c r="E317" s="155"/>
      <c r="F317" s="155"/>
      <c r="G317" s="206"/>
      <c r="H317" s="155"/>
      <c r="M317" s="235"/>
      <c r="N317" s="155"/>
      <c r="O317" s="196"/>
    </row>
    <row r="318" spans="1:18" s="178" customFormat="1" ht="16.5">
      <c r="A318" s="229"/>
      <c r="B318" s="232"/>
      <c r="C318" s="155"/>
      <c r="F318" s="217"/>
      <c r="G318" s="206"/>
      <c r="I318" s="155"/>
      <c r="K318" s="155"/>
      <c r="L318" s="155"/>
      <c r="N318" s="155"/>
      <c r="O318" s="282"/>
    </row>
    <row r="319" spans="1:18" s="178" customFormat="1" ht="16.5">
      <c r="A319" s="227"/>
      <c r="B319" s="232"/>
      <c r="C319" s="187"/>
      <c r="E319" s="190"/>
      <c r="F319" s="190"/>
      <c r="G319" s="206"/>
      <c r="J319" s="155"/>
      <c r="O319" s="282"/>
    </row>
    <row r="320" spans="1:18" s="178" customFormat="1" ht="16.5">
      <c r="A320" s="229"/>
      <c r="B320" s="217"/>
      <c r="C320" s="187"/>
      <c r="G320" s="206"/>
      <c r="H320" s="155"/>
      <c r="I320" s="155"/>
      <c r="N320" s="155"/>
      <c r="O320" s="284"/>
    </row>
    <row r="321" spans="1:15" s="178" customFormat="1" ht="16.5">
      <c r="A321" s="227"/>
      <c r="B321" s="155"/>
      <c r="C321" s="155"/>
      <c r="E321" s="155"/>
      <c r="F321" s="155"/>
      <c r="G321" s="233"/>
      <c r="H321" s="155"/>
      <c r="I321" s="155"/>
      <c r="M321" s="235"/>
      <c r="O321" s="196"/>
    </row>
    <row r="322" spans="1:15" s="178" customFormat="1" ht="16.5">
      <c r="A322" s="227"/>
      <c r="B322" s="155"/>
      <c r="C322" s="155"/>
      <c r="E322" s="155"/>
      <c r="F322" s="155"/>
      <c r="G322" s="233"/>
      <c r="H322" s="155"/>
      <c r="I322" s="155"/>
      <c r="M322" s="235"/>
      <c r="N322" s="155"/>
      <c r="O322" s="196"/>
    </row>
    <row r="323" spans="1:15" s="178" customFormat="1" ht="16.5">
      <c r="A323" s="227"/>
      <c r="F323" s="249"/>
      <c r="G323" s="206"/>
      <c r="M323" s="235"/>
      <c r="O323" s="282"/>
    </row>
    <row r="324" spans="1:15" s="178" customFormat="1" ht="16.5">
      <c r="A324" s="227"/>
      <c r="F324" s="249"/>
      <c r="G324" s="206"/>
      <c r="M324" s="235"/>
      <c r="N324" s="155"/>
      <c r="O324" s="282"/>
    </row>
    <row r="325" spans="1:15" s="178" customFormat="1" ht="16.5">
      <c r="A325" s="231"/>
      <c r="C325" s="155"/>
      <c r="D325" s="155"/>
      <c r="E325" s="206"/>
      <c r="F325" s="210"/>
      <c r="G325" s="206"/>
      <c r="M325" s="235"/>
      <c r="N325" s="155"/>
      <c r="O325" s="282"/>
    </row>
    <row r="326" spans="1:15" s="178" customFormat="1" ht="16.5">
      <c r="A326" s="231"/>
      <c r="B326" s="217"/>
      <c r="C326" s="155"/>
      <c r="E326" s="190"/>
      <c r="F326" s="217"/>
      <c r="G326" s="206"/>
      <c r="H326" s="226"/>
      <c r="K326" s="155"/>
      <c r="L326" s="155"/>
      <c r="M326" s="235"/>
      <c r="N326" s="155"/>
      <c r="O326" s="282"/>
    </row>
    <row r="327" spans="1:15" s="178" customFormat="1" ht="16.5">
      <c r="A327" s="227"/>
      <c r="C327" s="155"/>
      <c r="E327" s="243"/>
      <c r="F327" s="243"/>
      <c r="G327" s="206"/>
      <c r="K327" s="155"/>
      <c r="L327" s="155"/>
      <c r="N327" s="155"/>
      <c r="O327" s="282"/>
    </row>
    <row r="328" spans="1:15" s="178" customFormat="1" ht="16.5">
      <c r="A328" s="227"/>
      <c r="B328" s="232"/>
      <c r="C328" s="155"/>
      <c r="G328" s="206"/>
      <c r="H328" s="226"/>
      <c r="K328" s="226"/>
      <c r="N328" s="155"/>
      <c r="O328" s="284"/>
    </row>
    <row r="329" spans="1:15" s="178" customFormat="1" ht="16.5">
      <c r="A329" s="227"/>
      <c r="C329" s="155"/>
      <c r="E329" s="206"/>
      <c r="F329" s="206"/>
      <c r="G329" s="206"/>
      <c r="K329" s="226"/>
      <c r="N329" s="155"/>
      <c r="O329" s="282"/>
    </row>
    <row r="330" spans="1:15" s="178" customFormat="1" ht="16.5">
      <c r="A330" s="227"/>
      <c r="C330" s="155"/>
      <c r="E330" s="226"/>
      <c r="G330" s="206"/>
      <c r="H330" s="234"/>
      <c r="M330" s="235"/>
      <c r="N330" s="155"/>
      <c r="O330" s="196"/>
    </row>
    <row r="331" spans="1:15" s="178" customFormat="1" ht="16.5">
      <c r="A331" s="227"/>
      <c r="B331" s="234"/>
      <c r="C331" s="155"/>
      <c r="E331" s="218"/>
      <c r="F331" s="218"/>
      <c r="G331" s="206"/>
      <c r="H331" s="234"/>
      <c r="I331" s="234"/>
      <c r="M331" s="235"/>
      <c r="O331" s="282"/>
    </row>
    <row r="332" spans="1:15" s="178" customFormat="1" ht="16.5">
      <c r="A332" s="227"/>
      <c r="B332" s="155"/>
      <c r="C332" s="155"/>
      <c r="E332" s="155"/>
      <c r="F332" s="155"/>
      <c r="G332" s="233"/>
      <c r="H332" s="155"/>
      <c r="J332" s="155"/>
      <c r="K332" s="155"/>
      <c r="L332" s="155"/>
      <c r="M332" s="155"/>
      <c r="N332" s="155"/>
      <c r="O332" s="196"/>
    </row>
    <row r="333" spans="1:15" s="178" customFormat="1" ht="16.5">
      <c r="A333" s="227"/>
      <c r="F333" s="249"/>
      <c r="G333" s="206"/>
      <c r="M333" s="235"/>
      <c r="O333" s="282"/>
    </row>
    <row r="334" spans="1:15" s="178" customFormat="1" ht="16.5">
      <c r="A334" s="227"/>
      <c r="F334" s="249"/>
      <c r="G334" s="206"/>
      <c r="M334" s="235"/>
      <c r="N334" s="155"/>
      <c r="O334" s="282"/>
    </row>
    <row r="335" spans="1:15" s="178" customFormat="1" ht="16.5">
      <c r="A335" s="227"/>
      <c r="B335" s="186"/>
      <c r="C335" s="186"/>
      <c r="D335" s="186"/>
      <c r="F335" s="249"/>
      <c r="G335" s="206"/>
      <c r="I335" s="186"/>
      <c r="J335" s="155"/>
      <c r="K335" s="155"/>
      <c r="L335" s="155"/>
      <c r="O335" s="282"/>
    </row>
    <row r="336" spans="1:15" s="178" customFormat="1" ht="16.5">
      <c r="A336" s="227"/>
      <c r="B336" s="155"/>
      <c r="C336" s="155"/>
      <c r="D336" s="155"/>
      <c r="E336" s="155"/>
      <c r="F336" s="230"/>
      <c r="G336" s="206"/>
      <c r="H336" s="226"/>
      <c r="I336" s="186"/>
      <c r="J336" s="186"/>
      <c r="K336" s="186"/>
      <c r="L336" s="186"/>
      <c r="M336" s="235"/>
      <c r="N336" s="155"/>
      <c r="O336" s="196"/>
    </row>
    <row r="337" spans="1:15" s="178" customFormat="1" ht="16.5">
      <c r="A337" s="227"/>
      <c r="B337" s="186"/>
      <c r="C337" s="155"/>
      <c r="D337" s="155"/>
      <c r="E337" s="186"/>
      <c r="F337" s="186"/>
      <c r="G337" s="206"/>
      <c r="H337" s="186"/>
      <c r="I337" s="186"/>
      <c r="J337" s="186"/>
      <c r="K337" s="186"/>
      <c r="L337" s="186"/>
      <c r="M337" s="235"/>
      <c r="N337" s="155"/>
      <c r="O337" s="285"/>
    </row>
    <row r="338" spans="1:15" s="178" customFormat="1" ht="16.5">
      <c r="A338" s="227"/>
      <c r="B338" s="186"/>
      <c r="C338" s="155"/>
      <c r="D338" s="155"/>
      <c r="E338" s="206"/>
      <c r="F338" s="210"/>
      <c r="G338" s="206"/>
      <c r="H338" s="226"/>
      <c r="I338" s="186"/>
      <c r="J338" s="155"/>
      <c r="K338" s="234"/>
      <c r="L338" s="234"/>
      <c r="M338" s="186"/>
      <c r="N338" s="155"/>
      <c r="O338" s="283"/>
    </row>
    <row r="339" spans="1:15" s="178" customFormat="1" ht="16.5">
      <c r="A339" s="227"/>
      <c r="B339" s="186"/>
      <c r="C339" s="155"/>
      <c r="D339" s="186"/>
      <c r="E339" s="186"/>
      <c r="F339" s="186"/>
      <c r="G339" s="206"/>
      <c r="H339" s="186"/>
      <c r="I339" s="186"/>
      <c r="J339" s="186"/>
      <c r="K339" s="155"/>
      <c r="L339" s="155"/>
      <c r="M339" s="186"/>
      <c r="N339" s="155"/>
      <c r="O339" s="196"/>
    </row>
    <row r="340" spans="1:15" s="178" customFormat="1" ht="16.5">
      <c r="A340" s="229"/>
      <c r="B340" s="232"/>
      <c r="C340" s="155"/>
      <c r="D340" s="155"/>
      <c r="E340" s="186"/>
      <c r="F340" s="217"/>
      <c r="G340" s="206"/>
      <c r="H340" s="186"/>
      <c r="I340" s="186"/>
      <c r="J340" s="155"/>
      <c r="K340" s="186"/>
      <c r="L340" s="186"/>
      <c r="M340" s="235"/>
      <c r="N340" s="186"/>
      <c r="O340" s="283"/>
    </row>
    <row r="341" spans="1:15" s="178" customFormat="1" ht="16.5">
      <c r="A341" s="227"/>
      <c r="B341" s="186"/>
      <c r="C341" s="155"/>
      <c r="D341" s="155"/>
      <c r="E341" s="155"/>
      <c r="F341" s="186"/>
      <c r="G341" s="206"/>
      <c r="H341" s="186"/>
      <c r="I341" s="155"/>
      <c r="J341" s="186"/>
      <c r="K341" s="186"/>
      <c r="L341" s="186"/>
      <c r="M341" s="235"/>
      <c r="N341" s="155"/>
      <c r="O341" s="196"/>
    </row>
    <row r="342" spans="1:15" s="178" customFormat="1" ht="16.5">
      <c r="A342" s="225"/>
      <c r="B342" s="155"/>
      <c r="C342" s="155"/>
      <c r="D342" s="186"/>
      <c r="E342" s="155"/>
      <c r="F342" s="186"/>
      <c r="G342" s="206"/>
      <c r="H342" s="186"/>
      <c r="I342" s="186"/>
      <c r="J342" s="186"/>
      <c r="K342" s="155"/>
      <c r="L342" s="155"/>
      <c r="M342" s="186"/>
      <c r="N342" s="186"/>
      <c r="O342" s="196"/>
    </row>
    <row r="343" spans="1:15" s="178" customFormat="1" ht="16.5">
      <c r="A343" s="227"/>
      <c r="B343" s="186"/>
      <c r="C343" s="186"/>
      <c r="D343" s="186"/>
      <c r="E343" s="155"/>
      <c r="F343" s="186"/>
      <c r="G343" s="206"/>
      <c r="H343" s="234"/>
      <c r="I343" s="186"/>
      <c r="J343" s="186"/>
      <c r="K343" s="186"/>
      <c r="L343" s="186"/>
      <c r="M343" s="186"/>
      <c r="N343" s="155"/>
      <c r="O343" s="196"/>
    </row>
    <row r="344" spans="1:15" s="178" customFormat="1" ht="16.5">
      <c r="A344" s="227"/>
      <c r="B344" s="186"/>
      <c r="C344" s="155"/>
      <c r="D344" s="186"/>
      <c r="E344" s="206"/>
      <c r="F344" s="206"/>
      <c r="G344" s="206"/>
      <c r="H344" s="186"/>
      <c r="I344" s="186"/>
      <c r="J344" s="186"/>
      <c r="K344" s="186"/>
      <c r="L344" s="186"/>
      <c r="M344" s="235"/>
      <c r="N344" s="155"/>
      <c r="O344" s="283"/>
    </row>
    <row r="345" spans="1:15" s="178" customFormat="1" ht="16.5">
      <c r="A345" s="227"/>
      <c r="B345" s="234"/>
      <c r="C345" s="234"/>
      <c r="D345" s="186"/>
      <c r="E345" s="218"/>
      <c r="F345" s="218"/>
      <c r="G345" s="206"/>
      <c r="H345" s="234"/>
      <c r="I345" s="186"/>
      <c r="J345" s="186"/>
      <c r="K345" s="186"/>
      <c r="L345" s="186"/>
      <c r="M345" s="235"/>
      <c r="N345" s="186"/>
      <c r="O345" s="283"/>
    </row>
    <row r="346" spans="1:15" s="178" customFormat="1" ht="16.5">
      <c r="A346" s="227"/>
      <c r="B346" s="234"/>
      <c r="C346" s="234"/>
      <c r="D346" s="186"/>
      <c r="E346" s="218"/>
      <c r="F346" s="218"/>
      <c r="G346" s="206"/>
      <c r="H346" s="234"/>
      <c r="I346" s="186"/>
      <c r="J346" s="186"/>
      <c r="K346" s="186"/>
      <c r="L346" s="186"/>
      <c r="M346" s="235"/>
      <c r="N346" s="155"/>
      <c r="O346" s="283"/>
    </row>
    <row r="347" spans="1:15" s="178" customFormat="1" ht="16.5">
      <c r="A347" s="227"/>
      <c r="B347" s="186"/>
      <c r="C347" s="155"/>
      <c r="D347" s="186"/>
      <c r="E347" s="186"/>
      <c r="F347" s="240"/>
      <c r="G347" s="206"/>
      <c r="H347" s="155"/>
      <c r="I347" s="186"/>
      <c r="J347" s="186"/>
      <c r="K347" s="155"/>
      <c r="L347" s="155"/>
      <c r="M347" s="186"/>
      <c r="N347" s="155"/>
      <c r="O347" s="283"/>
    </row>
    <row r="348" spans="1:15" s="178" customFormat="1" ht="16.5">
      <c r="A348" s="229"/>
      <c r="B348" s="232"/>
      <c r="C348" s="155"/>
      <c r="D348" s="236"/>
      <c r="E348" s="186"/>
      <c r="F348" s="217"/>
      <c r="G348" s="206"/>
      <c r="H348" s="186"/>
      <c r="I348" s="186"/>
      <c r="J348" s="186"/>
      <c r="K348" s="226"/>
      <c r="L348" s="186"/>
      <c r="M348" s="186"/>
      <c r="N348" s="186"/>
      <c r="O348" s="283"/>
    </row>
    <row r="349" spans="1:15" s="178" customFormat="1" ht="16.5">
      <c r="A349" s="229"/>
      <c r="B349" s="232"/>
      <c r="C349" s="155"/>
      <c r="D349" s="186"/>
      <c r="E349" s="186"/>
      <c r="F349" s="217"/>
      <c r="G349" s="206"/>
      <c r="H349" s="186"/>
      <c r="I349" s="186"/>
      <c r="J349" s="186"/>
      <c r="K349" s="226"/>
      <c r="L349" s="186"/>
      <c r="M349" s="186"/>
      <c r="N349" s="186"/>
      <c r="O349" s="283"/>
    </row>
    <row r="350" spans="1:15" s="178" customFormat="1" ht="16.5">
      <c r="A350" s="229"/>
      <c r="B350" s="232"/>
      <c r="C350" s="186"/>
      <c r="D350" s="186"/>
      <c r="E350" s="186"/>
      <c r="F350" s="217"/>
      <c r="G350" s="206"/>
      <c r="H350" s="186"/>
      <c r="I350" s="155"/>
      <c r="J350" s="186"/>
      <c r="K350" s="186"/>
      <c r="L350" s="186"/>
      <c r="M350" s="186"/>
      <c r="N350" s="155"/>
      <c r="O350" s="283"/>
    </row>
    <row r="351" spans="1:15" s="178" customFormat="1" ht="16.5">
      <c r="A351" s="225"/>
      <c r="B351" s="186"/>
      <c r="C351" s="186"/>
      <c r="D351" s="186"/>
      <c r="E351" s="186"/>
      <c r="F351" s="186"/>
      <c r="G351" s="206"/>
      <c r="H351" s="186"/>
      <c r="I351" s="187"/>
      <c r="J351" s="186"/>
      <c r="K351" s="186"/>
      <c r="L351" s="186"/>
      <c r="M351" s="186"/>
      <c r="N351" s="155"/>
      <c r="O351" s="196"/>
    </row>
    <row r="352" spans="1:15" s="178" customFormat="1" ht="16.5">
      <c r="A352" s="225"/>
      <c r="B352" s="155"/>
      <c r="C352" s="187"/>
      <c r="D352" s="186"/>
      <c r="E352" s="155"/>
      <c r="F352" s="155"/>
      <c r="G352" s="206"/>
      <c r="H352" s="226"/>
      <c r="I352" s="186"/>
      <c r="J352" s="186"/>
      <c r="K352" s="186"/>
      <c r="L352" s="186"/>
      <c r="M352" s="186"/>
      <c r="N352" s="186"/>
      <c r="O352" s="196"/>
    </row>
    <row r="353" spans="1:15" s="178" customFormat="1" ht="16.5">
      <c r="A353" s="227"/>
      <c r="B353" s="155"/>
      <c r="C353" s="155"/>
      <c r="D353" s="186"/>
      <c r="E353" s="155"/>
      <c r="F353" s="155"/>
      <c r="G353" s="233"/>
      <c r="H353" s="155"/>
      <c r="I353" s="155"/>
      <c r="J353" s="186"/>
      <c r="K353" s="186"/>
      <c r="L353" s="186"/>
      <c r="M353" s="235"/>
      <c r="N353" s="155"/>
      <c r="O353" s="196"/>
    </row>
    <row r="354" spans="1:15" s="178" customFormat="1" ht="16.5">
      <c r="A354" s="227"/>
      <c r="B354" s="155"/>
      <c r="C354" s="155"/>
      <c r="D354" s="186"/>
      <c r="E354" s="155"/>
      <c r="F354" s="155"/>
      <c r="G354" s="233"/>
      <c r="H354" s="155"/>
      <c r="I354" s="155"/>
      <c r="J354" s="186"/>
      <c r="K354" s="186"/>
      <c r="L354" s="186"/>
      <c r="M354" s="235"/>
      <c r="N354" s="155"/>
      <c r="O354" s="196"/>
    </row>
    <row r="355" spans="1:15" s="178" customFormat="1" ht="16.5">
      <c r="A355" s="227"/>
      <c r="D355" s="186"/>
      <c r="G355" s="233"/>
      <c r="I355" s="186"/>
      <c r="J355" s="186"/>
      <c r="K355" s="186"/>
      <c r="L355" s="186"/>
      <c r="M355" s="235"/>
      <c r="O355" s="282"/>
    </row>
    <row r="356" spans="1:15" s="178" customFormat="1" ht="16.5">
      <c r="A356" s="227"/>
      <c r="B356" s="186"/>
      <c r="C356" s="187"/>
      <c r="D356" s="186"/>
      <c r="E356" s="206"/>
      <c r="F356" s="206"/>
      <c r="G356" s="206"/>
      <c r="H356" s="186"/>
      <c r="I356" s="186"/>
      <c r="J356" s="186"/>
      <c r="K356" s="186"/>
      <c r="L356" s="186"/>
      <c r="M356" s="186"/>
      <c r="O356" s="283"/>
    </row>
    <row r="357" spans="1:15" s="178" customFormat="1" ht="16.5">
      <c r="A357" s="227"/>
      <c r="B357" s="186"/>
      <c r="C357" s="187"/>
      <c r="D357" s="186"/>
      <c r="E357" s="186"/>
      <c r="F357" s="239"/>
      <c r="G357" s="206"/>
      <c r="H357" s="186"/>
      <c r="J357" s="186"/>
      <c r="M357" s="186"/>
      <c r="O357" s="283"/>
    </row>
    <row r="358" spans="1:15" s="178" customFormat="1" ht="16.5">
      <c r="A358" s="227"/>
      <c r="B358" s="186"/>
      <c r="C358" s="187"/>
      <c r="D358" s="186"/>
      <c r="E358" s="206"/>
      <c r="F358" s="217"/>
      <c r="G358" s="206"/>
      <c r="H358" s="186"/>
      <c r="J358" s="186"/>
      <c r="K358" s="186"/>
      <c r="L358" s="186"/>
      <c r="M358" s="186"/>
      <c r="O358" s="283"/>
    </row>
    <row r="359" spans="1:15" s="178" customFormat="1" ht="16.5">
      <c r="A359" s="227"/>
      <c r="B359" s="186"/>
      <c r="C359" s="187"/>
      <c r="D359" s="186"/>
      <c r="E359" s="206"/>
      <c r="F359" s="206"/>
      <c r="G359" s="206"/>
      <c r="H359" s="186"/>
      <c r="I359" s="186"/>
      <c r="O359" s="282"/>
    </row>
    <row r="360" spans="1:15" s="178" customFormat="1" ht="16.5">
      <c r="A360" s="227"/>
      <c r="B360" s="186"/>
      <c r="C360" s="186"/>
      <c r="D360" s="186"/>
      <c r="F360" s="249"/>
      <c r="G360" s="206"/>
      <c r="I360" s="186"/>
      <c r="J360" s="186"/>
      <c r="K360" s="186"/>
      <c r="L360" s="186"/>
      <c r="M360" s="235"/>
      <c r="N360" s="186"/>
      <c r="O360" s="282"/>
    </row>
    <row r="361" spans="1:15" s="178" customFormat="1" ht="16.5">
      <c r="A361" s="227"/>
      <c r="B361" s="186"/>
      <c r="C361" s="186"/>
      <c r="D361" s="186"/>
      <c r="F361" s="249"/>
      <c r="G361" s="206"/>
      <c r="I361" s="186"/>
      <c r="J361" s="186"/>
      <c r="K361" s="186"/>
      <c r="L361" s="186"/>
      <c r="M361" s="235"/>
      <c r="O361" s="282"/>
    </row>
    <row r="362" spans="1:15" s="178" customFormat="1" ht="16.5">
      <c r="A362" s="227"/>
      <c r="B362" s="186"/>
      <c r="C362" s="186"/>
      <c r="D362" s="186"/>
      <c r="F362" s="249"/>
      <c r="G362" s="206"/>
      <c r="I362" s="186"/>
      <c r="J362" s="186"/>
      <c r="K362" s="186"/>
      <c r="L362" s="186"/>
      <c r="M362" s="235"/>
      <c r="O362" s="282"/>
    </row>
    <row r="363" spans="1:15" s="178" customFormat="1" ht="16.5">
      <c r="A363" s="225"/>
      <c r="B363" s="186"/>
      <c r="D363" s="186"/>
      <c r="E363" s="206"/>
      <c r="F363" s="217"/>
      <c r="G363" s="206"/>
      <c r="H363" s="186"/>
      <c r="I363" s="186"/>
      <c r="J363" s="186"/>
      <c r="K363" s="226"/>
      <c r="L363" s="186"/>
      <c r="M363" s="186"/>
      <c r="O363" s="283"/>
    </row>
    <row r="364" spans="1:15" s="178" customFormat="1" ht="16.5">
      <c r="A364" s="227"/>
      <c r="B364" s="186"/>
      <c r="E364" s="206"/>
      <c r="F364" s="217"/>
      <c r="G364" s="206"/>
      <c r="H364" s="186"/>
      <c r="I364" s="186"/>
      <c r="J364" s="186"/>
      <c r="K364" s="186"/>
      <c r="L364" s="186"/>
      <c r="M364" s="235"/>
      <c r="O364" s="283"/>
    </row>
    <row r="365" spans="1:15" s="178" customFormat="1" ht="16.5">
      <c r="A365" s="227"/>
      <c r="B365" s="186"/>
      <c r="D365" s="186"/>
      <c r="E365" s="206"/>
      <c r="F365" s="206"/>
      <c r="G365" s="206"/>
      <c r="H365" s="186"/>
      <c r="I365" s="186"/>
      <c r="J365" s="186"/>
      <c r="K365" s="186"/>
      <c r="L365" s="186"/>
      <c r="M365" s="235"/>
      <c r="O365" s="283"/>
    </row>
    <row r="366" spans="1:15" s="178" customFormat="1" ht="16.5">
      <c r="A366" s="227"/>
      <c r="B366" s="186"/>
      <c r="C366" s="186"/>
      <c r="D366" s="186"/>
      <c r="E366" s="206"/>
      <c r="F366" s="206"/>
      <c r="G366" s="206"/>
      <c r="H366" s="186"/>
      <c r="I366" s="186"/>
      <c r="J366" s="186"/>
      <c r="K366" s="186"/>
      <c r="L366" s="186"/>
      <c r="M366" s="235"/>
      <c r="O366" s="282"/>
    </row>
    <row r="367" spans="1:15" s="178" customFormat="1" ht="16.5">
      <c r="A367" s="227"/>
      <c r="B367" s="186"/>
      <c r="C367" s="186"/>
      <c r="D367" s="186"/>
      <c r="E367" s="206"/>
      <c r="F367" s="206"/>
      <c r="G367" s="206"/>
      <c r="H367" s="186"/>
      <c r="I367" s="186"/>
      <c r="J367" s="186"/>
      <c r="K367" s="186"/>
      <c r="L367" s="186"/>
      <c r="M367" s="235"/>
      <c r="O367" s="282"/>
    </row>
    <row r="368" spans="1:15" s="178" customFormat="1" ht="16.5">
      <c r="A368" s="227"/>
      <c r="B368" s="186"/>
      <c r="C368" s="186"/>
      <c r="D368" s="186"/>
      <c r="E368" s="206"/>
      <c r="F368" s="206"/>
      <c r="G368" s="206"/>
      <c r="H368" s="186"/>
      <c r="I368" s="186"/>
      <c r="J368" s="186"/>
      <c r="K368" s="186"/>
      <c r="L368" s="186"/>
      <c r="M368" s="235"/>
      <c r="N368" s="186"/>
      <c r="O368" s="282"/>
    </row>
    <row r="369" spans="1:15" s="178" customFormat="1" ht="16.5">
      <c r="A369" s="227"/>
      <c r="E369" s="206"/>
      <c r="F369" s="206"/>
      <c r="G369" s="206"/>
      <c r="H369" s="186"/>
      <c r="I369" s="186"/>
      <c r="J369" s="186"/>
      <c r="K369" s="186"/>
      <c r="L369" s="186"/>
      <c r="M369" s="235"/>
      <c r="N369" s="186"/>
      <c r="O369" s="283"/>
    </row>
    <row r="370" spans="1:15" s="178" customFormat="1" ht="16.5">
      <c r="A370" s="227"/>
      <c r="B370" s="232"/>
      <c r="E370" s="186"/>
      <c r="F370" s="210"/>
      <c r="G370" s="206"/>
      <c r="H370" s="186"/>
      <c r="I370" s="186"/>
      <c r="J370" s="186"/>
      <c r="K370" s="186"/>
      <c r="L370" s="186"/>
      <c r="M370" s="186"/>
      <c r="N370" s="186"/>
      <c r="O370" s="283"/>
    </row>
    <row r="371" spans="1:15" s="178" customFormat="1" ht="16.5">
      <c r="A371" s="227"/>
      <c r="B371" s="236"/>
      <c r="E371" s="186"/>
      <c r="F371" s="186"/>
      <c r="G371" s="206"/>
      <c r="K371" s="234"/>
      <c r="L371" s="234"/>
      <c r="M371" s="186"/>
      <c r="O371" s="283"/>
    </row>
    <row r="372" spans="1:15" s="178" customFormat="1" ht="16.5">
      <c r="A372" s="227"/>
      <c r="B372" s="186"/>
      <c r="C372" s="186"/>
      <c r="E372" s="186"/>
      <c r="F372" s="243"/>
      <c r="G372" s="206"/>
      <c r="H372" s="234"/>
      <c r="I372" s="186"/>
      <c r="J372" s="186"/>
      <c r="K372" s="186"/>
      <c r="L372" s="186"/>
      <c r="M372" s="186"/>
      <c r="O372" s="283"/>
    </row>
    <row r="373" spans="1:15" s="178" customFormat="1" ht="16.5">
      <c r="A373" s="225"/>
      <c r="B373" s="186"/>
      <c r="D373" s="186"/>
      <c r="E373" s="186"/>
      <c r="F373" s="186"/>
      <c r="G373" s="206"/>
      <c r="H373" s="186"/>
      <c r="I373" s="186"/>
      <c r="J373" s="186"/>
      <c r="M373" s="186"/>
      <c r="O373" s="283"/>
    </row>
    <row r="374" spans="1:15" s="178" customFormat="1" ht="16.5">
      <c r="A374" s="227"/>
      <c r="B374" s="234"/>
      <c r="D374" s="186"/>
      <c r="E374" s="218"/>
      <c r="F374" s="218"/>
      <c r="G374" s="206"/>
      <c r="H374" s="186"/>
      <c r="I374" s="186"/>
      <c r="J374" s="186"/>
      <c r="M374" s="186"/>
      <c r="O374" s="283"/>
    </row>
    <row r="375" spans="1:15" s="178" customFormat="1" ht="16.5">
      <c r="A375" s="227"/>
      <c r="B375" s="186"/>
      <c r="C375" s="186"/>
      <c r="D375" s="186"/>
      <c r="E375" s="186"/>
      <c r="F375" s="186"/>
      <c r="G375" s="206"/>
      <c r="H375" s="186"/>
      <c r="I375" s="232"/>
      <c r="J375" s="186"/>
      <c r="K375" s="186"/>
      <c r="L375" s="234"/>
      <c r="M375" s="235"/>
      <c r="O375" s="283"/>
    </row>
    <row r="376" spans="1:15" s="178" customFormat="1" ht="16.5">
      <c r="A376" s="227"/>
      <c r="B376" s="186"/>
      <c r="C376" s="186"/>
      <c r="D376" s="186"/>
      <c r="E376" s="186"/>
      <c r="F376" s="186"/>
      <c r="G376" s="206"/>
      <c r="H376" s="186"/>
      <c r="I376" s="187"/>
      <c r="J376" s="186"/>
      <c r="K376" s="186"/>
      <c r="L376" s="234"/>
      <c r="M376" s="235"/>
      <c r="O376" s="283"/>
    </row>
    <row r="377" spans="1:15" s="178" customFormat="1" ht="16.5">
      <c r="A377" s="229"/>
      <c r="B377" s="186"/>
      <c r="C377" s="186"/>
      <c r="D377" s="186"/>
      <c r="E377" s="186"/>
      <c r="F377" s="186"/>
      <c r="G377" s="206"/>
      <c r="H377" s="186"/>
      <c r="I377" s="187"/>
      <c r="J377" s="186"/>
      <c r="K377" s="186"/>
      <c r="L377" s="234"/>
      <c r="M377" s="235"/>
      <c r="N377" s="155"/>
      <c r="O377" s="196"/>
    </row>
    <row r="378" spans="1:15" s="178" customFormat="1" ht="16.5">
      <c r="A378" s="227"/>
      <c r="B378" s="186"/>
      <c r="C378" s="186"/>
      <c r="D378" s="186"/>
      <c r="E378" s="186"/>
      <c r="F378" s="155"/>
      <c r="G378" s="206"/>
      <c r="H378" s="186"/>
      <c r="I378" s="187"/>
      <c r="J378" s="186"/>
      <c r="K378" s="186"/>
      <c r="L378" s="234"/>
      <c r="M378" s="235"/>
      <c r="N378" s="155"/>
      <c r="O378" s="283"/>
    </row>
    <row r="379" spans="1:15" s="178" customFormat="1" ht="16.5">
      <c r="A379" s="231"/>
      <c r="B379" s="217"/>
      <c r="C379" s="186"/>
      <c r="D379" s="186"/>
      <c r="E379" s="186"/>
      <c r="F379" s="186"/>
      <c r="G379" s="206"/>
      <c r="H379" s="186"/>
      <c r="I379" s="187"/>
      <c r="J379" s="186"/>
      <c r="K379" s="186"/>
      <c r="L379" s="234"/>
      <c r="M379" s="235"/>
      <c r="N379" s="155"/>
      <c r="O379" s="283"/>
    </row>
    <row r="380" spans="1:15" s="178" customFormat="1" ht="16.5">
      <c r="A380" s="227"/>
      <c r="B380" s="186"/>
      <c r="C380" s="206"/>
      <c r="D380" s="155"/>
      <c r="E380" s="186"/>
      <c r="F380" s="186"/>
      <c r="G380" s="206"/>
      <c r="H380" s="186"/>
      <c r="I380" s="232"/>
      <c r="J380" s="186"/>
      <c r="K380" s="186"/>
      <c r="L380" s="234"/>
      <c r="M380" s="235"/>
      <c r="N380" s="155"/>
      <c r="O380" s="283"/>
    </row>
    <row r="381" spans="1:15" s="178" customFormat="1" ht="16.5">
      <c r="A381" s="225"/>
      <c r="B381" s="186"/>
      <c r="C381" s="155"/>
      <c r="D381" s="155"/>
      <c r="E381" s="186"/>
      <c r="F381" s="155"/>
      <c r="G381" s="206"/>
      <c r="H381" s="186"/>
      <c r="I381" s="232"/>
      <c r="J381" s="186"/>
      <c r="K381" s="186"/>
      <c r="L381" s="234"/>
      <c r="M381" s="235"/>
      <c r="N381" s="155"/>
      <c r="O381" s="196"/>
    </row>
    <row r="382" spans="1:15" s="178" customFormat="1" ht="16.5">
      <c r="A382" s="225"/>
      <c r="B382" s="186"/>
      <c r="C382" s="155"/>
      <c r="D382" s="155"/>
      <c r="E382" s="186"/>
      <c r="F382" s="155"/>
      <c r="G382" s="206"/>
      <c r="H382" s="186"/>
      <c r="I382" s="187"/>
      <c r="J382" s="186"/>
      <c r="K382" s="186"/>
      <c r="L382" s="234"/>
      <c r="M382" s="235"/>
      <c r="N382" s="155"/>
      <c r="O382" s="196"/>
    </row>
    <row r="383" spans="1:15" s="178" customFormat="1" ht="16.5">
      <c r="A383" s="227"/>
      <c r="B383" s="186"/>
      <c r="C383" s="186"/>
      <c r="D383" s="186"/>
      <c r="E383" s="186"/>
      <c r="F383" s="155"/>
      <c r="G383" s="206"/>
      <c r="H383" s="186"/>
      <c r="I383" s="187"/>
      <c r="J383" s="186"/>
      <c r="K383" s="186"/>
      <c r="L383" s="234"/>
      <c r="M383" s="235"/>
      <c r="N383" s="155"/>
      <c r="O383" s="283"/>
    </row>
    <row r="384" spans="1:15" s="178" customFormat="1" ht="16.5">
      <c r="A384" s="227"/>
      <c r="B384" s="236"/>
      <c r="C384" s="155"/>
      <c r="D384" s="155"/>
      <c r="E384" s="186"/>
      <c r="F384" s="186"/>
      <c r="G384" s="206"/>
      <c r="H384" s="186"/>
      <c r="I384" s="187"/>
      <c r="J384" s="186"/>
      <c r="K384" s="186"/>
      <c r="L384" s="155"/>
      <c r="M384" s="235"/>
      <c r="N384" s="155"/>
      <c r="O384" s="283"/>
    </row>
    <row r="385" spans="1:15" s="178" customFormat="1" ht="16.5">
      <c r="A385" s="231"/>
      <c r="B385" s="186"/>
      <c r="C385" s="155"/>
      <c r="D385" s="236"/>
      <c r="E385" s="206"/>
      <c r="F385" s="206"/>
      <c r="G385" s="206"/>
      <c r="H385" s="186"/>
      <c r="I385" s="186"/>
      <c r="J385" s="186"/>
      <c r="K385" s="186"/>
      <c r="L385" s="186"/>
      <c r="M385" s="235"/>
      <c r="N385" s="155"/>
      <c r="O385" s="283"/>
    </row>
    <row r="386" spans="1:15" s="178" customFormat="1" ht="16.5">
      <c r="A386" s="227"/>
      <c r="B386" s="186"/>
      <c r="C386" s="155"/>
      <c r="D386" s="186"/>
      <c r="E386" s="206"/>
      <c r="F386" s="217"/>
      <c r="G386" s="206"/>
      <c r="H386" s="186"/>
      <c r="I386" s="186"/>
      <c r="J386" s="186"/>
      <c r="K386" s="186"/>
      <c r="L386" s="186"/>
      <c r="M386" s="235"/>
      <c r="N386" s="186"/>
      <c r="O386" s="283"/>
    </row>
    <row r="387" spans="1:15" s="178" customFormat="1" ht="16.5">
      <c r="A387" s="231"/>
      <c r="B387" s="236"/>
      <c r="C387" s="155"/>
      <c r="D387" s="155"/>
      <c r="E387" s="246"/>
      <c r="F387" s="243"/>
      <c r="G387" s="206"/>
      <c r="H387" s="186"/>
      <c r="I387" s="186"/>
      <c r="J387" s="186"/>
      <c r="K387" s="186"/>
      <c r="L387" s="186"/>
      <c r="M387" s="235"/>
      <c r="N387" s="155"/>
      <c r="O387" s="283"/>
    </row>
    <row r="388" spans="1:15" s="178" customFormat="1" ht="16.5">
      <c r="A388" s="227"/>
      <c r="B388" s="155"/>
      <c r="C388" s="155"/>
      <c r="D388" s="186"/>
      <c r="E388" s="155"/>
      <c r="F388" s="186"/>
      <c r="G388" s="206"/>
      <c r="H388" s="186"/>
      <c r="I388" s="186"/>
      <c r="J388" s="186"/>
      <c r="K388" s="186"/>
      <c r="L388" s="186"/>
      <c r="M388" s="235"/>
      <c r="N388" s="155"/>
      <c r="O388" s="196"/>
    </row>
    <row r="389" spans="1:15" s="178" customFormat="1" ht="16.5">
      <c r="A389" s="231"/>
      <c r="B389" s="186"/>
      <c r="C389" s="186"/>
      <c r="D389" s="155"/>
      <c r="E389" s="186"/>
      <c r="F389" s="186"/>
      <c r="G389" s="206"/>
      <c r="H389" s="155"/>
      <c r="I389" s="187"/>
      <c r="J389" s="186"/>
      <c r="K389" s="186"/>
      <c r="L389" s="186"/>
      <c r="M389" s="235"/>
      <c r="N389" s="186"/>
      <c r="O389" s="283"/>
    </row>
    <row r="390" spans="1:15" s="178" customFormat="1" ht="16.5">
      <c r="A390" s="231"/>
      <c r="B390" s="186"/>
      <c r="C390" s="186"/>
      <c r="D390" s="155"/>
      <c r="E390" s="186"/>
      <c r="F390" s="186"/>
      <c r="G390" s="206"/>
      <c r="H390" s="155"/>
      <c r="I390" s="187"/>
      <c r="J390" s="186"/>
      <c r="K390" s="186"/>
      <c r="L390" s="186"/>
      <c r="M390" s="235"/>
      <c r="N390" s="155"/>
      <c r="O390" s="283"/>
    </row>
    <row r="391" spans="1:15" s="178" customFormat="1" ht="16.5">
      <c r="A391" s="231"/>
      <c r="B391" s="186"/>
      <c r="C391" s="186"/>
      <c r="D391" s="186"/>
      <c r="E391" s="186"/>
      <c r="F391" s="155"/>
      <c r="G391" s="206"/>
      <c r="H391" s="186"/>
      <c r="I391" s="187"/>
      <c r="J391" s="186"/>
      <c r="K391" s="186"/>
      <c r="L391" s="234"/>
      <c r="M391" s="235"/>
      <c r="N391" s="155"/>
      <c r="O391" s="283"/>
    </row>
    <row r="392" spans="1:15" s="178" customFormat="1" ht="16.5">
      <c r="A392" s="229"/>
      <c r="B392" s="232"/>
      <c r="C392" s="155"/>
      <c r="D392" s="155"/>
      <c r="E392" s="186"/>
      <c r="F392" s="186"/>
      <c r="G392" s="206"/>
      <c r="H392" s="186"/>
      <c r="I392" s="186"/>
      <c r="J392" s="186"/>
      <c r="K392" s="186"/>
      <c r="L392" s="186"/>
      <c r="M392" s="235"/>
      <c r="N392" s="155"/>
      <c r="O392" s="283"/>
    </row>
    <row r="393" spans="1:15" s="178" customFormat="1" ht="16.5">
      <c r="A393" s="225"/>
      <c r="B393" s="186"/>
      <c r="C393" s="186"/>
      <c r="D393" s="186"/>
      <c r="E393" s="186"/>
      <c r="F393" s="186"/>
      <c r="G393" s="206"/>
      <c r="H393" s="234"/>
      <c r="I393" s="186"/>
      <c r="J393" s="186"/>
      <c r="K393" s="186"/>
      <c r="L393" s="186"/>
      <c r="M393" s="235"/>
      <c r="N393" s="155"/>
      <c r="O393" s="283"/>
    </row>
    <row r="394" spans="1:15" s="178" customFormat="1" ht="16.5">
      <c r="A394" s="227"/>
      <c r="B394" s="155"/>
      <c r="C394" s="155"/>
      <c r="D394" s="155"/>
      <c r="E394" s="155"/>
      <c r="F394" s="190"/>
      <c r="G394" s="206"/>
      <c r="H394" s="155"/>
      <c r="I394" s="186"/>
      <c r="J394" s="186"/>
      <c r="K394" s="186"/>
      <c r="L394" s="186"/>
      <c r="M394" s="235"/>
      <c r="N394" s="155"/>
      <c r="O394" s="196"/>
    </row>
    <row r="395" spans="1:15" s="178" customFormat="1" ht="16.5">
      <c r="A395" s="227"/>
      <c r="B395" s="234"/>
      <c r="C395" s="155"/>
      <c r="D395" s="186"/>
      <c r="E395" s="218"/>
      <c r="F395" s="218"/>
      <c r="G395" s="206"/>
      <c r="H395" s="234"/>
      <c r="I395" s="186"/>
      <c r="J395" s="234"/>
      <c r="K395" s="234"/>
      <c r="L395" s="234"/>
      <c r="M395" s="234"/>
      <c r="N395" s="234"/>
      <c r="O395" s="283"/>
    </row>
    <row r="396" spans="1:15" s="178" customFormat="1" ht="16.5">
      <c r="A396" s="227"/>
      <c r="B396" s="186"/>
      <c r="C396" s="186"/>
      <c r="D396" s="186"/>
      <c r="E396" s="186"/>
      <c r="F396" s="186"/>
      <c r="G396" s="206"/>
      <c r="H396" s="186"/>
      <c r="I396" s="186"/>
      <c r="J396" s="186"/>
      <c r="K396" s="186"/>
      <c r="L396" s="186"/>
      <c r="M396" s="235"/>
      <c r="N396" s="155"/>
      <c r="O396" s="283"/>
    </row>
    <row r="397" spans="1:15" s="178" customFormat="1" ht="16.5">
      <c r="A397" s="227"/>
      <c r="B397" s="186"/>
      <c r="C397" s="186"/>
      <c r="D397" s="186"/>
      <c r="E397" s="206"/>
      <c r="F397" s="206"/>
      <c r="G397" s="206"/>
      <c r="H397" s="186"/>
      <c r="I397" s="186"/>
      <c r="J397" s="186"/>
      <c r="K397" s="186"/>
      <c r="L397" s="186"/>
      <c r="O397" s="282"/>
    </row>
    <row r="398" spans="1:15" s="178" customFormat="1" ht="16.5">
      <c r="A398" s="227"/>
      <c r="B398" s="186"/>
      <c r="C398" s="155"/>
      <c r="D398" s="186"/>
      <c r="E398" s="206"/>
      <c r="F398" s="217"/>
      <c r="G398" s="206"/>
      <c r="H398" s="186"/>
      <c r="I398" s="187"/>
      <c r="J398" s="186"/>
      <c r="K398" s="155"/>
      <c r="L398" s="155"/>
      <c r="M398" s="186"/>
      <c r="N398" s="155"/>
      <c r="O398" s="283"/>
    </row>
    <row r="399" spans="1:15" s="178" customFormat="1" ht="16.5">
      <c r="A399" s="227"/>
      <c r="B399" s="234"/>
      <c r="C399" s="155"/>
      <c r="D399" s="186"/>
      <c r="E399" s="218"/>
      <c r="F399" s="218"/>
      <c r="G399" s="206"/>
      <c r="H399" s="186"/>
      <c r="I399" s="187"/>
      <c r="J399" s="186"/>
      <c r="K399" s="186"/>
      <c r="L399" s="186"/>
      <c r="M399" s="234"/>
      <c r="N399" s="234"/>
      <c r="O399" s="283"/>
    </row>
    <row r="400" spans="1:15" s="178" customFormat="1" ht="16.5">
      <c r="A400" s="227"/>
      <c r="B400" s="155"/>
      <c r="C400" s="187"/>
      <c r="D400" s="186"/>
      <c r="E400" s="243"/>
      <c r="F400" s="186"/>
      <c r="G400" s="206"/>
      <c r="H400" s="186"/>
      <c r="I400" s="186"/>
      <c r="J400" s="155"/>
      <c r="K400" s="234"/>
      <c r="L400" s="234"/>
      <c r="M400" s="186"/>
      <c r="N400" s="155"/>
      <c r="O400" s="196"/>
    </row>
    <row r="401" spans="1:15" s="178" customFormat="1" ht="16.5">
      <c r="A401" s="225"/>
      <c r="B401" s="186"/>
      <c r="C401" s="187"/>
      <c r="D401" s="155"/>
      <c r="E401" s="186"/>
      <c r="F401" s="186"/>
      <c r="G401" s="206"/>
      <c r="H401" s="234"/>
      <c r="I401" s="187"/>
      <c r="J401" s="186"/>
      <c r="K401" s="155"/>
      <c r="L401" s="155"/>
      <c r="M401" s="186"/>
      <c r="N401" s="155"/>
      <c r="O401" s="283"/>
    </row>
    <row r="402" spans="1:15" s="178" customFormat="1" ht="16.5">
      <c r="A402" s="227"/>
      <c r="B402" s="186"/>
      <c r="C402" s="155"/>
      <c r="D402" s="186"/>
      <c r="E402" s="186"/>
      <c r="F402" s="186"/>
      <c r="G402" s="206"/>
      <c r="H402" s="155"/>
      <c r="I402" s="186"/>
      <c r="J402" s="186"/>
      <c r="K402" s="186"/>
      <c r="L402" s="186"/>
      <c r="M402" s="235"/>
      <c r="N402" s="155"/>
      <c r="O402" s="283"/>
    </row>
    <row r="403" spans="1:15" s="178" customFormat="1" ht="16.5">
      <c r="A403" s="227"/>
      <c r="B403" s="186"/>
      <c r="C403" s="186"/>
      <c r="D403" s="186"/>
      <c r="E403" s="206"/>
      <c r="F403" s="206"/>
      <c r="G403" s="206"/>
      <c r="H403" s="186"/>
      <c r="I403" s="186"/>
      <c r="J403" s="186"/>
      <c r="K403" s="186"/>
      <c r="L403" s="186"/>
      <c r="M403" s="235"/>
      <c r="N403" s="186"/>
      <c r="O403" s="282"/>
    </row>
    <row r="404" spans="1:15" s="178" customFormat="1" ht="16.5">
      <c r="A404" s="227"/>
      <c r="B404" s="186"/>
      <c r="C404" s="186"/>
      <c r="D404" s="186"/>
      <c r="E404" s="206"/>
      <c r="F404" s="206"/>
      <c r="G404" s="206"/>
      <c r="H404" s="186"/>
      <c r="I404" s="186"/>
      <c r="J404" s="186"/>
      <c r="K404" s="186"/>
      <c r="L404" s="186"/>
      <c r="M404" s="235"/>
      <c r="N404" s="155"/>
      <c r="O404" s="282"/>
    </row>
    <row r="405" spans="1:15" s="178" customFormat="1" ht="16.5">
      <c r="A405" s="227"/>
      <c r="B405" s="186"/>
      <c r="C405" s="186"/>
      <c r="D405" s="186"/>
      <c r="E405" s="206"/>
      <c r="F405" s="206"/>
      <c r="G405" s="206"/>
      <c r="H405" s="186"/>
      <c r="I405" s="186"/>
      <c r="J405" s="186"/>
      <c r="K405" s="186"/>
      <c r="L405" s="186"/>
      <c r="M405" s="235"/>
      <c r="N405" s="155"/>
      <c r="O405" s="282"/>
    </row>
    <row r="406" spans="1:15" s="178" customFormat="1" ht="16.5">
      <c r="A406" s="227"/>
      <c r="B406" s="186"/>
      <c r="C406" s="186"/>
      <c r="D406" s="186"/>
      <c r="E406" s="186"/>
      <c r="F406" s="206"/>
      <c r="G406" s="206"/>
      <c r="H406" s="186"/>
      <c r="I406" s="186"/>
      <c r="J406" s="186"/>
      <c r="K406" s="186"/>
      <c r="L406" s="186"/>
      <c r="M406" s="235"/>
      <c r="N406" s="155"/>
      <c r="O406" s="282"/>
    </row>
    <row r="407" spans="1:15" s="178" customFormat="1" ht="16.5">
      <c r="K407" s="155"/>
      <c r="L407" s="155"/>
      <c r="O407" s="282"/>
    </row>
    <row r="421" spans="16:16" ht="16.5">
      <c r="P421" s="98"/>
    </row>
    <row r="422" spans="16:16" ht="16.5">
      <c r="P422" s="98"/>
    </row>
    <row r="423" spans="16:16" ht="16.5">
      <c r="P423" s="98"/>
    </row>
    <row r="424" spans="16:16" ht="16.5">
      <c r="P424" s="98"/>
    </row>
    <row r="425" spans="16:16" ht="16.5">
      <c r="P425" s="98"/>
    </row>
    <row r="426" spans="16:16" ht="16.5">
      <c r="P426" s="98"/>
    </row>
    <row r="427" spans="16:16" ht="16.5">
      <c r="P427" s="98"/>
    </row>
    <row r="428" spans="16:16" ht="16.5">
      <c r="P428" s="98"/>
    </row>
    <row r="429" spans="16:16" ht="16.5">
      <c r="P429" s="98"/>
    </row>
    <row r="430" spans="16:16" ht="16.5">
      <c r="P430" s="98"/>
    </row>
    <row r="431" spans="16:16" ht="16.5">
      <c r="P431" s="98"/>
    </row>
    <row r="432" spans="16:16" ht="16.5">
      <c r="P432" s="98"/>
    </row>
    <row r="433" spans="16:16" ht="16.5">
      <c r="P433" s="98"/>
    </row>
    <row r="434" spans="16:16" ht="16.5">
      <c r="P434" s="98"/>
    </row>
    <row r="435" spans="16:16" ht="16.5">
      <c r="P435" s="98"/>
    </row>
    <row r="436" spans="16:16" ht="16.5">
      <c r="P436" s="98"/>
    </row>
    <row r="437" spans="16:16" ht="16.5">
      <c r="P437" s="98"/>
    </row>
    <row r="438" spans="16:16" ht="16.5">
      <c r="P438" s="98"/>
    </row>
    <row r="439" spans="16:16" ht="16.5">
      <c r="P439" s="98"/>
    </row>
    <row r="440" spans="16:16" ht="16.5">
      <c r="P440" s="98"/>
    </row>
    <row r="441" spans="16:16" ht="16.5">
      <c r="P441" s="98"/>
    </row>
    <row r="442" spans="16:16" ht="16.5">
      <c r="P442" s="98"/>
    </row>
    <row r="443" spans="16:16" ht="16.5">
      <c r="P443" s="98"/>
    </row>
    <row r="444" spans="16:16" ht="16.5">
      <c r="P444" s="98"/>
    </row>
    <row r="445" spans="16:16" ht="16.5">
      <c r="P445" s="98"/>
    </row>
    <row r="446" spans="16:16" ht="16.5">
      <c r="P446" s="98"/>
    </row>
    <row r="447" spans="16:16" ht="16.5">
      <c r="P447" s="98"/>
    </row>
    <row r="448" spans="16:16" ht="16.5">
      <c r="P448" s="98"/>
    </row>
    <row r="449" spans="16:16" ht="16.5">
      <c r="P449" s="98"/>
    </row>
    <row r="450" spans="16:16" ht="16.5">
      <c r="P450" s="98"/>
    </row>
    <row r="451" spans="16:16" ht="16.5">
      <c r="P451" s="98"/>
    </row>
    <row r="452" spans="16:16" ht="16.5">
      <c r="P452" s="98"/>
    </row>
    <row r="453" spans="16:16" ht="16.5">
      <c r="P453" s="98"/>
    </row>
    <row r="454" spans="16:16" ht="16.5">
      <c r="P454" s="98"/>
    </row>
    <row r="455" spans="16:16" ht="16.5">
      <c r="P455" s="98"/>
    </row>
    <row r="456" spans="16:16" ht="16.5">
      <c r="P456" s="98"/>
    </row>
    <row r="457" spans="16:16" ht="16.5">
      <c r="P457" s="98"/>
    </row>
    <row r="458" spans="16:16" ht="16.5">
      <c r="P458" s="98"/>
    </row>
    <row r="459" spans="16:16" ht="16.5">
      <c r="P459" s="98"/>
    </row>
    <row r="460" spans="16:16" ht="16.5">
      <c r="P460" s="98"/>
    </row>
    <row r="461" spans="16:16" ht="16.5">
      <c r="P461" s="209"/>
    </row>
    <row r="462" spans="16:16" ht="16.5">
      <c r="P462" s="209"/>
    </row>
    <row r="463" spans="16:16" ht="16.5">
      <c r="P463" s="209"/>
    </row>
    <row r="464" spans="16:16" ht="16.5">
      <c r="P464" s="209"/>
    </row>
    <row r="465" spans="16:16" ht="16.5">
      <c r="P465" s="209"/>
    </row>
    <row r="466" spans="16:16" ht="16.5">
      <c r="P466" s="209"/>
    </row>
    <row r="467" spans="16:16" ht="16.5">
      <c r="P467" s="209"/>
    </row>
    <row r="468" spans="16:16" ht="16.5">
      <c r="P468" s="209"/>
    </row>
    <row r="469" spans="16:16" ht="16.5">
      <c r="P469" s="209"/>
    </row>
    <row r="470" spans="16:16" ht="16.5">
      <c r="P470" s="209"/>
    </row>
    <row r="471" spans="16:16" ht="16.5">
      <c r="P471" s="209"/>
    </row>
    <row r="472" spans="16:16" ht="16.5">
      <c r="P472" s="209"/>
    </row>
    <row r="473" spans="16:16" ht="16.5">
      <c r="P473" s="209"/>
    </row>
    <row r="474" spans="16:16" ht="16.5">
      <c r="P474" s="209"/>
    </row>
    <row r="475" spans="16:16" ht="16.5">
      <c r="P475" s="209"/>
    </row>
    <row r="476" spans="16:16" ht="16.5">
      <c r="P476" s="209"/>
    </row>
    <row r="477" spans="16:16" ht="16.5">
      <c r="P477" s="209"/>
    </row>
    <row r="478" spans="16:16" ht="16.5">
      <c r="P478" s="209"/>
    </row>
    <row r="479" spans="16:16" ht="16.5">
      <c r="P479" s="209"/>
    </row>
    <row r="480" spans="16:16" ht="16.5">
      <c r="P480" s="209"/>
    </row>
    <row r="481" spans="16:16" ht="16.5">
      <c r="P481" s="209"/>
    </row>
    <row r="482" spans="16:16" ht="16.5">
      <c r="P482" s="209"/>
    </row>
    <row r="483" spans="16:16" ht="16.5">
      <c r="P483" s="209"/>
    </row>
    <row r="484" spans="16:16" ht="16.5">
      <c r="P484" s="209"/>
    </row>
    <row r="485" spans="16:16" ht="16.5">
      <c r="P485" s="209"/>
    </row>
    <row r="486" spans="16:16" ht="16.5">
      <c r="P486" s="209"/>
    </row>
    <row r="487" spans="16:16" ht="16.5">
      <c r="P487" s="209"/>
    </row>
    <row r="488" spans="16:16" ht="16.5">
      <c r="P488" s="209"/>
    </row>
    <row r="489" spans="16:16" ht="16.5">
      <c r="P489" s="209"/>
    </row>
    <row r="490" spans="16:16" ht="16.5">
      <c r="P490" s="209"/>
    </row>
    <row r="491" spans="16:16" ht="16.5">
      <c r="P491" s="209"/>
    </row>
    <row r="492" spans="16:16" ht="16.5">
      <c r="P492" s="209"/>
    </row>
    <row r="493" spans="16:16" ht="16.5">
      <c r="P493" s="209"/>
    </row>
    <row r="494" spans="16:16" ht="16.5">
      <c r="P494" s="209"/>
    </row>
    <row r="495" spans="16:16" ht="16.5">
      <c r="P495" s="209"/>
    </row>
    <row r="496" spans="16:16" ht="16.5">
      <c r="P496" s="209"/>
    </row>
    <row r="497" spans="16:16" ht="16.5">
      <c r="P497" s="209"/>
    </row>
    <row r="498" spans="16:16" ht="16.5">
      <c r="P498" s="209"/>
    </row>
    <row r="499" spans="16:16" ht="16.5">
      <c r="P499" s="209"/>
    </row>
    <row r="500" spans="16:16" ht="16.5">
      <c r="P500" s="209"/>
    </row>
    <row r="501" spans="16:16" ht="16.5">
      <c r="P501" s="209"/>
    </row>
    <row r="502" spans="16:16" ht="16.5">
      <c r="P502" s="209"/>
    </row>
    <row r="503" spans="16:16" ht="16.5">
      <c r="P503" s="209"/>
    </row>
    <row r="504" spans="16:16" ht="16.5">
      <c r="P504" s="209"/>
    </row>
    <row r="505" spans="16:16" ht="16.5">
      <c r="P505" s="209"/>
    </row>
    <row r="506" spans="16:16" ht="16.5">
      <c r="P506" s="209"/>
    </row>
    <row r="507" spans="16:16" ht="16.5">
      <c r="P507" s="209"/>
    </row>
    <row r="508" spans="16:16" ht="16.5">
      <c r="P508" s="209"/>
    </row>
    <row r="509" spans="16:16" ht="16.5">
      <c r="P509" s="209"/>
    </row>
    <row r="510" spans="16:16" ht="16.5">
      <c r="P510" s="209"/>
    </row>
    <row r="511" spans="16:16" ht="16.5">
      <c r="P511" s="209"/>
    </row>
    <row r="512" spans="16:16" ht="16.5">
      <c r="P512" s="209"/>
    </row>
    <row r="513" spans="16:16" ht="16.5">
      <c r="P513" s="209"/>
    </row>
    <row r="514" spans="16:16" ht="16.5">
      <c r="P514" s="209"/>
    </row>
    <row r="515" spans="16:16" ht="16.5">
      <c r="P515" s="209"/>
    </row>
    <row r="516" spans="16:16" ht="16.5">
      <c r="P516" s="209"/>
    </row>
    <row r="517" spans="16:16" ht="16.5">
      <c r="P517" s="209"/>
    </row>
    <row r="518" spans="16:16" ht="16.5">
      <c r="P518" s="209"/>
    </row>
    <row r="519" spans="16:16" ht="16.5">
      <c r="P519" s="209"/>
    </row>
    <row r="520" spans="16:16" ht="16.5">
      <c r="P520" s="209"/>
    </row>
    <row r="521" spans="16:16" ht="16.5">
      <c r="P521" s="209"/>
    </row>
    <row r="522" spans="16:16" ht="16.5">
      <c r="P522" s="209"/>
    </row>
    <row r="523" spans="16:16" ht="16.5">
      <c r="P523" s="209"/>
    </row>
    <row r="524" spans="16:16" ht="16.5">
      <c r="P524" s="209"/>
    </row>
    <row r="525" spans="16:16" ht="16.5">
      <c r="P525" s="209"/>
    </row>
    <row r="526" spans="16:16" ht="16.5">
      <c r="P526" s="209"/>
    </row>
    <row r="527" spans="16:16" ht="16.5">
      <c r="P527" s="209"/>
    </row>
    <row r="528" spans="16:16" ht="16.5">
      <c r="P528" s="209"/>
    </row>
    <row r="529" spans="16:16" ht="16.5">
      <c r="P529" s="209"/>
    </row>
    <row r="530" spans="16:16" ht="16.5">
      <c r="P530" s="209"/>
    </row>
    <row r="531" spans="16:16" ht="16.5">
      <c r="P531" s="209"/>
    </row>
    <row r="532" spans="16:16" ht="16.5">
      <c r="P532" s="209"/>
    </row>
    <row r="533" spans="16:16" ht="16.5">
      <c r="P533" s="209"/>
    </row>
    <row r="534" spans="16:16" ht="16.5">
      <c r="P534" s="209"/>
    </row>
    <row r="535" spans="16:16" ht="16.5">
      <c r="P535" s="209"/>
    </row>
    <row r="536" spans="16:16" ht="16.5">
      <c r="P536" s="209"/>
    </row>
    <row r="537" spans="16:16" ht="16.5">
      <c r="P537" s="209"/>
    </row>
    <row r="538" spans="16:16" ht="16.5">
      <c r="P538" s="209"/>
    </row>
    <row r="539" spans="16:16" ht="16.5">
      <c r="P539" s="209"/>
    </row>
    <row r="540" spans="16:16" ht="16.5">
      <c r="P540" s="209"/>
    </row>
    <row r="541" spans="16:16" ht="16.5">
      <c r="P541" s="209"/>
    </row>
    <row r="542" spans="16:16" ht="16.5">
      <c r="P542" s="209"/>
    </row>
    <row r="543" spans="16:16" ht="16.5">
      <c r="P543" s="209"/>
    </row>
    <row r="544" spans="16:16" ht="16.5">
      <c r="P544" s="209"/>
    </row>
    <row r="545" spans="16:16" ht="16.5">
      <c r="P545" s="209"/>
    </row>
    <row r="546" spans="16:16" ht="16.5">
      <c r="P546" s="209"/>
    </row>
    <row r="547" spans="16:16" ht="16.5">
      <c r="P547" s="209"/>
    </row>
    <row r="548" spans="16:16" ht="16.5">
      <c r="P548" s="209"/>
    </row>
    <row r="549" spans="16:16" ht="16.5">
      <c r="P549" s="209"/>
    </row>
    <row r="550" spans="16:16" ht="16.5">
      <c r="P550" s="209"/>
    </row>
    <row r="551" spans="16:16" ht="16.5">
      <c r="P551" s="209"/>
    </row>
    <row r="552" spans="16:16" ht="16.5">
      <c r="P552" s="209"/>
    </row>
    <row r="553" spans="16:16" ht="16.5">
      <c r="P553" s="209"/>
    </row>
    <row r="554" spans="16:16" ht="16.5">
      <c r="P554" s="209"/>
    </row>
    <row r="555" spans="16:16" ht="16.5">
      <c r="P555" s="209"/>
    </row>
    <row r="556" spans="16:16" ht="16.5">
      <c r="P556" s="209"/>
    </row>
    <row r="557" spans="16:16" ht="16.5">
      <c r="P557" s="209"/>
    </row>
    <row r="558" spans="16:16" ht="16.5">
      <c r="P558" s="209"/>
    </row>
    <row r="559" spans="16:16" ht="16.5">
      <c r="P559" s="209"/>
    </row>
    <row r="560" spans="16:16" ht="16.5">
      <c r="P560" s="209"/>
    </row>
    <row r="561" spans="16:16" ht="16.5">
      <c r="P561" s="209"/>
    </row>
    <row r="562" spans="16:16" ht="16.5">
      <c r="P562" s="209"/>
    </row>
    <row r="563" spans="16:16" ht="16.5">
      <c r="P563" s="209"/>
    </row>
    <row r="564" spans="16:16" ht="16.5">
      <c r="P564" s="209"/>
    </row>
    <row r="565" spans="16:16" ht="16.5">
      <c r="P565" s="209"/>
    </row>
    <row r="566" spans="16:16" ht="16.5">
      <c r="P566" s="209"/>
    </row>
    <row r="567" spans="16:16" ht="16.5">
      <c r="P567" s="209"/>
    </row>
    <row r="568" spans="16:16" ht="16.5">
      <c r="P568" s="209"/>
    </row>
    <row r="569" spans="16:16" ht="16.5">
      <c r="P569" s="209"/>
    </row>
    <row r="570" spans="16:16" ht="16.5">
      <c r="P570" s="209"/>
    </row>
    <row r="571" spans="16:16" ht="16.5">
      <c r="P571" s="209"/>
    </row>
    <row r="572" spans="16:16" ht="16.5">
      <c r="P572" s="209"/>
    </row>
    <row r="573" spans="16:16" ht="16.5">
      <c r="P573" s="209"/>
    </row>
    <row r="574" spans="16:16" ht="16.5">
      <c r="P574" s="209"/>
    </row>
    <row r="575" spans="16:16" ht="16.5">
      <c r="P575" s="209"/>
    </row>
    <row r="576" spans="16:16" ht="16.5">
      <c r="P576" s="209"/>
    </row>
    <row r="577" spans="16:16" ht="16.5">
      <c r="P577" s="209"/>
    </row>
    <row r="578" spans="16:16" ht="16.5">
      <c r="P578" s="209"/>
    </row>
    <row r="579" spans="16:16" ht="16.5">
      <c r="P579" s="209"/>
    </row>
    <row r="580" spans="16:16" ht="16.5">
      <c r="P580" s="209"/>
    </row>
    <row r="581" spans="16:16" ht="16.5">
      <c r="P581" s="209"/>
    </row>
    <row r="582" spans="16:16" ht="16.5">
      <c r="P582" s="209"/>
    </row>
    <row r="583" spans="16:16" ht="16.5">
      <c r="P583" s="209"/>
    </row>
    <row r="584" spans="16:16" ht="16.5">
      <c r="P584" s="209"/>
    </row>
    <row r="585" spans="16:16" ht="16.5">
      <c r="P585" s="209"/>
    </row>
    <row r="586" spans="16:16" ht="16.5">
      <c r="P586" s="209"/>
    </row>
    <row r="587" spans="16:16" ht="16.5">
      <c r="P587" s="209"/>
    </row>
    <row r="588" spans="16:16" ht="16.5">
      <c r="P588" s="209"/>
    </row>
    <row r="589" spans="16:16" ht="16.5">
      <c r="P589" s="209"/>
    </row>
    <row r="590" spans="16:16" ht="16.5">
      <c r="P590" s="209"/>
    </row>
    <row r="591" spans="16:16" ht="16.5">
      <c r="P591" s="209"/>
    </row>
    <row r="592" spans="16:16" ht="16.5">
      <c r="P592" s="209"/>
    </row>
    <row r="593" spans="16:16" ht="16.5">
      <c r="P593" s="209"/>
    </row>
    <row r="594" spans="16:16" ht="16.5">
      <c r="P594" s="209"/>
    </row>
    <row r="595" spans="16:16" ht="16.5">
      <c r="P595" s="209"/>
    </row>
    <row r="596" spans="16:16" ht="16.5">
      <c r="P596" s="209"/>
    </row>
    <row r="597" spans="16:16" ht="16.5">
      <c r="P597" s="209"/>
    </row>
    <row r="598" spans="16:16" ht="16.5">
      <c r="P598" s="209"/>
    </row>
    <row r="599" spans="16:16" ht="16.5">
      <c r="P599" s="209"/>
    </row>
    <row r="600" spans="16:16" ht="16.5">
      <c r="P600" s="209"/>
    </row>
    <row r="601" spans="16:16" ht="16.5">
      <c r="P601" s="209"/>
    </row>
    <row r="602" spans="16:16" ht="16.5">
      <c r="P602" s="209"/>
    </row>
    <row r="603" spans="16:16" ht="16.5">
      <c r="P603" s="209"/>
    </row>
    <row r="604" spans="16:16" ht="16.5">
      <c r="P604" s="209"/>
    </row>
    <row r="605" spans="16:16" ht="16.5">
      <c r="P605" s="209"/>
    </row>
    <row r="606" spans="16:16" ht="16.5">
      <c r="P606" s="209"/>
    </row>
    <row r="607" spans="16:16" ht="16.5">
      <c r="P607" s="209"/>
    </row>
    <row r="608" spans="16:16" ht="16.5">
      <c r="P608" s="209"/>
    </row>
    <row r="609" spans="16:16" ht="16.5">
      <c r="P609" s="209"/>
    </row>
    <row r="610" spans="16:16" ht="16.5">
      <c r="P610" s="209"/>
    </row>
    <row r="611" spans="16:16" ht="16.5">
      <c r="P611" s="209"/>
    </row>
    <row r="612" spans="16:16" ht="16.5">
      <c r="P612" s="209"/>
    </row>
    <row r="613" spans="16:16" ht="16.5">
      <c r="P613" s="209"/>
    </row>
    <row r="614" spans="16:16" ht="16.5">
      <c r="P614" s="209"/>
    </row>
    <row r="615" spans="16:16" ht="16.5">
      <c r="P615" s="209"/>
    </row>
    <row r="616" spans="16:16" ht="16.5">
      <c r="P616" s="209"/>
    </row>
    <row r="617" spans="16:16" ht="16.5">
      <c r="P617" s="209"/>
    </row>
    <row r="618" spans="16:16" ht="16.5">
      <c r="P618" s="209"/>
    </row>
    <row r="619" spans="16:16" ht="16.5">
      <c r="P619" s="209"/>
    </row>
    <row r="620" spans="16:16" ht="16.5">
      <c r="P620" s="209"/>
    </row>
    <row r="621" spans="16:16" ht="16.5">
      <c r="P621" s="209"/>
    </row>
    <row r="622" spans="16:16" ht="16.5">
      <c r="P622" s="209"/>
    </row>
    <row r="623" spans="16:16" ht="16.5">
      <c r="P623" s="209"/>
    </row>
    <row r="624" spans="16:16" ht="16.5">
      <c r="P624" s="209"/>
    </row>
    <row r="625" spans="16:16" ht="16.5">
      <c r="P625" s="209"/>
    </row>
    <row r="626" spans="16:16" ht="16.5">
      <c r="P626" s="209"/>
    </row>
    <row r="627" spans="16:16" ht="16.5">
      <c r="P627" s="209"/>
    </row>
    <row r="628" spans="16:16" ht="16.5">
      <c r="P628" s="209"/>
    </row>
    <row r="629" spans="16:16" ht="16.5">
      <c r="P629" s="209"/>
    </row>
    <row r="630" spans="16:16" ht="16.5">
      <c r="P630" s="209"/>
    </row>
    <row r="631" spans="16:16" ht="16.5">
      <c r="P631" s="209"/>
    </row>
    <row r="632" spans="16:16" ht="16.5">
      <c r="P632" s="209"/>
    </row>
    <row r="633" spans="16:16" ht="16.5">
      <c r="P633" s="209"/>
    </row>
    <row r="634" spans="16:16" ht="16.5">
      <c r="P634" s="209"/>
    </row>
    <row r="635" spans="16:16" ht="16.5">
      <c r="P635" s="209"/>
    </row>
    <row r="636" spans="16:16" ht="16.5">
      <c r="P636" s="209"/>
    </row>
    <row r="637" spans="16:16" ht="16.5">
      <c r="P637" s="209"/>
    </row>
    <row r="638" spans="16:16" ht="16.5">
      <c r="P638" s="209"/>
    </row>
    <row r="639" spans="16:16" ht="16.5">
      <c r="P639" s="209"/>
    </row>
    <row r="640" spans="16:16" ht="16.5">
      <c r="P640" s="209"/>
    </row>
    <row r="641" spans="16:16" ht="16.5">
      <c r="P641" s="209"/>
    </row>
    <row r="642" spans="16:16" ht="16.5">
      <c r="P642" s="209"/>
    </row>
    <row r="643" spans="16:16" ht="16.5">
      <c r="P643" s="209"/>
    </row>
    <row r="644" spans="16:16" ht="16.5">
      <c r="P644" s="209"/>
    </row>
    <row r="645" spans="16:16" ht="16.5">
      <c r="P645" s="209"/>
    </row>
    <row r="646" spans="16:16" ht="16.5">
      <c r="P646" s="209"/>
    </row>
    <row r="647" spans="16:16" ht="16.5">
      <c r="P647" s="209"/>
    </row>
    <row r="648" spans="16:16" ht="16.5">
      <c r="P648" s="209"/>
    </row>
    <row r="649" spans="16:16" ht="16.5">
      <c r="P649" s="209"/>
    </row>
    <row r="650" spans="16:16" ht="16.5">
      <c r="P650" s="209"/>
    </row>
    <row r="651" spans="16:16" ht="16.5">
      <c r="P651" s="209"/>
    </row>
    <row r="652" spans="16:16" ht="16.5">
      <c r="P652" s="209"/>
    </row>
    <row r="653" spans="16:16" ht="16.5">
      <c r="P653" s="209"/>
    </row>
    <row r="654" spans="16:16" ht="16.5">
      <c r="P654" s="209"/>
    </row>
    <row r="655" spans="16:16" ht="16.5">
      <c r="P655" s="209"/>
    </row>
    <row r="656" spans="16:16" ht="16.5">
      <c r="P656" s="209"/>
    </row>
    <row r="657" spans="16:16" ht="16.5">
      <c r="P657" s="209"/>
    </row>
    <row r="658" spans="16:16" ht="16.5">
      <c r="P658" s="209"/>
    </row>
    <row r="659" spans="16:16" ht="16.5">
      <c r="P659" s="209"/>
    </row>
    <row r="660" spans="16:16" ht="16.5">
      <c r="P660" s="209"/>
    </row>
    <row r="661" spans="16:16" ht="16.5">
      <c r="P661" s="209"/>
    </row>
    <row r="662" spans="16:16" ht="16.5">
      <c r="P662" s="209"/>
    </row>
    <row r="663" spans="16:16" ht="16.5">
      <c r="P663" s="209"/>
    </row>
    <row r="664" spans="16:16" ht="16.5">
      <c r="P664" s="209"/>
    </row>
    <row r="665" spans="16:16" ht="16.5">
      <c r="P665" s="209"/>
    </row>
    <row r="666" spans="16:16" ht="16.5">
      <c r="P666" s="209"/>
    </row>
    <row r="667" spans="16:16" ht="16.5">
      <c r="P667" s="209"/>
    </row>
    <row r="668" spans="16:16" ht="16.5">
      <c r="P668" s="209"/>
    </row>
    <row r="669" spans="16:16" ht="16.5">
      <c r="P669" s="209"/>
    </row>
    <row r="670" spans="16:16" ht="16.5">
      <c r="P670" s="209"/>
    </row>
    <row r="671" spans="16:16" ht="16.5">
      <c r="P671" s="209"/>
    </row>
    <row r="672" spans="16:16" ht="16.5">
      <c r="P672" s="209"/>
    </row>
    <row r="673" spans="16:16" ht="16.5">
      <c r="P673" s="209"/>
    </row>
    <row r="674" spans="16:16" ht="16.5">
      <c r="P674" s="209"/>
    </row>
    <row r="675" spans="16:16" ht="16.5">
      <c r="P675" s="209"/>
    </row>
    <row r="676" spans="16:16" ht="16.5">
      <c r="P676" s="209"/>
    </row>
    <row r="677" spans="16:16" ht="16.5">
      <c r="P677" s="209"/>
    </row>
    <row r="678" spans="16:16" ht="16.5">
      <c r="P678" s="209"/>
    </row>
    <row r="679" spans="16:16" ht="16.5">
      <c r="P679" s="209"/>
    </row>
    <row r="680" spans="16:16" ht="16.5">
      <c r="P680" s="209"/>
    </row>
    <row r="681" spans="16:16" ht="16.5">
      <c r="P681" s="209"/>
    </row>
    <row r="682" spans="16:16" ht="16.5">
      <c r="P682" s="209"/>
    </row>
    <row r="683" spans="16:16" ht="16.5">
      <c r="P683" s="209"/>
    </row>
    <row r="684" spans="16:16" ht="16.5">
      <c r="P684" s="209"/>
    </row>
    <row r="685" spans="16:16" ht="16.5">
      <c r="P685" s="209"/>
    </row>
    <row r="686" spans="16:16" ht="16.5">
      <c r="P686" s="209"/>
    </row>
    <row r="687" spans="16:16" ht="16.5">
      <c r="P687" s="209"/>
    </row>
    <row r="688" spans="16:16" ht="16.5">
      <c r="P688" s="209"/>
    </row>
    <row r="689" spans="16:16" ht="16.5">
      <c r="P689" s="209"/>
    </row>
    <row r="690" spans="16:16" ht="16.5">
      <c r="P690" s="209"/>
    </row>
    <row r="691" spans="16:16" ht="16.5">
      <c r="P691" s="209"/>
    </row>
    <row r="692" spans="16:16" ht="16.5">
      <c r="P692" s="209"/>
    </row>
    <row r="693" spans="16:16" ht="16.5">
      <c r="P693" s="209"/>
    </row>
    <row r="694" spans="16:16" ht="16.5">
      <c r="P694" s="209"/>
    </row>
    <row r="695" spans="16:16" ht="16.5">
      <c r="P695" s="209"/>
    </row>
    <row r="696" spans="16:16" ht="16.5">
      <c r="P696" s="209"/>
    </row>
    <row r="697" spans="16:16" ht="16.5">
      <c r="P697" s="209"/>
    </row>
    <row r="698" spans="16:16" ht="16.5">
      <c r="P698" s="209"/>
    </row>
    <row r="699" spans="16:16" ht="16.5">
      <c r="P699" s="209"/>
    </row>
    <row r="700" spans="16:16" ht="16.5">
      <c r="P700" s="209"/>
    </row>
    <row r="701" spans="16:16" ht="16.5">
      <c r="P701" s="209"/>
    </row>
    <row r="702" spans="16:16" ht="16.5">
      <c r="P702" s="209"/>
    </row>
    <row r="703" spans="16:16" ht="16.5">
      <c r="P703" s="209"/>
    </row>
    <row r="704" spans="16:16" ht="16.5">
      <c r="P704" s="209"/>
    </row>
    <row r="705" spans="16:16" ht="16.5">
      <c r="P705" s="209"/>
    </row>
    <row r="706" spans="16:16" ht="16.5">
      <c r="P706" s="209"/>
    </row>
    <row r="707" spans="16:16" ht="16.5">
      <c r="P707" s="209"/>
    </row>
    <row r="708" spans="16:16" ht="16.5">
      <c r="P708" s="209"/>
    </row>
    <row r="709" spans="16:16" ht="16.5">
      <c r="P709" s="209"/>
    </row>
    <row r="710" spans="16:16" ht="16.5">
      <c r="P710" s="209"/>
    </row>
    <row r="711" spans="16:16" ht="16.5">
      <c r="P711" s="209"/>
    </row>
    <row r="712" spans="16:16" ht="16.5">
      <c r="P712" s="209"/>
    </row>
    <row r="713" spans="16:16" ht="16.5">
      <c r="P713" s="209"/>
    </row>
    <row r="714" spans="16:16" ht="16.5">
      <c r="P714" s="209"/>
    </row>
    <row r="715" spans="16:16" ht="16.5">
      <c r="P715" s="209"/>
    </row>
    <row r="716" spans="16:16" ht="16.5">
      <c r="P716" s="209"/>
    </row>
    <row r="717" spans="16:16" ht="16.5">
      <c r="P717" s="209"/>
    </row>
    <row r="718" spans="16:16" ht="16.5">
      <c r="P718" s="209"/>
    </row>
    <row r="719" spans="16:16" ht="16.5">
      <c r="P719" s="209"/>
    </row>
    <row r="720" spans="16:16" ht="16.5">
      <c r="P720" s="209"/>
    </row>
    <row r="721" spans="16:16" ht="16.5">
      <c r="P721" s="209"/>
    </row>
    <row r="722" spans="16:16" ht="16.5">
      <c r="P722" s="209"/>
    </row>
    <row r="723" spans="16:16" ht="16.5">
      <c r="P723" s="209"/>
    </row>
    <row r="724" spans="16:16" ht="16.5">
      <c r="P724" s="209"/>
    </row>
    <row r="725" spans="16:16" ht="16.5">
      <c r="P725" s="209"/>
    </row>
    <row r="726" spans="16:16" ht="16.5">
      <c r="P726" s="209"/>
    </row>
    <row r="727" spans="16:16" ht="16.5">
      <c r="P727" s="209"/>
    </row>
    <row r="728" spans="16:16" ht="16.5">
      <c r="P728" s="209"/>
    </row>
    <row r="729" spans="16:16" ht="16.5">
      <c r="P729" s="209"/>
    </row>
    <row r="730" spans="16:16" ht="16.5">
      <c r="P730" s="209"/>
    </row>
    <row r="731" spans="16:16" ht="16.5">
      <c r="P731" s="209"/>
    </row>
    <row r="732" spans="16:16" ht="16.5">
      <c r="P732" s="209"/>
    </row>
    <row r="733" spans="16:16" ht="16.5">
      <c r="P733" s="209"/>
    </row>
    <row r="734" spans="16:16" ht="16.5">
      <c r="P734" s="209"/>
    </row>
    <row r="735" spans="16:16" ht="16.5">
      <c r="P735" s="209"/>
    </row>
    <row r="736" spans="16:16" ht="16.5">
      <c r="P736" s="209"/>
    </row>
    <row r="737" spans="16:16" ht="16.5">
      <c r="P737" s="209"/>
    </row>
    <row r="738" spans="16:16" ht="16.5">
      <c r="P738" s="209"/>
    </row>
    <row r="739" spans="16:16" ht="16.5">
      <c r="P739" s="209"/>
    </row>
    <row r="740" spans="16:16" ht="16.5">
      <c r="P740" s="209"/>
    </row>
    <row r="741" spans="16:16" ht="16.5">
      <c r="P741" s="209"/>
    </row>
    <row r="742" spans="16:16" ht="16.5">
      <c r="P742" s="209"/>
    </row>
    <row r="743" spans="16:16" ht="16.5">
      <c r="P743" s="209"/>
    </row>
    <row r="744" spans="16:16" ht="16.5">
      <c r="P744" s="209"/>
    </row>
    <row r="745" spans="16:16" ht="16.5">
      <c r="P745" s="209"/>
    </row>
    <row r="746" spans="16:16" ht="16.5">
      <c r="P746" s="209"/>
    </row>
    <row r="747" spans="16:16" ht="16.5">
      <c r="P747" s="209"/>
    </row>
    <row r="748" spans="16:16" ht="16.5">
      <c r="P748" s="209"/>
    </row>
    <row r="749" spans="16:16" ht="16.5">
      <c r="P749" s="209"/>
    </row>
    <row r="750" spans="16:16" ht="16.5">
      <c r="P750" s="209"/>
    </row>
    <row r="751" spans="16:16" ht="16.5">
      <c r="P751" s="209"/>
    </row>
    <row r="752" spans="16:16" ht="16.5">
      <c r="P752" s="209"/>
    </row>
    <row r="753" spans="16:16" ht="16.5">
      <c r="P753" s="209"/>
    </row>
    <row r="754" spans="16:16" ht="16.5">
      <c r="P754" s="209"/>
    </row>
    <row r="755" spans="16:16" ht="16.5">
      <c r="P755" s="209"/>
    </row>
    <row r="756" spans="16:16" ht="16.5">
      <c r="P756" s="209"/>
    </row>
    <row r="757" spans="16:16" ht="16.5">
      <c r="P757" s="209"/>
    </row>
    <row r="758" spans="16:16" ht="16.5">
      <c r="P758" s="209"/>
    </row>
    <row r="759" spans="16:16" ht="16.5">
      <c r="P759" s="209"/>
    </row>
    <row r="760" spans="16:16" ht="16.5">
      <c r="P760" s="209"/>
    </row>
    <row r="761" spans="16:16" ht="16.5">
      <c r="P761" s="209"/>
    </row>
    <row r="762" spans="16:16" ht="16.5">
      <c r="P762" s="209"/>
    </row>
    <row r="763" spans="16:16" ht="16.5">
      <c r="P763" s="209"/>
    </row>
    <row r="764" spans="16:16" ht="16.5">
      <c r="P764" s="209"/>
    </row>
    <row r="765" spans="16:16" ht="16.5">
      <c r="P765" s="209"/>
    </row>
    <row r="766" spans="16:16" ht="16.5">
      <c r="P766" s="209"/>
    </row>
    <row r="767" spans="16:16" ht="16.5">
      <c r="P767" s="209"/>
    </row>
    <row r="768" spans="16:16" ht="16.5">
      <c r="P768" s="209"/>
    </row>
    <row r="769" spans="16:16" ht="16.5">
      <c r="P769" s="209"/>
    </row>
    <row r="770" spans="16:16" ht="16.5">
      <c r="P770" s="209"/>
    </row>
    <row r="771" spans="16:16" ht="16.5">
      <c r="P771" s="209"/>
    </row>
    <row r="772" spans="16:16" ht="16.5">
      <c r="P772" s="209"/>
    </row>
    <row r="773" spans="16:16" ht="16.5">
      <c r="P773" s="209"/>
    </row>
    <row r="774" spans="16:16" ht="16.5">
      <c r="P774" s="209"/>
    </row>
    <row r="775" spans="16:16" ht="16.5">
      <c r="P775" s="209"/>
    </row>
    <row r="776" spans="16:16" ht="16.5">
      <c r="P776" s="209"/>
    </row>
    <row r="777" spans="16:16" ht="16.5">
      <c r="P777" s="209"/>
    </row>
    <row r="778" spans="16:16" ht="16.5">
      <c r="P778" s="209"/>
    </row>
    <row r="779" spans="16:16" ht="16.5">
      <c r="P779" s="209"/>
    </row>
    <row r="780" spans="16:16" ht="16.5">
      <c r="P780" s="209"/>
    </row>
    <row r="781" spans="16:16" ht="16.5">
      <c r="P781" s="209"/>
    </row>
    <row r="782" spans="16:16" ht="16.5">
      <c r="P782" s="209"/>
    </row>
    <row r="783" spans="16:16" ht="16.5">
      <c r="P783" s="209"/>
    </row>
    <row r="784" spans="16:16" ht="16.5">
      <c r="P784" s="209"/>
    </row>
    <row r="785" spans="16:16" ht="16.5">
      <c r="P785" s="209"/>
    </row>
    <row r="786" spans="16:16" ht="16.5">
      <c r="P786" s="209"/>
    </row>
    <row r="787" spans="16:16" ht="16.5">
      <c r="P787" s="209"/>
    </row>
    <row r="788" spans="16:16" ht="16.5">
      <c r="P788" s="209"/>
    </row>
    <row r="789" spans="16:16" ht="16.5">
      <c r="P789" s="209"/>
    </row>
    <row r="790" spans="16:16" ht="16.5">
      <c r="P790" s="209"/>
    </row>
    <row r="791" spans="16:16" ht="16.5">
      <c r="P791" s="209"/>
    </row>
    <row r="792" spans="16:16" ht="16.5">
      <c r="P792" s="209"/>
    </row>
    <row r="793" spans="16:16" ht="16.5">
      <c r="P793" s="209"/>
    </row>
    <row r="794" spans="16:16" ht="16.5">
      <c r="P794" s="209"/>
    </row>
    <row r="795" spans="16:16" ht="16.5">
      <c r="P795" s="209"/>
    </row>
    <row r="796" spans="16:16" ht="16.5">
      <c r="P796" s="209"/>
    </row>
    <row r="797" spans="16:16" ht="16.5">
      <c r="P797" s="209"/>
    </row>
    <row r="798" spans="16:16" ht="16.5">
      <c r="P798" s="209"/>
    </row>
    <row r="799" spans="16:16" ht="16.5">
      <c r="P799" s="209"/>
    </row>
    <row r="800" spans="16:16" ht="16.5">
      <c r="P800" s="209"/>
    </row>
    <row r="801" spans="16:16" ht="16.5">
      <c r="P801" s="209"/>
    </row>
    <row r="802" spans="16:16" ht="16.5">
      <c r="P802" s="209"/>
    </row>
    <row r="803" spans="16:16" ht="16.5">
      <c r="P803" s="209"/>
    </row>
    <row r="804" spans="16:16" ht="16.5">
      <c r="P804" s="209"/>
    </row>
    <row r="805" spans="16:16" ht="16.5">
      <c r="P805" s="209"/>
    </row>
    <row r="806" spans="16:16" ht="16.5">
      <c r="P806" s="209"/>
    </row>
    <row r="807" spans="16:16" ht="16.5">
      <c r="P807" s="209"/>
    </row>
    <row r="808" spans="16:16" ht="16.5">
      <c r="P808" s="209"/>
    </row>
    <row r="809" spans="16:16" ht="16.5">
      <c r="P809" s="209"/>
    </row>
    <row r="810" spans="16:16" ht="16.5">
      <c r="P810" s="209"/>
    </row>
    <row r="811" spans="16:16" ht="16.5">
      <c r="P811" s="209"/>
    </row>
    <row r="812" spans="16:16" ht="16.5">
      <c r="P812" s="209"/>
    </row>
    <row r="813" spans="16:16" ht="16.5">
      <c r="P813" s="209"/>
    </row>
    <row r="814" spans="16:16" ht="16.5">
      <c r="P814" s="209"/>
    </row>
    <row r="815" spans="16:16" ht="16.5">
      <c r="P815" s="209"/>
    </row>
    <row r="816" spans="16:16" ht="16.5">
      <c r="P816" s="209"/>
    </row>
    <row r="817" spans="16:16" ht="16.5">
      <c r="P817" s="209"/>
    </row>
    <row r="818" spans="16:16" ht="16.5">
      <c r="P818" s="209"/>
    </row>
    <row r="819" spans="16:16" ht="16.5">
      <c r="P819" s="209"/>
    </row>
    <row r="820" spans="16:16" ht="16.5">
      <c r="P820" s="209"/>
    </row>
    <row r="821" spans="16:16" ht="16.5">
      <c r="P821" s="209"/>
    </row>
    <row r="822" spans="16:16" ht="16.5">
      <c r="P822" s="209"/>
    </row>
    <row r="823" spans="16:16" ht="16.5">
      <c r="P823" s="209"/>
    </row>
    <row r="824" spans="16:16" ht="16.5">
      <c r="P824" s="209"/>
    </row>
    <row r="825" spans="16:16" ht="16.5">
      <c r="P825" s="209"/>
    </row>
    <row r="826" spans="16:16" ht="16.5">
      <c r="P826" s="209"/>
    </row>
    <row r="827" spans="16:16" ht="16.5">
      <c r="P827" s="209"/>
    </row>
    <row r="828" spans="16:16" ht="16.5">
      <c r="P828" s="209"/>
    </row>
    <row r="829" spans="16:16" ht="16.5">
      <c r="P829" s="209"/>
    </row>
    <row r="830" spans="16:16" ht="16.5">
      <c r="P830" s="209"/>
    </row>
    <row r="831" spans="16:16" ht="16.5">
      <c r="P831" s="209"/>
    </row>
    <row r="832" spans="16:16" ht="16.5">
      <c r="P832" s="209"/>
    </row>
    <row r="833" spans="16:16" ht="16.5">
      <c r="P833" s="209"/>
    </row>
    <row r="834" spans="16:16" ht="16.5">
      <c r="P834" s="209"/>
    </row>
    <row r="835" spans="16:16" ht="16.5">
      <c r="P835" s="209"/>
    </row>
    <row r="836" spans="16:16" ht="16.5">
      <c r="P836" s="209"/>
    </row>
    <row r="837" spans="16:16" ht="16.5">
      <c r="P837" s="209"/>
    </row>
    <row r="838" spans="16:16" ht="16.5">
      <c r="P838" s="209"/>
    </row>
    <row r="839" spans="16:16" ht="16.5">
      <c r="P839" s="209"/>
    </row>
    <row r="840" spans="16:16" ht="16.5">
      <c r="P840" s="209"/>
    </row>
    <row r="841" spans="16:16" ht="16.5">
      <c r="P841" s="209"/>
    </row>
    <row r="842" spans="16:16" ht="16.5">
      <c r="P842" s="209"/>
    </row>
    <row r="843" spans="16:16" ht="16.5">
      <c r="P843" s="209"/>
    </row>
    <row r="844" spans="16:16" ht="16.5">
      <c r="P844" s="209"/>
    </row>
    <row r="845" spans="16:16" ht="16.5">
      <c r="P845" s="209"/>
    </row>
    <row r="846" spans="16:16" ht="16.5">
      <c r="P846" s="209"/>
    </row>
    <row r="847" spans="16:16" ht="16.5">
      <c r="P847" s="209"/>
    </row>
    <row r="848" spans="16:16" ht="16.5">
      <c r="P848" s="209"/>
    </row>
    <row r="849" spans="16:16" ht="16.5">
      <c r="P849" s="209"/>
    </row>
    <row r="850" spans="16:16" ht="16.5">
      <c r="P850" s="209"/>
    </row>
    <row r="851" spans="16:16" ht="16.5">
      <c r="P851" s="209"/>
    </row>
    <row r="852" spans="16:16" ht="16.5">
      <c r="P852" s="209"/>
    </row>
    <row r="853" spans="16:16" ht="16.5">
      <c r="P853" s="209"/>
    </row>
    <row r="854" spans="16:16" ht="16.5">
      <c r="P854" s="209"/>
    </row>
    <row r="855" spans="16:16" ht="16.5">
      <c r="P855" s="209"/>
    </row>
    <row r="856" spans="16:16" ht="16.5">
      <c r="P856" s="209"/>
    </row>
    <row r="857" spans="16:16" ht="16.5">
      <c r="P857" s="209"/>
    </row>
    <row r="858" spans="16:16" ht="16.5">
      <c r="P858" s="209"/>
    </row>
    <row r="859" spans="16:16" ht="16.5">
      <c r="P859" s="209"/>
    </row>
    <row r="860" spans="16:16" ht="16.5">
      <c r="P860" s="209"/>
    </row>
    <row r="861" spans="16:16" ht="16.5">
      <c r="P861" s="209"/>
    </row>
    <row r="862" spans="16:16" ht="16.5">
      <c r="P862" s="209"/>
    </row>
    <row r="863" spans="16:16" ht="16.5">
      <c r="P863" s="209"/>
    </row>
    <row r="864" spans="16:16" ht="16.5">
      <c r="P864" s="209"/>
    </row>
    <row r="865" spans="16:16" ht="16.5">
      <c r="P865" s="209"/>
    </row>
    <row r="866" spans="16:16" ht="16.5">
      <c r="P866" s="209"/>
    </row>
    <row r="867" spans="16:16" ht="16.5">
      <c r="P867" s="209"/>
    </row>
    <row r="868" spans="16:16" ht="16.5">
      <c r="P868" s="209"/>
    </row>
    <row r="869" spans="16:16" ht="16.5">
      <c r="P869" s="209"/>
    </row>
    <row r="870" spans="16:16" ht="16.5">
      <c r="P870" s="209"/>
    </row>
    <row r="871" spans="16:16" ht="16.5">
      <c r="P871" s="209"/>
    </row>
    <row r="872" spans="16:16" ht="16.5">
      <c r="P872" s="209"/>
    </row>
    <row r="873" spans="16:16" ht="16.5">
      <c r="P873" s="209"/>
    </row>
    <row r="874" spans="16:16" ht="16.5">
      <c r="P874" s="209"/>
    </row>
    <row r="875" spans="16:16" ht="16.5">
      <c r="P875" s="209"/>
    </row>
    <row r="876" spans="16:16" ht="16.5">
      <c r="P876" s="209"/>
    </row>
    <row r="877" spans="16:16" ht="16.5">
      <c r="P877" s="209"/>
    </row>
    <row r="878" spans="16:16" ht="16.5">
      <c r="P878" s="209"/>
    </row>
    <row r="879" spans="16:16" ht="16.5">
      <c r="P879" s="209"/>
    </row>
    <row r="880" spans="16:16" ht="16.5">
      <c r="P880" s="209"/>
    </row>
    <row r="881" spans="16:16" ht="16.5">
      <c r="P881" s="209"/>
    </row>
    <row r="882" spans="16:16" ht="16.5">
      <c r="P882" s="209"/>
    </row>
    <row r="883" spans="16:16" ht="16.5">
      <c r="P883" s="209"/>
    </row>
    <row r="884" spans="16:16" ht="16.5">
      <c r="P884" s="209"/>
    </row>
    <row r="885" spans="16:16" ht="16.5">
      <c r="P885" s="209"/>
    </row>
    <row r="886" spans="16:16" ht="16.5">
      <c r="P886" s="209"/>
    </row>
    <row r="887" spans="16:16" ht="16.5">
      <c r="P887" s="209"/>
    </row>
    <row r="888" spans="16:16" ht="16.5">
      <c r="P888" s="209"/>
    </row>
    <row r="889" spans="16:16" ht="16.5">
      <c r="P889" s="209"/>
    </row>
    <row r="890" spans="16:16" ht="16.5">
      <c r="P890" s="209"/>
    </row>
    <row r="891" spans="16:16" ht="16.5">
      <c r="P891" s="209"/>
    </row>
    <row r="892" spans="16:16" ht="16.5">
      <c r="P892" s="209"/>
    </row>
    <row r="893" spans="16:16" ht="16.5">
      <c r="P893" s="209"/>
    </row>
    <row r="894" spans="16:16" ht="16.5">
      <c r="P894" s="209"/>
    </row>
    <row r="895" spans="16:16" ht="16.5">
      <c r="P895" s="209"/>
    </row>
    <row r="896" spans="16:16" ht="16.5">
      <c r="P896" s="209"/>
    </row>
    <row r="897" spans="16:16" ht="16.5">
      <c r="P897" s="209"/>
    </row>
    <row r="898" spans="16:16" ht="16.5">
      <c r="P898" s="209"/>
    </row>
    <row r="899" spans="16:16" ht="16.5">
      <c r="P899" s="209"/>
    </row>
    <row r="900" spans="16:16" ht="16.5">
      <c r="P900" s="209"/>
    </row>
    <row r="901" spans="16:16" ht="16.5">
      <c r="P901" s="209"/>
    </row>
    <row r="902" spans="16:16" ht="16.5">
      <c r="P902" s="209"/>
    </row>
    <row r="903" spans="16:16" ht="16.5">
      <c r="P903" s="209"/>
    </row>
    <row r="904" spans="16:16" ht="16.5">
      <c r="P904" s="209"/>
    </row>
    <row r="905" spans="16:16" ht="16.5">
      <c r="P905" s="209"/>
    </row>
    <row r="906" spans="16:16" ht="16.5">
      <c r="P906" s="209"/>
    </row>
    <row r="907" spans="16:16" ht="16.5">
      <c r="P907" s="209"/>
    </row>
    <row r="908" spans="16:16" ht="16.5">
      <c r="P908" s="209"/>
    </row>
    <row r="909" spans="16:16" ht="16.5">
      <c r="P909" s="209"/>
    </row>
    <row r="910" spans="16:16" ht="16.5">
      <c r="P910" s="209"/>
    </row>
    <row r="911" spans="16:16" ht="16.5">
      <c r="P911" s="209"/>
    </row>
    <row r="912" spans="16:16" ht="16.5">
      <c r="P912" s="209"/>
    </row>
    <row r="913" spans="16:16" ht="16.5">
      <c r="P913" s="209"/>
    </row>
    <row r="914" spans="16:16" ht="16.5">
      <c r="P914" s="209"/>
    </row>
    <row r="915" spans="16:16" ht="16.5">
      <c r="P915" s="209"/>
    </row>
    <row r="916" spans="16:16" ht="16.5">
      <c r="P916" s="209"/>
    </row>
    <row r="917" spans="16:16" ht="16.5">
      <c r="P917" s="209"/>
    </row>
    <row r="918" spans="16:16" ht="16.5">
      <c r="P918" s="209"/>
    </row>
    <row r="919" spans="16:16" ht="16.5">
      <c r="P919" s="209"/>
    </row>
    <row r="920" spans="16:16" ht="16.5">
      <c r="P920" s="209"/>
    </row>
    <row r="921" spans="16:16" ht="16.5">
      <c r="P921" s="209"/>
    </row>
    <row r="922" spans="16:16" ht="16.5">
      <c r="P922" s="209"/>
    </row>
    <row r="923" spans="16:16" ht="16.5">
      <c r="P923" s="209"/>
    </row>
    <row r="924" spans="16:16" ht="16.5">
      <c r="P924" s="209"/>
    </row>
    <row r="925" spans="16:16" ht="16.5">
      <c r="P925" s="209"/>
    </row>
    <row r="926" spans="16:16" ht="16.5">
      <c r="P926" s="209"/>
    </row>
    <row r="927" spans="16:16" ht="16.5">
      <c r="P927" s="209"/>
    </row>
    <row r="928" spans="16:16" ht="16.5">
      <c r="P928" s="209"/>
    </row>
    <row r="929" spans="16:16" ht="16.5">
      <c r="P929" s="209"/>
    </row>
    <row r="930" spans="16:16" ht="16.5">
      <c r="P930" s="209"/>
    </row>
    <row r="931" spans="16:16" ht="16.5">
      <c r="P931" s="209"/>
    </row>
    <row r="932" spans="16:16" ht="16.5">
      <c r="P932" s="209"/>
    </row>
    <row r="933" spans="16:16" ht="16.5">
      <c r="P933" s="209"/>
    </row>
    <row r="934" spans="16:16" ht="16.5">
      <c r="P934" s="209"/>
    </row>
    <row r="935" spans="16:16" ht="16.5">
      <c r="P935" s="209"/>
    </row>
    <row r="936" spans="16:16" ht="16.5">
      <c r="P936" s="209"/>
    </row>
    <row r="937" spans="16:16" ht="16.5">
      <c r="P937" s="209"/>
    </row>
    <row r="938" spans="16:16" ht="16.5">
      <c r="P938" s="209"/>
    </row>
    <row r="939" spans="16:16" ht="16.5">
      <c r="P939" s="209"/>
    </row>
    <row r="940" spans="16:16" ht="16.5">
      <c r="P940" s="209"/>
    </row>
    <row r="941" spans="16:16" ht="16.5">
      <c r="P941" s="209"/>
    </row>
    <row r="942" spans="16:16" ht="16.5">
      <c r="P942" s="209"/>
    </row>
    <row r="943" spans="16:16" ht="16.5">
      <c r="P943" s="209"/>
    </row>
    <row r="944" spans="16:16" ht="16.5">
      <c r="P944" s="209"/>
    </row>
    <row r="945" spans="16:16" ht="16.5">
      <c r="P945" s="209"/>
    </row>
    <row r="946" spans="16:16" ht="16.5">
      <c r="P946" s="209"/>
    </row>
    <row r="947" spans="16:16" ht="16.5">
      <c r="P947" s="209"/>
    </row>
    <row r="948" spans="16:16" ht="16.5">
      <c r="P948" s="209"/>
    </row>
    <row r="949" spans="16:16" ht="16.5">
      <c r="P949" s="209"/>
    </row>
    <row r="950" spans="16:16" ht="16.5">
      <c r="P950" s="209"/>
    </row>
    <row r="951" spans="16:16" ht="16.5">
      <c r="P951" s="209"/>
    </row>
    <row r="952" spans="16:16" ht="16.5">
      <c r="P952" s="209"/>
    </row>
    <row r="953" spans="16:16" ht="16.5">
      <c r="P953" s="209"/>
    </row>
    <row r="954" spans="16:16" ht="16.5">
      <c r="P954" s="209"/>
    </row>
    <row r="955" spans="16:16" ht="16.5">
      <c r="P955" s="209"/>
    </row>
    <row r="956" spans="16:16" ht="16.5">
      <c r="P956" s="209"/>
    </row>
    <row r="957" spans="16:16" ht="16.5">
      <c r="P957" s="209"/>
    </row>
    <row r="958" spans="16:16" ht="16.5">
      <c r="P958" s="209"/>
    </row>
    <row r="959" spans="16:16" ht="16.5">
      <c r="P959" s="209"/>
    </row>
    <row r="960" spans="16:16" ht="16.5">
      <c r="P960" s="209"/>
    </row>
    <row r="961" spans="16:16" ht="16.5">
      <c r="P961" s="209"/>
    </row>
    <row r="962" spans="16:16" ht="16.5">
      <c r="P962" s="209"/>
    </row>
    <row r="963" spans="16:16" ht="16.5">
      <c r="P963" s="209"/>
    </row>
    <row r="964" spans="16:16" ht="16.5">
      <c r="P964" s="209"/>
    </row>
    <row r="965" spans="16:16" ht="16.5">
      <c r="P965" s="209"/>
    </row>
    <row r="966" spans="16:16" ht="16.5">
      <c r="P966" s="209"/>
    </row>
    <row r="967" spans="16:16" ht="16.5">
      <c r="P967" s="209"/>
    </row>
    <row r="968" spans="16:16" ht="16.5">
      <c r="P968" s="209"/>
    </row>
    <row r="969" spans="16:16" ht="16.5">
      <c r="P969" s="209"/>
    </row>
    <row r="970" spans="16:16" ht="16.5">
      <c r="P970" s="209"/>
    </row>
    <row r="971" spans="16:16" ht="16.5">
      <c r="P971" s="209"/>
    </row>
    <row r="972" spans="16:16" ht="16.5">
      <c r="P972" s="209"/>
    </row>
    <row r="973" spans="16:16" ht="16.5">
      <c r="P973" s="209"/>
    </row>
    <row r="974" spans="16:16" ht="16.5">
      <c r="P974" s="209"/>
    </row>
    <row r="975" spans="16:16" ht="16.5">
      <c r="P975" s="209"/>
    </row>
    <row r="976" spans="16:16" ht="16.5">
      <c r="P976" s="209"/>
    </row>
    <row r="977" spans="16:16" ht="16.5">
      <c r="P977" s="209"/>
    </row>
    <row r="978" spans="16:16" ht="16.5">
      <c r="P978" s="209"/>
    </row>
    <row r="979" spans="16:16" ht="16.5">
      <c r="P979" s="209"/>
    </row>
    <row r="980" spans="16:16" ht="16.5">
      <c r="P980" s="209"/>
    </row>
    <row r="981" spans="16:16" ht="16.5">
      <c r="P981" s="209"/>
    </row>
    <row r="982" spans="16:16" ht="16.5">
      <c r="P982" s="209"/>
    </row>
    <row r="983" spans="16:16" ht="16.5">
      <c r="P983" s="209"/>
    </row>
    <row r="984" spans="16:16" ht="16.5">
      <c r="P984" s="209"/>
    </row>
    <row r="985" spans="16:16" ht="16.5">
      <c r="P985" s="209"/>
    </row>
    <row r="986" spans="16:16" ht="16.5">
      <c r="P986" s="209"/>
    </row>
    <row r="987" spans="16:16" ht="16.5">
      <c r="P987" s="209"/>
    </row>
    <row r="988" spans="16:16" ht="16.5">
      <c r="P988" s="209"/>
    </row>
    <row r="989" spans="16:16" ht="16.5">
      <c r="P989" s="209"/>
    </row>
    <row r="990" spans="16:16" ht="16.5">
      <c r="P990" s="209"/>
    </row>
    <row r="991" spans="16:16" ht="16.5">
      <c r="P991" s="209"/>
    </row>
    <row r="992" spans="16:16" ht="16.5">
      <c r="P992" s="209"/>
    </row>
    <row r="993" spans="16:16" ht="16.5">
      <c r="P993" s="209"/>
    </row>
    <row r="994" spans="16:16" ht="16.5">
      <c r="P994" s="209"/>
    </row>
    <row r="995" spans="16:16" ht="16.5">
      <c r="P995" s="209"/>
    </row>
    <row r="996" spans="16:16" ht="16.5">
      <c r="P996" s="209"/>
    </row>
    <row r="997" spans="16:16" ht="16.5">
      <c r="P997" s="209"/>
    </row>
    <row r="998" spans="16:16" ht="16.5">
      <c r="P998" s="209"/>
    </row>
    <row r="999" spans="16:16" ht="16.5">
      <c r="P999" s="209"/>
    </row>
    <row r="1000" spans="16:16" ht="16.5">
      <c r="P1000" s="209"/>
    </row>
    <row r="1001" spans="16:16" ht="16.5">
      <c r="P1001" s="209"/>
    </row>
    <row r="1002" spans="16:16" ht="16.5">
      <c r="P1002" s="209"/>
    </row>
    <row r="1003" spans="16:16" ht="16.5">
      <c r="P1003" s="209"/>
    </row>
    <row r="1004" spans="16:16" ht="16.5">
      <c r="P1004" s="209"/>
    </row>
    <row r="1005" spans="16:16" ht="16.5">
      <c r="P1005" s="209"/>
    </row>
    <row r="1006" spans="16:16" ht="16.5">
      <c r="P1006" s="209"/>
    </row>
    <row r="1007" spans="16:16" ht="16.5">
      <c r="P1007" s="209"/>
    </row>
    <row r="1008" spans="16:16" ht="16.5">
      <c r="P1008" s="209"/>
    </row>
    <row r="1009" spans="16:16" ht="16.5">
      <c r="P1009" s="209"/>
    </row>
    <row r="1010" spans="16:16" ht="16.5">
      <c r="P1010" s="209"/>
    </row>
    <row r="1011" spans="16:16" ht="16.5">
      <c r="P1011" s="209"/>
    </row>
    <row r="1012" spans="16:16" ht="16.5">
      <c r="P1012" s="209"/>
    </row>
    <row r="1013" spans="16:16" ht="16.5">
      <c r="P1013" s="209"/>
    </row>
    <row r="1014" spans="16:16" ht="16.5">
      <c r="P1014" s="209"/>
    </row>
    <row r="1015" spans="16:16" ht="16.5">
      <c r="P1015" s="209"/>
    </row>
    <row r="1016" spans="16:16" ht="16.5">
      <c r="P1016" s="209"/>
    </row>
    <row r="1017" spans="16:16" ht="16.5">
      <c r="P1017" s="209"/>
    </row>
    <row r="1018" spans="16:16" ht="16.5">
      <c r="P1018" s="209"/>
    </row>
    <row r="1019" spans="16:16" ht="16.5">
      <c r="P1019" s="209"/>
    </row>
    <row r="1020" spans="16:16" ht="16.5">
      <c r="P1020" s="209"/>
    </row>
    <row r="1021" spans="16:16" ht="16.5">
      <c r="P1021" s="209"/>
    </row>
    <row r="1022" spans="16:16" ht="16.5">
      <c r="P1022" s="209"/>
    </row>
    <row r="1023" spans="16:16" ht="16.5">
      <c r="P1023" s="209"/>
    </row>
    <row r="1024" spans="16:16" ht="16.5">
      <c r="P1024" s="209"/>
    </row>
    <row r="1025" spans="16:16" ht="16.5">
      <c r="P1025" s="209"/>
    </row>
    <row r="1026" spans="16:16" ht="16.5">
      <c r="P1026" s="209"/>
    </row>
    <row r="1027" spans="16:16" ht="16.5">
      <c r="P1027" s="209"/>
    </row>
    <row r="1028" spans="16:16" ht="16.5">
      <c r="P1028" s="209"/>
    </row>
    <row r="1029" spans="16:16" ht="16.5">
      <c r="P1029" s="209"/>
    </row>
    <row r="1030" spans="16:16" ht="16.5">
      <c r="P1030" s="209"/>
    </row>
    <row r="1031" spans="16:16" ht="16.5">
      <c r="P1031" s="209"/>
    </row>
    <row r="1032" spans="16:16" ht="16.5">
      <c r="P1032" s="209"/>
    </row>
    <row r="1033" spans="16:16" ht="16.5">
      <c r="P1033" s="209"/>
    </row>
    <row r="1034" spans="16:16" ht="16.5">
      <c r="P1034" s="209"/>
    </row>
    <row r="1035" spans="16:16" ht="16.5">
      <c r="P1035" s="209"/>
    </row>
    <row r="1036" spans="16:16" ht="16.5">
      <c r="P1036" s="209"/>
    </row>
    <row r="1037" spans="16:16" ht="16.5">
      <c r="P1037" s="209"/>
    </row>
    <row r="1038" spans="16:16" ht="16.5">
      <c r="P1038" s="209"/>
    </row>
    <row r="1039" spans="16:16" ht="16.5">
      <c r="P1039" s="209"/>
    </row>
    <row r="1040" spans="16:16" ht="16.5">
      <c r="P1040" s="209"/>
    </row>
    <row r="1041" spans="16:16" ht="16.5">
      <c r="P1041" s="209"/>
    </row>
    <row r="1042" spans="16:16" ht="16.5">
      <c r="P1042" s="209"/>
    </row>
    <row r="1043" spans="16:16" ht="16.5">
      <c r="P1043" s="209"/>
    </row>
    <row r="1044" spans="16:16" ht="16.5">
      <c r="P1044" s="209"/>
    </row>
    <row r="1045" spans="16:16" ht="16.5">
      <c r="P1045" s="209"/>
    </row>
    <row r="1046" spans="16:16" ht="16.5">
      <c r="P1046" s="209"/>
    </row>
    <row r="1047" spans="16:16" ht="16.5">
      <c r="P1047" s="209"/>
    </row>
    <row r="1048" spans="16:16" ht="16.5">
      <c r="P1048" s="209"/>
    </row>
    <row r="1049" spans="16:16" ht="16.5">
      <c r="P1049" s="209"/>
    </row>
    <row r="1050" spans="16:16" ht="16.5">
      <c r="P1050" s="209"/>
    </row>
    <row r="1051" spans="16:16" ht="16.5">
      <c r="P1051" s="209"/>
    </row>
    <row r="1052" spans="16:16" ht="16.5">
      <c r="P1052" s="209"/>
    </row>
    <row r="1053" spans="16:16" ht="16.5">
      <c r="P1053" s="209"/>
    </row>
    <row r="1054" spans="16:16" ht="16.5">
      <c r="P1054" s="209"/>
    </row>
    <row r="1055" spans="16:16" ht="16.5">
      <c r="P1055" s="209"/>
    </row>
    <row r="1056" spans="16:16" ht="16.5">
      <c r="P1056" s="209"/>
    </row>
    <row r="1057" spans="16:16" ht="16.5">
      <c r="P1057" s="209"/>
    </row>
    <row r="1058" spans="16:16" ht="16.5">
      <c r="P1058" s="209"/>
    </row>
    <row r="1059" spans="16:16" ht="16.5">
      <c r="P1059" s="209"/>
    </row>
    <row r="1060" spans="16:16" ht="16.5">
      <c r="P1060" s="209"/>
    </row>
    <row r="1061" spans="16:16" ht="16.5">
      <c r="P1061" s="209"/>
    </row>
    <row r="1062" spans="16:16" ht="16.5">
      <c r="P1062" s="209"/>
    </row>
    <row r="1063" spans="16:16" ht="16.5">
      <c r="P1063" s="209"/>
    </row>
    <row r="1064" spans="16:16" ht="16.5">
      <c r="P1064" s="209"/>
    </row>
    <row r="1065" spans="16:16" ht="16.5">
      <c r="P1065" s="209"/>
    </row>
    <row r="1066" spans="16:16" ht="16.5">
      <c r="P1066" s="209"/>
    </row>
    <row r="1067" spans="16:16" ht="16.5">
      <c r="P1067" s="209"/>
    </row>
    <row r="1068" spans="16:16" ht="16.5">
      <c r="P1068" s="209"/>
    </row>
    <row r="1069" spans="16:16" ht="16.5">
      <c r="P1069" s="209"/>
    </row>
    <row r="1070" spans="16:16" ht="16.5">
      <c r="P1070" s="209"/>
    </row>
    <row r="1071" spans="16:16" ht="16.5">
      <c r="P1071" s="209"/>
    </row>
    <row r="1072" spans="16:16" ht="16.5">
      <c r="P1072" s="209"/>
    </row>
    <row r="1073" spans="16:16" ht="16.5">
      <c r="P1073" s="209"/>
    </row>
    <row r="1074" spans="16:16" ht="16.5">
      <c r="P1074" s="209"/>
    </row>
    <row r="1075" spans="16:16" ht="16.5">
      <c r="P1075" s="209"/>
    </row>
    <row r="1076" spans="16:16" ht="16.5">
      <c r="P1076" s="209"/>
    </row>
    <row r="1077" spans="16:16" ht="16.5">
      <c r="P1077" s="209"/>
    </row>
    <row r="1078" spans="16:16" ht="16.5">
      <c r="P1078" s="209"/>
    </row>
    <row r="1079" spans="16:16" ht="16.5">
      <c r="P1079" s="209"/>
    </row>
    <row r="1080" spans="16:16" ht="16.5">
      <c r="P1080" s="209"/>
    </row>
    <row r="1081" spans="16:16" ht="16.5">
      <c r="P1081" s="209"/>
    </row>
    <row r="1082" spans="16:16" ht="16.5">
      <c r="P1082" s="209"/>
    </row>
    <row r="1083" spans="16:16" ht="16.5">
      <c r="P1083" s="209"/>
    </row>
    <row r="1084" spans="16:16" ht="16.5">
      <c r="P1084" s="209"/>
    </row>
    <row r="1085" spans="16:16" ht="16.5">
      <c r="P1085" s="209"/>
    </row>
    <row r="1086" spans="16:16" ht="16.5">
      <c r="P1086" s="209"/>
    </row>
    <row r="1087" spans="16:16" ht="16.5">
      <c r="P1087" s="209"/>
    </row>
    <row r="1088" spans="16:16" ht="16.5">
      <c r="P1088" s="209"/>
    </row>
    <row r="1089" spans="16:16" ht="16.5">
      <c r="P1089" s="209"/>
    </row>
    <row r="1090" spans="16:16" ht="16.5">
      <c r="P1090" s="209"/>
    </row>
    <row r="1091" spans="16:16" ht="16.5">
      <c r="P1091" s="209"/>
    </row>
    <row r="1092" spans="16:16" ht="16.5">
      <c r="P1092" s="209"/>
    </row>
    <row r="1093" spans="16:16" ht="16.5">
      <c r="P1093" s="209"/>
    </row>
    <row r="1094" spans="16:16" ht="16.5">
      <c r="P1094" s="209"/>
    </row>
    <row r="1095" spans="16:16" ht="16.5">
      <c r="P1095" s="209"/>
    </row>
    <row r="1096" spans="16:16" ht="16.5">
      <c r="P1096" s="209"/>
    </row>
    <row r="1097" spans="16:16" ht="16.5">
      <c r="P1097" s="209"/>
    </row>
    <row r="1098" spans="16:16" ht="16.5">
      <c r="P1098" s="209"/>
    </row>
    <row r="1099" spans="16:16" ht="16.5">
      <c r="P1099" s="209"/>
    </row>
    <row r="1100" spans="16:16" ht="16.5">
      <c r="P1100" s="209"/>
    </row>
    <row r="1101" spans="16:16" ht="16.5">
      <c r="P1101" s="209"/>
    </row>
    <row r="1102" spans="16:16" ht="16.5">
      <c r="P1102" s="209"/>
    </row>
    <row r="1103" spans="16:16" ht="16.5">
      <c r="P1103" s="209"/>
    </row>
    <row r="1104" spans="16:16" ht="16.5">
      <c r="P1104" s="209"/>
    </row>
    <row r="1105" spans="16:16" ht="16.5">
      <c r="P1105" s="209"/>
    </row>
    <row r="1106" spans="16:16" ht="16.5">
      <c r="P1106" s="209"/>
    </row>
    <row r="1107" spans="16:16" ht="16.5">
      <c r="P1107" s="209"/>
    </row>
    <row r="1108" spans="16:16" ht="16.5">
      <c r="P1108" s="209"/>
    </row>
    <row r="1109" spans="16:16" ht="16.5">
      <c r="P1109" s="209"/>
    </row>
    <row r="1110" spans="16:16" ht="16.5">
      <c r="P1110" s="209"/>
    </row>
    <row r="1111" spans="16:16" ht="16.5">
      <c r="P1111" s="209"/>
    </row>
    <row r="1112" spans="16:16" ht="16.5">
      <c r="P1112" s="209"/>
    </row>
    <row r="1113" spans="16:16" ht="16.5">
      <c r="P1113" s="209"/>
    </row>
    <row r="1114" spans="16:16" ht="16.5">
      <c r="P1114" s="209"/>
    </row>
    <row r="1115" spans="16:16" ht="16.5">
      <c r="P1115" s="209"/>
    </row>
    <row r="1116" spans="16:16" ht="16.5">
      <c r="P1116" s="209"/>
    </row>
    <row r="1117" spans="16:16" ht="16.5">
      <c r="P1117" s="209"/>
    </row>
    <row r="1118" spans="16:16" ht="16.5">
      <c r="P1118" s="209"/>
    </row>
    <row r="1119" spans="16:16" ht="16.5">
      <c r="P1119" s="209"/>
    </row>
    <row r="1120" spans="16:16" ht="16.5">
      <c r="P1120" s="209"/>
    </row>
    <row r="1121" spans="16:16" ht="16.5">
      <c r="P1121" s="209"/>
    </row>
    <row r="1122" spans="16:16" ht="16.5">
      <c r="P1122" s="209"/>
    </row>
    <row r="1123" spans="16:16" ht="16.5">
      <c r="P1123" s="209"/>
    </row>
    <row r="1124" spans="16:16" ht="16.5">
      <c r="P1124" s="209"/>
    </row>
    <row r="1125" spans="16:16" ht="16.5">
      <c r="P1125" s="209"/>
    </row>
    <row r="1126" spans="16:16" ht="16.5">
      <c r="P1126" s="209"/>
    </row>
    <row r="1127" spans="16:16" ht="16.5">
      <c r="P1127" s="209"/>
    </row>
    <row r="1128" spans="16:16" ht="16.5">
      <c r="P1128" s="209"/>
    </row>
    <row r="1129" spans="16:16" ht="16.5">
      <c r="P1129" s="209"/>
    </row>
    <row r="1130" spans="16:16" ht="16.5">
      <c r="P1130" s="209"/>
    </row>
    <row r="1131" spans="16:16" ht="16.5">
      <c r="P1131" s="209"/>
    </row>
    <row r="1132" spans="16:16" ht="16.5">
      <c r="P1132" s="209"/>
    </row>
    <row r="1133" spans="16:16" ht="16.5">
      <c r="P1133" s="209"/>
    </row>
    <row r="1134" spans="16:16" ht="16.5">
      <c r="P1134" s="209"/>
    </row>
    <row r="1135" spans="16:16" ht="16.5">
      <c r="P1135" s="209"/>
    </row>
    <row r="1136" spans="16:16" ht="16.5">
      <c r="P1136" s="209"/>
    </row>
    <row r="1137" spans="16:16" ht="16.5">
      <c r="P1137" s="209"/>
    </row>
    <row r="1138" spans="16:16" ht="16.5">
      <c r="P1138" s="209"/>
    </row>
    <row r="1139" spans="16:16" ht="16.5">
      <c r="P1139" s="209"/>
    </row>
    <row r="1140" spans="16:16" ht="16.5">
      <c r="P1140" s="209"/>
    </row>
    <row r="1141" spans="16:16" ht="16.5">
      <c r="P1141" s="209"/>
    </row>
    <row r="1142" spans="16:16" ht="16.5">
      <c r="P1142" s="209"/>
    </row>
    <row r="1143" spans="16:16" ht="16.5">
      <c r="P1143" s="209"/>
    </row>
    <row r="1144" spans="16:16" ht="16.5">
      <c r="P1144" s="209"/>
    </row>
    <row r="1145" spans="16:16" ht="16.5">
      <c r="P1145" s="209"/>
    </row>
    <row r="1146" spans="16:16" ht="16.5">
      <c r="P1146" s="209"/>
    </row>
    <row r="1147" spans="16:16" ht="16.5">
      <c r="P1147" s="209"/>
    </row>
    <row r="1148" spans="16:16" ht="16.5">
      <c r="P1148" s="209"/>
    </row>
    <row r="1149" spans="16:16" ht="16.5">
      <c r="P1149" s="209"/>
    </row>
    <row r="1150" spans="16:16" ht="16.5">
      <c r="P1150" s="209"/>
    </row>
    <row r="1151" spans="16:16" ht="16.5">
      <c r="P1151" s="209"/>
    </row>
    <row r="1152" spans="16:16" ht="16.5">
      <c r="P1152" s="209"/>
    </row>
    <row r="1153" spans="16:16" ht="16.5">
      <c r="P1153" s="209"/>
    </row>
    <row r="1154" spans="16:16" ht="16.5">
      <c r="P1154" s="209"/>
    </row>
    <row r="1155" spans="16:16" ht="16.5">
      <c r="P1155" s="209"/>
    </row>
    <row r="1156" spans="16:16" ht="16.5">
      <c r="P1156" s="209"/>
    </row>
    <row r="1157" spans="16:16" ht="16.5">
      <c r="P1157" s="209"/>
    </row>
    <row r="1158" spans="16:16" ht="16.5">
      <c r="P1158" s="209"/>
    </row>
    <row r="1159" spans="16:16" ht="16.5">
      <c r="P1159" s="209"/>
    </row>
    <row r="1160" spans="16:16" ht="16.5">
      <c r="P1160" s="209"/>
    </row>
    <row r="1161" spans="16:16" ht="16.5">
      <c r="P1161" s="209"/>
    </row>
    <row r="1162" spans="16:16" ht="16.5">
      <c r="P1162" s="209"/>
    </row>
    <row r="1163" spans="16:16" ht="16.5">
      <c r="P1163" s="209"/>
    </row>
    <row r="1164" spans="16:16" ht="16.5">
      <c r="P1164" s="209"/>
    </row>
    <row r="1165" spans="16:16" ht="16.5">
      <c r="P1165" s="209"/>
    </row>
    <row r="1166" spans="16:16" ht="16.5">
      <c r="P1166" s="209"/>
    </row>
    <row r="1167" spans="16:16" ht="16.5">
      <c r="P1167" s="209"/>
    </row>
    <row r="1168" spans="16:16" ht="16.5">
      <c r="P1168" s="209"/>
    </row>
    <row r="1169" spans="16:16" ht="16.5">
      <c r="P1169" s="209"/>
    </row>
    <row r="1170" spans="16:16" ht="16.5">
      <c r="P1170" s="209"/>
    </row>
    <row r="1171" spans="16:16" ht="16.5">
      <c r="P1171" s="209"/>
    </row>
    <row r="1172" spans="16:16" ht="16.5">
      <c r="P1172" s="209"/>
    </row>
    <row r="1173" spans="16:16" ht="16.5">
      <c r="P1173" s="209"/>
    </row>
    <row r="1174" spans="16:16" ht="16.5">
      <c r="P1174" s="209"/>
    </row>
    <row r="1175" spans="16:16" ht="16.5">
      <c r="P1175" s="209"/>
    </row>
    <row r="1176" spans="16:16" ht="16.5">
      <c r="P1176" s="209"/>
    </row>
    <row r="1177" spans="16:16" ht="16.5">
      <c r="P1177" s="209"/>
    </row>
    <row r="1178" spans="16:16" ht="16.5">
      <c r="P1178" s="209"/>
    </row>
    <row r="1179" spans="16:16" ht="16.5">
      <c r="P1179" s="209"/>
    </row>
    <row r="1180" spans="16:16" ht="16.5">
      <c r="P1180" s="209"/>
    </row>
    <row r="1181" spans="16:16" ht="16.5">
      <c r="P1181" s="209"/>
    </row>
    <row r="1182" spans="16:16" ht="16.5">
      <c r="P1182" s="209"/>
    </row>
    <row r="1183" spans="16:16" ht="16.5">
      <c r="P1183" s="209"/>
    </row>
    <row r="1184" spans="16:16" ht="16.5">
      <c r="P1184" s="209"/>
    </row>
    <row r="1185" spans="16:16" ht="16.5">
      <c r="P1185" s="209"/>
    </row>
    <row r="1186" spans="16:16" ht="16.5">
      <c r="P1186" s="209"/>
    </row>
    <row r="1187" spans="16:16" ht="16.5">
      <c r="P1187" s="209"/>
    </row>
    <row r="1188" spans="16:16" ht="16.5">
      <c r="P1188" s="209"/>
    </row>
    <row r="1189" spans="16:16" ht="16.5">
      <c r="P1189" s="209"/>
    </row>
    <row r="1190" spans="16:16" ht="16.5">
      <c r="P1190" s="209"/>
    </row>
    <row r="1191" spans="16:16" ht="16.5">
      <c r="P1191" s="209"/>
    </row>
    <row r="1192" spans="16:16" ht="16.5">
      <c r="P1192" s="209"/>
    </row>
    <row r="1193" spans="16:16" ht="16.5">
      <c r="P1193" s="209"/>
    </row>
    <row r="1194" spans="16:16" ht="16.5">
      <c r="P1194" s="209"/>
    </row>
    <row r="1195" spans="16:16" ht="16.5">
      <c r="P1195" s="209"/>
    </row>
    <row r="1196" spans="16:16" ht="16.5">
      <c r="P1196" s="209"/>
    </row>
    <row r="1197" spans="16:16" ht="16.5">
      <c r="P1197" s="209"/>
    </row>
    <row r="1198" spans="16:16" ht="16.5">
      <c r="P1198" s="209"/>
    </row>
    <row r="1199" spans="16:16" ht="16.5">
      <c r="P1199" s="209"/>
    </row>
    <row r="1200" spans="16:16" ht="16.5">
      <c r="P1200" s="209"/>
    </row>
    <row r="1201" spans="16:16" ht="16.5">
      <c r="P1201" s="209"/>
    </row>
    <row r="1202" spans="16:16" ht="16.5">
      <c r="P1202" s="209"/>
    </row>
    <row r="1203" spans="16:16" ht="16.5">
      <c r="P1203" s="209"/>
    </row>
    <row r="1204" spans="16:16" ht="16.5">
      <c r="P1204" s="209"/>
    </row>
    <row r="1205" spans="16:16" ht="16.5">
      <c r="P1205" s="209"/>
    </row>
    <row r="1206" spans="16:16" ht="16.5">
      <c r="P1206" s="209"/>
    </row>
    <row r="1207" spans="16:16" ht="16.5">
      <c r="P1207" s="209"/>
    </row>
    <row r="1208" spans="16:16" ht="16.5">
      <c r="P1208" s="209"/>
    </row>
    <row r="1209" spans="16:16" ht="16.5">
      <c r="P1209" s="209"/>
    </row>
    <row r="1210" spans="16:16" ht="16.5">
      <c r="P1210" s="209"/>
    </row>
    <row r="1211" spans="16:16" ht="16.5">
      <c r="P1211" s="209"/>
    </row>
    <row r="1212" spans="16:16" ht="16.5">
      <c r="P1212" s="209"/>
    </row>
    <row r="1213" spans="16:16" ht="16.5">
      <c r="P1213" s="209"/>
    </row>
    <row r="1214" spans="16:16" ht="16.5">
      <c r="P1214" s="209"/>
    </row>
    <row r="1215" spans="16:16" ht="16.5">
      <c r="P1215" s="209"/>
    </row>
    <row r="1216" spans="16:16" ht="16.5">
      <c r="P1216" s="209"/>
    </row>
    <row r="1217" spans="16:16" ht="16.5">
      <c r="P1217" s="209"/>
    </row>
    <row r="1218" spans="16:16" ht="16.5">
      <c r="P1218" s="209"/>
    </row>
    <row r="1219" spans="16:16" ht="16.5">
      <c r="P1219" s="209"/>
    </row>
    <row r="1220" spans="16:16" ht="16.5">
      <c r="P1220" s="209"/>
    </row>
    <row r="1221" spans="16:16" ht="16.5">
      <c r="P1221" s="209"/>
    </row>
    <row r="1222" spans="16:16" ht="16.5">
      <c r="P1222" s="209"/>
    </row>
    <row r="1223" spans="16:16" ht="16.5">
      <c r="P1223" s="209"/>
    </row>
    <row r="1224" spans="16:16" ht="16.5">
      <c r="P1224" s="209"/>
    </row>
    <row r="1225" spans="16:16" ht="16.5">
      <c r="P1225" s="209"/>
    </row>
    <row r="1226" spans="16:16" ht="16.5">
      <c r="P1226" s="209"/>
    </row>
    <row r="1227" spans="16:16" ht="16.5">
      <c r="P1227" s="209"/>
    </row>
    <row r="1228" spans="16:16" ht="16.5">
      <c r="P1228" s="209"/>
    </row>
    <row r="1229" spans="16:16" ht="16.5">
      <c r="P1229" s="209"/>
    </row>
    <row r="1230" spans="16:16" ht="16.5">
      <c r="P1230" s="209"/>
    </row>
    <row r="1231" spans="16:16" ht="16.5">
      <c r="P1231" s="209"/>
    </row>
    <row r="1232" spans="16:16" ht="16.5">
      <c r="P1232" s="209"/>
    </row>
    <row r="1233" spans="16:16" ht="16.5">
      <c r="P1233" s="209"/>
    </row>
    <row r="1234" spans="16:16" ht="16.5">
      <c r="P1234" s="209"/>
    </row>
    <row r="1235" spans="16:16" ht="16.5">
      <c r="P1235" s="209"/>
    </row>
    <row r="1236" spans="16:16" ht="16.5">
      <c r="P1236" s="209"/>
    </row>
    <row r="1237" spans="16:16" ht="16.5">
      <c r="P1237" s="209"/>
    </row>
    <row r="1238" spans="16:16" ht="16.5">
      <c r="P1238" s="209"/>
    </row>
    <row r="1239" spans="16:16" ht="16.5">
      <c r="P1239" s="209"/>
    </row>
    <row r="1240" spans="16:16" ht="16.5">
      <c r="P1240" s="209"/>
    </row>
    <row r="1241" spans="16:16" ht="16.5">
      <c r="P1241" s="209"/>
    </row>
    <row r="1242" spans="16:16" ht="16.5">
      <c r="P1242" s="209"/>
    </row>
    <row r="1243" spans="16:16" ht="16.5">
      <c r="P1243" s="209"/>
    </row>
    <row r="1244" spans="16:16" ht="16.5">
      <c r="P1244" s="209"/>
    </row>
    <row r="1245" spans="16:16" ht="16.5">
      <c r="P1245" s="209"/>
    </row>
    <row r="1246" spans="16:16" ht="16.5">
      <c r="P1246" s="209"/>
    </row>
    <row r="1247" spans="16:16" ht="16.5">
      <c r="P1247" s="209"/>
    </row>
    <row r="1248" spans="16:16" ht="16.5">
      <c r="P1248" s="209"/>
    </row>
    <row r="1249" spans="16:16" ht="16.5">
      <c r="P1249" s="209"/>
    </row>
    <row r="1250" spans="16:16" ht="16.5">
      <c r="P1250" s="209"/>
    </row>
    <row r="1251" spans="16:16" ht="16.5">
      <c r="P1251" s="209"/>
    </row>
    <row r="1252" spans="16:16" ht="16.5">
      <c r="P1252" s="209"/>
    </row>
    <row r="1253" spans="16:16" ht="16.5">
      <c r="P1253" s="209"/>
    </row>
    <row r="1254" spans="16:16" ht="16.5">
      <c r="P1254" s="209"/>
    </row>
    <row r="1255" spans="16:16" ht="16.5">
      <c r="P1255" s="209"/>
    </row>
    <row r="1256" spans="16:16" ht="16.5">
      <c r="P1256" s="209"/>
    </row>
    <row r="1257" spans="16:16" ht="16.5">
      <c r="P1257" s="209"/>
    </row>
    <row r="1258" spans="16:16" ht="16.5">
      <c r="P1258" s="209"/>
    </row>
    <row r="1259" spans="16:16" ht="16.5">
      <c r="P1259" s="209"/>
    </row>
    <row r="1260" spans="16:16" ht="16.5">
      <c r="P1260" s="209"/>
    </row>
    <row r="1261" spans="16:16" ht="16.5">
      <c r="P1261" s="209"/>
    </row>
    <row r="1262" spans="16:16" ht="16.5">
      <c r="P1262" s="209"/>
    </row>
    <row r="1263" spans="16:16" ht="16.5">
      <c r="P1263" s="209"/>
    </row>
    <row r="1264" spans="16:16" ht="16.5">
      <c r="P1264" s="209"/>
    </row>
    <row r="1265" spans="16:16" ht="16.5">
      <c r="P1265" s="209"/>
    </row>
    <row r="1266" spans="16:16" ht="16.5">
      <c r="P1266" s="209"/>
    </row>
    <row r="1267" spans="16:16" ht="16.5">
      <c r="P1267" s="209"/>
    </row>
    <row r="1268" spans="16:16" ht="16.5">
      <c r="P1268" s="209"/>
    </row>
    <row r="1269" spans="16:16" ht="16.5">
      <c r="P1269" s="209"/>
    </row>
  </sheetData>
  <autoFilter ref="A12:O269">
    <filterColumn colId="2">
      <filters blank="1">
        <filter val="bank fees"/>
        <filter val="Bonus"/>
        <filter val="Court Fees"/>
        <filter val="Grant"/>
        <filter val="Internet"/>
        <filter val="Jail visits"/>
        <filter val="Lawyer Fees"/>
        <filter val="Office Materials"/>
        <filter val="Personnel"/>
        <filter val="Rent &amp; Utilities"/>
        <filter val="Services"/>
        <filter val="Telephone"/>
        <filter val="Transfer fees"/>
        <filter val="Transport"/>
        <filter val="Travel Expenses"/>
        <filter val="Travel subsistence"/>
        <filter val="Trust Building"/>
        <filter val="Website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Sheet3</vt:lpstr>
      <vt:lpstr>Feuil3</vt:lpstr>
      <vt:lpstr>DATA OCTOBRE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2022-12-19T11:25:20Z</cp:lastPrinted>
  <dcterms:created xsi:type="dcterms:W3CDTF">2020-09-02T13:35:58Z</dcterms:created>
  <dcterms:modified xsi:type="dcterms:W3CDTF">2023-11-20T09:13:11Z</dcterms:modified>
</cp:coreProperties>
</file>