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185" activeTab="5"/>
  </bookViews>
  <sheets>
    <sheet name="Récapitulatif" sheetId="16" r:id="rId1"/>
    <sheet name="Feuil2" sheetId="186" r:id="rId2"/>
    <sheet name="Feuil4" sheetId="188" r:id="rId3"/>
    <sheet name="Sheet1" sheetId="189" r:id="rId4"/>
    <sheet name="Sheet2" sheetId="190" r:id="rId5"/>
    <sheet name="DATA SEPTEMBRE 2023" sheetId="15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5" hidden="1">'DATA SEPTEMBRE 2023'!$A$12:$O$405</definedName>
    <definedName name="_xlnm.Print_Area" localSheetId="5">'DATA SEPTEMBRE 2023'!$A$1:$N$220</definedName>
  </definedNames>
  <calcPr calcId="12451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89"/>
  <c r="D19"/>
  <c r="C19" i="186"/>
  <c r="C20" l="1"/>
  <c r="A31" i="16" l="1"/>
  <c r="AQ7" i="188"/>
  <c r="AR7" s="1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Q18"/>
  <c r="AR18" s="1"/>
  <c r="AQ19"/>
  <c r="AR19" s="1"/>
  <c r="AQ6"/>
  <c r="AR6" s="1"/>
  <c r="AP7"/>
  <c r="AP8"/>
  <c r="AP9"/>
  <c r="AP10"/>
  <c r="AP11"/>
  <c r="AP12"/>
  <c r="AP13"/>
  <c r="AP14"/>
  <c r="AP15"/>
  <c r="AP16"/>
  <c r="AP17"/>
  <c r="AP18"/>
  <c r="AP19"/>
  <c r="AP6"/>
  <c r="AO7"/>
  <c r="AO8"/>
  <c r="AO9"/>
  <c r="AO10"/>
  <c r="AO11"/>
  <c r="AO12"/>
  <c r="AO13"/>
  <c r="AO14"/>
  <c r="AO15"/>
  <c r="AO16"/>
  <c r="AO17"/>
  <c r="AO18"/>
  <c r="AO19"/>
  <c r="AO20"/>
  <c r="AO6"/>
  <c r="AS7"/>
  <c r="AS20" s="1"/>
  <c r="AP20" l="1"/>
  <c r="AR20"/>
  <c r="AQ20"/>
  <c r="AP22" l="1"/>
  <c r="F314" i="153" l="1"/>
  <c r="F115"/>
  <c r="F15"/>
  <c r="C19" i="16" l="1"/>
  <c r="C47"/>
  <c r="C46"/>
  <c r="C44"/>
  <c r="C42"/>
  <c r="C41"/>
  <c r="C40"/>
  <c r="C39"/>
  <c r="C38"/>
  <c r="C37"/>
  <c r="C36"/>
  <c r="C35"/>
  <c r="C34"/>
  <c r="C33"/>
  <c r="C32"/>
  <c r="C31"/>
  <c r="A32"/>
  <c r="A33" s="1"/>
  <c r="A34" s="1"/>
  <c r="A35" s="1"/>
  <c r="A36" s="1"/>
  <c r="A37" s="1"/>
  <c r="A38" s="1"/>
  <c r="A39" s="1"/>
  <c r="A40" s="1"/>
  <c r="A41" s="1"/>
  <c r="A42" s="1"/>
  <c r="A44" s="1"/>
  <c r="A46" s="1"/>
  <c r="A47" s="1"/>
  <c r="C30"/>
  <c r="O19"/>
  <c r="N19"/>
  <c r="AQ22" i="188" s="1"/>
  <c r="M19" i="16"/>
  <c r="L19"/>
  <c r="H19"/>
  <c r="A22"/>
  <c r="G18"/>
  <c r="F18"/>
  <c r="H42" s="1"/>
  <c r="E18"/>
  <c r="I42" s="1"/>
  <c r="D18"/>
  <c r="E42" s="1"/>
  <c r="A18"/>
  <c r="B42" s="1"/>
  <c r="G17"/>
  <c r="F17"/>
  <c r="H41" s="1"/>
  <c r="E17"/>
  <c r="I41" s="1"/>
  <c r="D17"/>
  <c r="E41" s="1"/>
  <c r="A17"/>
  <c r="B41" s="1"/>
  <c r="G16"/>
  <c r="F16"/>
  <c r="H40" s="1"/>
  <c r="E16"/>
  <c r="I40" s="1"/>
  <c r="D16"/>
  <c r="E40" s="1"/>
  <c r="A16"/>
  <c r="B40" s="1"/>
  <c r="G15"/>
  <c r="F15"/>
  <c r="H39" s="1"/>
  <c r="E15"/>
  <c r="I39" s="1"/>
  <c r="D15"/>
  <c r="E39" s="1"/>
  <c r="A15"/>
  <c r="B39" s="1"/>
  <c r="G14"/>
  <c r="F14"/>
  <c r="H38" s="1"/>
  <c r="E14"/>
  <c r="I38" s="1"/>
  <c r="D14"/>
  <c r="E38" s="1"/>
  <c r="A14"/>
  <c r="B38" s="1"/>
  <c r="G13"/>
  <c r="F13"/>
  <c r="H37" s="1"/>
  <c r="E13"/>
  <c r="I37" s="1"/>
  <c r="D13"/>
  <c r="E37" s="1"/>
  <c r="A13"/>
  <c r="B37" s="1"/>
  <c r="G12"/>
  <c r="F12"/>
  <c r="H36" s="1"/>
  <c r="E12"/>
  <c r="I36" s="1"/>
  <c r="D12"/>
  <c r="E36" s="1"/>
  <c r="A12"/>
  <c r="B36" s="1"/>
  <c r="G11"/>
  <c r="F11"/>
  <c r="H35" s="1"/>
  <c r="E11"/>
  <c r="I35" s="1"/>
  <c r="D11"/>
  <c r="E35" s="1"/>
  <c r="A11"/>
  <c r="B35" s="1"/>
  <c r="G10"/>
  <c r="F10"/>
  <c r="H34" s="1"/>
  <c r="E10"/>
  <c r="I34" s="1"/>
  <c r="D10"/>
  <c r="E34" s="1"/>
  <c r="A10"/>
  <c r="B34" s="1"/>
  <c r="G9"/>
  <c r="F9"/>
  <c r="H33" s="1"/>
  <c r="E9"/>
  <c r="I33" s="1"/>
  <c r="D9"/>
  <c r="E33" s="1"/>
  <c r="A9"/>
  <c r="B33" s="1"/>
  <c r="G8"/>
  <c r="F8"/>
  <c r="H32" s="1"/>
  <c r="E8"/>
  <c r="I32" s="1"/>
  <c r="D8"/>
  <c r="E32" s="1"/>
  <c r="A8"/>
  <c r="B32" s="1"/>
  <c r="G7"/>
  <c r="F7"/>
  <c r="H31" s="1"/>
  <c r="E7"/>
  <c r="I31" s="1"/>
  <c r="D7"/>
  <c r="E31" s="1"/>
  <c r="A7"/>
  <c r="B31" s="1"/>
  <c r="G6"/>
  <c r="F6"/>
  <c r="H30" s="1"/>
  <c r="E6"/>
  <c r="I30" s="1"/>
  <c r="D6"/>
  <c r="E30" s="1"/>
  <c r="A6"/>
  <c r="B30" s="1"/>
  <c r="G5"/>
  <c r="F5"/>
  <c r="H44" s="1"/>
  <c r="E5"/>
  <c r="I44" s="1"/>
  <c r="D5"/>
  <c r="E44" s="1"/>
  <c r="A5"/>
  <c r="G4"/>
  <c r="F4"/>
  <c r="H47" s="1"/>
  <c r="E4"/>
  <c r="I47" s="1"/>
  <c r="D4"/>
  <c r="G47" s="1"/>
  <c r="A4"/>
  <c r="G3"/>
  <c r="D46" s="1"/>
  <c r="F3"/>
  <c r="H46" s="1"/>
  <c r="E3"/>
  <c r="I46" s="1"/>
  <c r="D3"/>
  <c r="A3"/>
  <c r="J41" l="1"/>
  <c r="I16"/>
  <c r="J16" s="1"/>
  <c r="I15"/>
  <c r="J15" s="1"/>
  <c r="I13"/>
  <c r="J13" s="1"/>
  <c r="I5"/>
  <c r="J5" s="1"/>
  <c r="I6"/>
  <c r="J6" s="1"/>
  <c r="I3"/>
  <c r="J3" s="1"/>
  <c r="J44"/>
  <c r="J31"/>
  <c r="I8"/>
  <c r="J8" s="1"/>
  <c r="I11"/>
  <c r="J11" s="1"/>
  <c r="I17"/>
  <c r="J17" s="1"/>
  <c r="J40"/>
  <c r="J32"/>
  <c r="J37"/>
  <c r="J30"/>
  <c r="G19"/>
  <c r="B22" s="1"/>
  <c r="I18"/>
  <c r="J18" s="1"/>
  <c r="J34"/>
  <c r="J36"/>
  <c r="J46"/>
  <c r="K46" s="1"/>
  <c r="I10"/>
  <c r="J10" s="1"/>
  <c r="D19"/>
  <c r="J42" s="1"/>
  <c r="E19"/>
  <c r="C22" s="1"/>
  <c r="I4"/>
  <c r="J4" s="1"/>
  <c r="I12"/>
  <c r="J12" s="1"/>
  <c r="J38"/>
  <c r="I14"/>
  <c r="J14" s="1"/>
  <c r="D47"/>
  <c r="J47" s="1"/>
  <c r="I48"/>
  <c r="I7"/>
  <c r="J7" s="1"/>
  <c r="I9"/>
  <c r="J9" s="1"/>
  <c r="J33"/>
  <c r="J39"/>
  <c r="F19"/>
  <c r="C48"/>
  <c r="J35"/>
  <c r="K39" l="1"/>
  <c r="K44"/>
  <c r="K33"/>
  <c r="K40"/>
  <c r="K37"/>
  <c r="D22"/>
  <c r="K32"/>
  <c r="K31"/>
  <c r="K30"/>
  <c r="G21"/>
  <c r="K42"/>
  <c r="K36"/>
  <c r="K41"/>
  <c r="K35"/>
  <c r="K47"/>
  <c r="K34"/>
  <c r="I19"/>
  <c r="K38"/>
  <c r="J48"/>
  <c r="C99"/>
  <c r="C98"/>
  <c r="C96"/>
  <c r="C94"/>
  <c r="C93"/>
  <c r="C92"/>
  <c r="C91"/>
  <c r="C90"/>
  <c r="C89"/>
  <c r="C88"/>
  <c r="C87"/>
  <c r="C86"/>
  <c r="C85"/>
  <c r="C84"/>
  <c r="C83"/>
  <c r="C82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8" s="1"/>
  <c r="A99" s="1"/>
  <c r="C81"/>
  <c r="O70"/>
  <c r="N70"/>
  <c r="M70"/>
  <c r="L70"/>
  <c r="H70"/>
  <c r="C70"/>
  <c r="A73" s="1"/>
  <c r="G69"/>
  <c r="F69"/>
  <c r="H94" s="1"/>
  <c r="E69"/>
  <c r="D69"/>
  <c r="E94" s="1"/>
  <c r="A69"/>
  <c r="B94" s="1"/>
  <c r="G68"/>
  <c r="F68"/>
  <c r="H93" s="1"/>
  <c r="E68"/>
  <c r="D68"/>
  <c r="A68"/>
  <c r="B93" s="1"/>
  <c r="G67"/>
  <c r="F67"/>
  <c r="H92" s="1"/>
  <c r="E67"/>
  <c r="I92" s="1"/>
  <c r="D67"/>
  <c r="A67"/>
  <c r="B92" s="1"/>
  <c r="G66"/>
  <c r="F66"/>
  <c r="H91" s="1"/>
  <c r="E66"/>
  <c r="I91" s="1"/>
  <c r="D66"/>
  <c r="A66"/>
  <c r="B91" s="1"/>
  <c r="G65"/>
  <c r="F65"/>
  <c r="H90" s="1"/>
  <c r="E65"/>
  <c r="I90" s="1"/>
  <c r="D65"/>
  <c r="A65"/>
  <c r="B90" s="1"/>
  <c r="G64"/>
  <c r="F64"/>
  <c r="H89" s="1"/>
  <c r="E64"/>
  <c r="I89" s="1"/>
  <c r="D64"/>
  <c r="A64"/>
  <c r="B89" s="1"/>
  <c r="G63"/>
  <c r="F63"/>
  <c r="H88" s="1"/>
  <c r="E63"/>
  <c r="I88" s="1"/>
  <c r="D63"/>
  <c r="E88" s="1"/>
  <c r="A63"/>
  <c r="B88" s="1"/>
  <c r="G62"/>
  <c r="F62"/>
  <c r="H87" s="1"/>
  <c r="E62"/>
  <c r="I87" s="1"/>
  <c r="D62"/>
  <c r="E87" s="1"/>
  <c r="A62"/>
  <c r="B87" s="1"/>
  <c r="G61"/>
  <c r="F61"/>
  <c r="H86" s="1"/>
  <c r="E61"/>
  <c r="I86" s="1"/>
  <c r="D61"/>
  <c r="A61"/>
  <c r="B86" s="1"/>
  <c r="G60"/>
  <c r="F60"/>
  <c r="H85" s="1"/>
  <c r="E60"/>
  <c r="I85" s="1"/>
  <c r="D60"/>
  <c r="A60"/>
  <c r="B85" s="1"/>
  <c r="G59"/>
  <c r="F59"/>
  <c r="H84" s="1"/>
  <c r="E59"/>
  <c r="I84" s="1"/>
  <c r="D59"/>
  <c r="A59"/>
  <c r="B84" s="1"/>
  <c r="G58"/>
  <c r="F58"/>
  <c r="H83" s="1"/>
  <c r="E58"/>
  <c r="I83" s="1"/>
  <c r="D58"/>
  <c r="A58"/>
  <c r="B83" s="1"/>
  <c r="G57"/>
  <c r="F57"/>
  <c r="H82" s="1"/>
  <c r="E57"/>
  <c r="I82" s="1"/>
  <c r="D57"/>
  <c r="A57"/>
  <c r="B82" s="1"/>
  <c r="G56"/>
  <c r="F56"/>
  <c r="H81" s="1"/>
  <c r="E56"/>
  <c r="I81" s="1"/>
  <c r="D56"/>
  <c r="A56"/>
  <c r="B81" s="1"/>
  <c r="G55"/>
  <c r="F55"/>
  <c r="H96" s="1"/>
  <c r="E55"/>
  <c r="I96" s="1"/>
  <c r="D55"/>
  <c r="A55"/>
  <c r="G54"/>
  <c r="D99" s="1"/>
  <c r="F54"/>
  <c r="H99" s="1"/>
  <c r="E54"/>
  <c r="D54"/>
  <c r="A54"/>
  <c r="G53"/>
  <c r="F53"/>
  <c r="H98" s="1"/>
  <c r="E53"/>
  <c r="I98" s="1"/>
  <c r="D53"/>
  <c r="A53"/>
  <c r="I64" l="1"/>
  <c r="K48"/>
  <c r="E22"/>
  <c r="I20"/>
  <c r="E92"/>
  <c r="I67"/>
  <c r="J67" s="1"/>
  <c r="I60"/>
  <c r="J60" s="1"/>
  <c r="E96"/>
  <c r="J96" s="1"/>
  <c r="I55"/>
  <c r="J55" s="1"/>
  <c r="E90"/>
  <c r="J90" s="1"/>
  <c r="I65"/>
  <c r="J65" s="1"/>
  <c r="E82"/>
  <c r="J82" s="1"/>
  <c r="I57"/>
  <c r="J57" s="1"/>
  <c r="E83"/>
  <c r="J83" s="1"/>
  <c r="I58"/>
  <c r="J58" s="1"/>
  <c r="I56"/>
  <c r="J56" s="1"/>
  <c r="E84"/>
  <c r="J84" s="1"/>
  <c r="I59"/>
  <c r="J59" s="1"/>
  <c r="I54"/>
  <c r="J54" s="1"/>
  <c r="E91"/>
  <c r="J91" s="1"/>
  <c r="I66"/>
  <c r="J66" s="1"/>
  <c r="I93"/>
  <c r="I68"/>
  <c r="J68" s="1"/>
  <c r="I94"/>
  <c r="J94" s="1"/>
  <c r="I69"/>
  <c r="J69" s="1"/>
  <c r="C100"/>
  <c r="G70"/>
  <c r="B73" s="1"/>
  <c r="J87"/>
  <c r="J64"/>
  <c r="G99"/>
  <c r="E70"/>
  <c r="C73" s="1"/>
  <c r="D98"/>
  <c r="J98" s="1"/>
  <c r="I53"/>
  <c r="J53" s="1"/>
  <c r="I61"/>
  <c r="J61" s="1"/>
  <c r="J88"/>
  <c r="J92"/>
  <c r="I62"/>
  <c r="J62" s="1"/>
  <c r="D70"/>
  <c r="I63"/>
  <c r="J63" s="1"/>
  <c r="E81"/>
  <c r="J81" s="1"/>
  <c r="E85"/>
  <c r="J85" s="1"/>
  <c r="E86"/>
  <c r="J86" s="1"/>
  <c r="E89"/>
  <c r="J89" s="1"/>
  <c r="E93"/>
  <c r="I99"/>
  <c r="F70"/>
  <c r="K86" l="1"/>
  <c r="J93"/>
  <c r="K98"/>
  <c r="I100"/>
  <c r="J99"/>
  <c r="K99" s="1"/>
  <c r="D73"/>
  <c r="K93"/>
  <c r="G72"/>
  <c r="K89"/>
  <c r="K85"/>
  <c r="K81"/>
  <c r="K84"/>
  <c r="I70"/>
  <c r="K90"/>
  <c r="K91"/>
  <c r="K96"/>
  <c r="K88"/>
  <c r="K83"/>
  <c r="K94"/>
  <c r="K92"/>
  <c r="K87"/>
  <c r="K82"/>
  <c r="J100" l="1"/>
  <c r="K100" s="1"/>
  <c r="I71"/>
  <c r="E73"/>
  <c r="C151"/>
  <c r="C150"/>
  <c r="C148"/>
  <c r="C146"/>
  <c r="C145"/>
  <c r="C144"/>
  <c r="C143"/>
  <c r="C142"/>
  <c r="C141"/>
  <c r="C140"/>
  <c r="C139"/>
  <c r="C138"/>
  <c r="C137"/>
  <c r="C136"/>
  <c r="C135"/>
  <c r="C134"/>
  <c r="A134"/>
  <c r="A135" s="1"/>
  <c r="A136" s="1"/>
  <c r="A137" s="1"/>
  <c r="A138" s="1"/>
  <c r="A139" s="1"/>
  <c r="A140" s="1"/>
  <c r="A141" s="1"/>
  <c r="A142" s="1"/>
  <c r="A143" s="1"/>
  <c r="A144" s="1"/>
  <c r="A145" s="1"/>
  <c r="A146" s="1"/>
  <c r="A148" s="1"/>
  <c r="A150" s="1"/>
  <c r="A151" s="1"/>
  <c r="C133"/>
  <c r="O122"/>
  <c r="N122"/>
  <c r="M122"/>
  <c r="L122"/>
  <c r="H122"/>
  <c r="C122"/>
  <c r="A125" s="1"/>
  <c r="G121"/>
  <c r="F121"/>
  <c r="H146" s="1"/>
  <c r="E121"/>
  <c r="I146" s="1"/>
  <c r="D121"/>
  <c r="E146" s="1"/>
  <c r="A121"/>
  <c r="B146" s="1"/>
  <c r="G120"/>
  <c r="F120"/>
  <c r="H145" s="1"/>
  <c r="E120"/>
  <c r="I145" s="1"/>
  <c r="D120"/>
  <c r="E145" s="1"/>
  <c r="A120"/>
  <c r="B145" s="1"/>
  <c r="G119"/>
  <c r="F119"/>
  <c r="H144" s="1"/>
  <c r="E119"/>
  <c r="I144" s="1"/>
  <c r="D119"/>
  <c r="E144" s="1"/>
  <c r="A119"/>
  <c r="B144" s="1"/>
  <c r="G118"/>
  <c r="F118"/>
  <c r="H143" s="1"/>
  <c r="E118"/>
  <c r="I143" s="1"/>
  <c r="D118"/>
  <c r="E143" s="1"/>
  <c r="A118"/>
  <c r="B143" s="1"/>
  <c r="G117"/>
  <c r="F117"/>
  <c r="H142" s="1"/>
  <c r="E117"/>
  <c r="I142" s="1"/>
  <c r="D117"/>
  <c r="E142" s="1"/>
  <c r="A117"/>
  <c r="B142" s="1"/>
  <c r="G116"/>
  <c r="F116"/>
  <c r="H141" s="1"/>
  <c r="E116"/>
  <c r="I141" s="1"/>
  <c r="D116"/>
  <c r="E141" s="1"/>
  <c r="A116"/>
  <c r="B141" s="1"/>
  <c r="G115"/>
  <c r="F115"/>
  <c r="H140" s="1"/>
  <c r="E115"/>
  <c r="I140" s="1"/>
  <c r="D115"/>
  <c r="E140" s="1"/>
  <c r="A115"/>
  <c r="B140" s="1"/>
  <c r="G114"/>
  <c r="F114"/>
  <c r="H139" s="1"/>
  <c r="E114"/>
  <c r="I139" s="1"/>
  <c r="D114"/>
  <c r="E139" s="1"/>
  <c r="A114"/>
  <c r="B139" s="1"/>
  <c r="G113"/>
  <c r="F113"/>
  <c r="H138" s="1"/>
  <c r="E113"/>
  <c r="I138" s="1"/>
  <c r="D113"/>
  <c r="E138" s="1"/>
  <c r="A113"/>
  <c r="B138" s="1"/>
  <c r="G112"/>
  <c r="F112"/>
  <c r="H137" s="1"/>
  <c r="E112"/>
  <c r="I137" s="1"/>
  <c r="D112"/>
  <c r="E137" s="1"/>
  <c r="A112"/>
  <c r="B137" s="1"/>
  <c r="G111"/>
  <c r="F111"/>
  <c r="H136" s="1"/>
  <c r="E111"/>
  <c r="I136" s="1"/>
  <c r="D111"/>
  <c r="E136" s="1"/>
  <c r="A111"/>
  <c r="B136" s="1"/>
  <c r="G110"/>
  <c r="F110"/>
  <c r="H135" s="1"/>
  <c r="E110"/>
  <c r="I135" s="1"/>
  <c r="D110"/>
  <c r="E135" s="1"/>
  <c r="A110"/>
  <c r="B135" s="1"/>
  <c r="G109"/>
  <c r="F109"/>
  <c r="H134" s="1"/>
  <c r="E109"/>
  <c r="I134" s="1"/>
  <c r="D109"/>
  <c r="E134" s="1"/>
  <c r="A109"/>
  <c r="B134" s="1"/>
  <c r="G108"/>
  <c r="F108"/>
  <c r="H133" s="1"/>
  <c r="E108"/>
  <c r="I133" s="1"/>
  <c r="D108"/>
  <c r="E133" s="1"/>
  <c r="A108"/>
  <c r="B133" s="1"/>
  <c r="G107"/>
  <c r="F107"/>
  <c r="H148" s="1"/>
  <c r="E107"/>
  <c r="I148" s="1"/>
  <c r="D107"/>
  <c r="E148" s="1"/>
  <c r="A107"/>
  <c r="G106"/>
  <c r="D151" s="1"/>
  <c r="F106"/>
  <c r="H151" s="1"/>
  <c r="E106"/>
  <c r="I151" s="1"/>
  <c r="D106"/>
  <c r="A106"/>
  <c r="G105"/>
  <c r="D150" s="1"/>
  <c r="F105"/>
  <c r="H150" s="1"/>
  <c r="E105"/>
  <c r="I150" s="1"/>
  <c r="D105"/>
  <c r="A105"/>
  <c r="C152" l="1"/>
  <c r="I106"/>
  <c r="J106" s="1"/>
  <c r="D122"/>
  <c r="J148"/>
  <c r="I152"/>
  <c r="J136"/>
  <c r="J140"/>
  <c r="J144"/>
  <c r="J135"/>
  <c r="J139"/>
  <c r="J143"/>
  <c r="J150"/>
  <c r="J134"/>
  <c r="J138"/>
  <c r="J142"/>
  <c r="J146"/>
  <c r="J133"/>
  <c r="J137"/>
  <c r="J141"/>
  <c r="J145"/>
  <c r="I109"/>
  <c r="J109" s="1"/>
  <c r="I117"/>
  <c r="J117" s="1"/>
  <c r="I107"/>
  <c r="J107" s="1"/>
  <c r="I111"/>
  <c r="J111" s="1"/>
  <c r="I115"/>
  <c r="J115" s="1"/>
  <c r="I119"/>
  <c r="J119" s="1"/>
  <c r="G122"/>
  <c r="B125" s="1"/>
  <c r="G151"/>
  <c r="J151" s="1"/>
  <c r="I105"/>
  <c r="I113"/>
  <c r="J113" s="1"/>
  <c r="I108"/>
  <c r="J108" s="1"/>
  <c r="I112"/>
  <c r="J112" s="1"/>
  <c r="I116"/>
  <c r="J116" s="1"/>
  <c r="I120"/>
  <c r="J120" s="1"/>
  <c r="F122"/>
  <c r="I121"/>
  <c r="J121" s="1"/>
  <c r="E122"/>
  <c r="C125" s="1"/>
  <c r="I110"/>
  <c r="J110" s="1"/>
  <c r="I114"/>
  <c r="J114" s="1"/>
  <c r="I118"/>
  <c r="J118" s="1"/>
  <c r="K151" l="1"/>
  <c r="G124"/>
  <c r="K140"/>
  <c r="K134"/>
  <c r="K137"/>
  <c r="K148"/>
  <c r="D125"/>
  <c r="K136"/>
  <c r="K141"/>
  <c r="K138"/>
  <c r="K144"/>
  <c r="K145"/>
  <c r="K135"/>
  <c r="K142"/>
  <c r="K139"/>
  <c r="K143"/>
  <c r="I122"/>
  <c r="J105"/>
  <c r="J152"/>
  <c r="K133"/>
  <c r="K146"/>
  <c r="K150"/>
  <c r="C203"/>
  <c r="K152" l="1"/>
  <c r="E125"/>
  <c r="I123"/>
  <c r="G158"/>
  <c r="G159"/>
  <c r="G160"/>
  <c r="G161"/>
  <c r="G162"/>
  <c r="G163"/>
  <c r="G164"/>
  <c r="F168"/>
  <c r="F169"/>
  <c r="F170"/>
  <c r="F171"/>
  <c r="F172"/>
  <c r="F173"/>
  <c r="F167"/>
  <c r="F158"/>
  <c r="F159"/>
  <c r="F160"/>
  <c r="F161"/>
  <c r="F162"/>
  <c r="F163"/>
  <c r="H188" s="1"/>
  <c r="F164"/>
  <c r="E168"/>
  <c r="E169"/>
  <c r="E170"/>
  <c r="E171"/>
  <c r="E172"/>
  <c r="E173"/>
  <c r="E158"/>
  <c r="E159"/>
  <c r="E160"/>
  <c r="E161"/>
  <c r="E162"/>
  <c r="E163"/>
  <c r="I188" s="1"/>
  <c r="E164"/>
  <c r="E157"/>
  <c r="D168"/>
  <c r="D169"/>
  <c r="D170"/>
  <c r="D171"/>
  <c r="D172"/>
  <c r="D173"/>
  <c r="D159"/>
  <c r="D160"/>
  <c r="D161"/>
  <c r="D162"/>
  <c r="D163"/>
  <c r="E188" s="1"/>
  <c r="D164"/>
  <c r="D158"/>
  <c r="G203" s="1"/>
  <c r="L174"/>
  <c r="C188"/>
  <c r="A160"/>
  <c r="A161"/>
  <c r="A162"/>
  <c r="A163"/>
  <c r="A164"/>
  <c r="A165"/>
  <c r="A166"/>
  <c r="A167"/>
  <c r="A168"/>
  <c r="A169"/>
  <c r="A170"/>
  <c r="A171"/>
  <c r="A172"/>
  <c r="A173"/>
  <c r="I160" l="1"/>
  <c r="I163"/>
  <c r="J163" s="1"/>
  <c r="I161"/>
  <c r="I159"/>
  <c r="J159" s="1"/>
  <c r="I164"/>
  <c r="I162"/>
  <c r="I158"/>
  <c r="J188"/>
  <c r="K188" s="1"/>
  <c r="C202" l="1"/>
  <c r="C200"/>
  <c r="C198"/>
  <c r="C197"/>
  <c r="C196"/>
  <c r="C195"/>
  <c r="C194"/>
  <c r="C193"/>
  <c r="C192"/>
  <c r="C191"/>
  <c r="C190"/>
  <c r="C189"/>
  <c r="C187"/>
  <c r="C186"/>
  <c r="A186"/>
  <c r="C185"/>
  <c r="O174"/>
  <c r="N174"/>
  <c r="M174"/>
  <c r="H174"/>
  <c r="C174"/>
  <c r="A177" s="1"/>
  <c r="G173"/>
  <c r="I173" s="1"/>
  <c r="H198"/>
  <c r="I198"/>
  <c r="E198"/>
  <c r="G172"/>
  <c r="I172" s="1"/>
  <c r="H197"/>
  <c r="I197"/>
  <c r="E197"/>
  <c r="G171"/>
  <c r="I171" s="1"/>
  <c r="H196"/>
  <c r="I196"/>
  <c r="E196"/>
  <c r="G170"/>
  <c r="I170" s="1"/>
  <c r="H195"/>
  <c r="I195"/>
  <c r="E195"/>
  <c r="G169"/>
  <c r="I169" s="1"/>
  <c r="H194"/>
  <c r="I194"/>
  <c r="E194"/>
  <c r="G168"/>
  <c r="I168" s="1"/>
  <c r="H193"/>
  <c r="I193"/>
  <c r="E193"/>
  <c r="G167"/>
  <c r="H192"/>
  <c r="E167"/>
  <c r="I192" s="1"/>
  <c r="D167"/>
  <c r="E192" s="1"/>
  <c r="G166"/>
  <c r="F166"/>
  <c r="H191" s="1"/>
  <c r="E166"/>
  <c r="I191" s="1"/>
  <c r="D166"/>
  <c r="E191" s="1"/>
  <c r="G165"/>
  <c r="F165"/>
  <c r="H190" s="1"/>
  <c r="E165"/>
  <c r="I190" s="1"/>
  <c r="D165"/>
  <c r="E190" s="1"/>
  <c r="H189"/>
  <c r="I189"/>
  <c r="E189"/>
  <c r="H187"/>
  <c r="I187"/>
  <c r="E187"/>
  <c r="H186"/>
  <c r="I186"/>
  <c r="E186"/>
  <c r="H185"/>
  <c r="I185"/>
  <c r="E185"/>
  <c r="H200"/>
  <c r="I200"/>
  <c r="E200"/>
  <c r="A159"/>
  <c r="D203"/>
  <c r="H203"/>
  <c r="I203"/>
  <c r="A158"/>
  <c r="G157"/>
  <c r="F157"/>
  <c r="H202" s="1"/>
  <c r="D157"/>
  <c r="A157"/>
  <c r="J203" l="1"/>
  <c r="K203" s="1"/>
  <c r="A187"/>
  <c r="A188" s="1"/>
  <c r="A189" s="1"/>
  <c r="A190" s="1"/>
  <c r="A191" s="1"/>
  <c r="A192" s="1"/>
  <c r="A193" s="1"/>
  <c r="A194" s="1"/>
  <c r="A195" s="1"/>
  <c r="A196" s="1"/>
  <c r="A197" s="1"/>
  <c r="A198" s="1"/>
  <c r="A200" s="1"/>
  <c r="A202" s="1"/>
  <c r="A203" s="1"/>
  <c r="D174"/>
  <c r="J195"/>
  <c r="J197"/>
  <c r="J189"/>
  <c r="J191"/>
  <c r="J193"/>
  <c r="I157"/>
  <c r="J157" s="1"/>
  <c r="C204"/>
  <c r="J158"/>
  <c r="J185"/>
  <c r="J160"/>
  <c r="J187"/>
  <c r="J162"/>
  <c r="J190"/>
  <c r="I165"/>
  <c r="J165" s="1"/>
  <c r="J192"/>
  <c r="I167"/>
  <c r="J167" s="1"/>
  <c r="J194"/>
  <c r="J169"/>
  <c r="F174"/>
  <c r="G176" s="1"/>
  <c r="J186"/>
  <c r="E174"/>
  <c r="C177" s="1"/>
  <c r="I202"/>
  <c r="I204" s="1"/>
  <c r="G174"/>
  <c r="B177" s="1"/>
  <c r="D202"/>
  <c r="J170"/>
  <c r="J171"/>
  <c r="J196"/>
  <c r="J172"/>
  <c r="J173"/>
  <c r="J198"/>
  <c r="J200"/>
  <c r="J161"/>
  <c r="J164"/>
  <c r="I166"/>
  <c r="J166" s="1"/>
  <c r="J168"/>
  <c r="D177" l="1"/>
  <c r="K196"/>
  <c r="J202"/>
  <c r="K202" s="1"/>
  <c r="K191"/>
  <c r="I174"/>
  <c r="K195"/>
  <c r="K200"/>
  <c r="K198"/>
  <c r="K186"/>
  <c r="K194"/>
  <c r="K192"/>
  <c r="K190"/>
  <c r="K187"/>
  <c r="K185"/>
  <c r="K193"/>
  <c r="K189"/>
  <c r="K197"/>
  <c r="J204" l="1"/>
  <c r="K204" s="1"/>
  <c r="E177"/>
  <c r="I175"/>
  <c r="C251"/>
  <c r="C244"/>
  <c r="C245"/>
  <c r="C246"/>
  <c r="C247"/>
  <c r="C248"/>
  <c r="C249"/>
  <c r="N226"/>
  <c r="G220"/>
  <c r="G221"/>
  <c r="G222"/>
  <c r="G223"/>
  <c r="G224"/>
  <c r="G225"/>
  <c r="F220"/>
  <c r="H244" s="1"/>
  <c r="F221"/>
  <c r="H245" s="1"/>
  <c r="F222"/>
  <c r="H246" s="1"/>
  <c r="F223"/>
  <c r="H247" s="1"/>
  <c r="F224"/>
  <c r="H248" s="1"/>
  <c r="F225"/>
  <c r="H249" s="1"/>
  <c r="E220"/>
  <c r="E221"/>
  <c r="E222"/>
  <c r="I246" s="1"/>
  <c r="E223"/>
  <c r="E224"/>
  <c r="E225"/>
  <c r="D220"/>
  <c r="E244" s="1"/>
  <c r="D221"/>
  <c r="E245" s="1"/>
  <c r="D222"/>
  <c r="E246" s="1"/>
  <c r="D223"/>
  <c r="E247" s="1"/>
  <c r="D224"/>
  <c r="E248" s="1"/>
  <c r="D225"/>
  <c r="E249" s="1"/>
  <c r="I222" l="1"/>
  <c r="J222" s="1"/>
  <c r="J246"/>
  <c r="K246" l="1"/>
  <c r="C254" l="1"/>
  <c r="C253"/>
  <c r="I245"/>
  <c r="C243"/>
  <c r="C242"/>
  <c r="C241"/>
  <c r="C240"/>
  <c r="C239"/>
  <c r="C238"/>
  <c r="A238"/>
  <c r="A239" s="1"/>
  <c r="A240" s="1"/>
  <c r="A241" s="1"/>
  <c r="A242" s="1"/>
  <c r="A243" s="1"/>
  <c r="C237"/>
  <c r="O226"/>
  <c r="M226"/>
  <c r="L226"/>
  <c r="H226"/>
  <c r="C226"/>
  <c r="A229" s="1"/>
  <c r="I249"/>
  <c r="A225"/>
  <c r="I248"/>
  <c r="I224"/>
  <c r="J224" s="1"/>
  <c r="A224"/>
  <c r="I247"/>
  <c r="A223"/>
  <c r="A221"/>
  <c r="I244"/>
  <c r="A220"/>
  <c r="G219"/>
  <c r="F219"/>
  <c r="H243" s="1"/>
  <c r="E219"/>
  <c r="I243" s="1"/>
  <c r="D219"/>
  <c r="E243" s="1"/>
  <c r="A219"/>
  <c r="G218"/>
  <c r="F218"/>
  <c r="H242" s="1"/>
  <c r="E218"/>
  <c r="I242" s="1"/>
  <c r="D218"/>
  <c r="E242" s="1"/>
  <c r="A218"/>
  <c r="G217"/>
  <c r="F217"/>
  <c r="H241" s="1"/>
  <c r="E217"/>
  <c r="I241" s="1"/>
  <c r="D217"/>
  <c r="E241" s="1"/>
  <c r="A217"/>
  <c r="G216"/>
  <c r="F216"/>
  <c r="H240" s="1"/>
  <c r="E216"/>
  <c r="I240" s="1"/>
  <c r="D216"/>
  <c r="E240" s="1"/>
  <c r="A216"/>
  <c r="G215"/>
  <c r="F215"/>
  <c r="H239" s="1"/>
  <c r="E215"/>
  <c r="I239" s="1"/>
  <c r="D215"/>
  <c r="A215"/>
  <c r="G214"/>
  <c r="F214"/>
  <c r="H238" s="1"/>
  <c r="E214"/>
  <c r="I238" s="1"/>
  <c r="D214"/>
  <c r="E238" s="1"/>
  <c r="A214"/>
  <c r="G213"/>
  <c r="F213"/>
  <c r="H237" s="1"/>
  <c r="E213"/>
  <c r="I237" s="1"/>
  <c r="D213"/>
  <c r="E237" s="1"/>
  <c r="A213"/>
  <c r="G212"/>
  <c r="F212"/>
  <c r="H251" s="1"/>
  <c r="E212"/>
  <c r="I251" s="1"/>
  <c r="D212"/>
  <c r="E251" s="1"/>
  <c r="A212"/>
  <c r="G211"/>
  <c r="D254" s="1"/>
  <c r="F211"/>
  <c r="H254" s="1"/>
  <c r="E211"/>
  <c r="I254" s="1"/>
  <c r="D211"/>
  <c r="A211"/>
  <c r="G210"/>
  <c r="D253" s="1"/>
  <c r="F210"/>
  <c r="H253" s="1"/>
  <c r="E210"/>
  <c r="I253" s="1"/>
  <c r="D210"/>
  <c r="A210"/>
  <c r="A244" l="1"/>
  <c r="A245" s="1"/>
  <c r="A246" s="1"/>
  <c r="A247" s="1"/>
  <c r="A248" s="1"/>
  <c r="A249" s="1"/>
  <c r="A251" s="1"/>
  <c r="A253" s="1"/>
  <c r="A254" s="1"/>
  <c r="I211"/>
  <c r="J211" s="1"/>
  <c r="I210"/>
  <c r="I215"/>
  <c r="J215" s="1"/>
  <c r="J243"/>
  <c r="C255"/>
  <c r="J254"/>
  <c r="J240"/>
  <c r="J253"/>
  <c r="J238"/>
  <c r="J242"/>
  <c r="J247"/>
  <c r="I255"/>
  <c r="J249"/>
  <c r="J237"/>
  <c r="J241"/>
  <c r="J245"/>
  <c r="J244"/>
  <c r="J210"/>
  <c r="J251"/>
  <c r="I219"/>
  <c r="J219" s="1"/>
  <c r="F226"/>
  <c r="E239"/>
  <c r="J239" s="1"/>
  <c r="J248"/>
  <c r="K248" s="1"/>
  <c r="I212"/>
  <c r="J212" s="1"/>
  <c r="I216"/>
  <c r="J216" s="1"/>
  <c r="I220"/>
  <c r="J220" s="1"/>
  <c r="I225"/>
  <c r="J225" s="1"/>
  <c r="E226"/>
  <c r="C229" s="1"/>
  <c r="I213"/>
  <c r="J213" s="1"/>
  <c r="I217"/>
  <c r="J217" s="1"/>
  <c r="I221"/>
  <c r="J221" s="1"/>
  <c r="D226"/>
  <c r="I214"/>
  <c r="J214" s="1"/>
  <c r="I218"/>
  <c r="J218" s="1"/>
  <c r="I223"/>
  <c r="J223" s="1"/>
  <c r="G226"/>
  <c r="B229" s="1"/>
  <c r="D229" l="1"/>
  <c r="K244"/>
  <c r="K254"/>
  <c r="K239"/>
  <c r="K253"/>
  <c r="K251"/>
  <c r="K249"/>
  <c r="K247"/>
  <c r="K237"/>
  <c r="J255"/>
  <c r="K240"/>
  <c r="I226"/>
  <c r="K241"/>
  <c r="K243"/>
  <c r="K238"/>
  <c r="G228"/>
  <c r="K245"/>
  <c r="K242"/>
  <c r="K255" l="1"/>
  <c r="I227"/>
  <c r="E229"/>
  <c r="J226"/>
  <c r="J227"/>
  <c r="N276" l="1"/>
  <c r="C303" l="1"/>
  <c r="C302"/>
  <c r="C300"/>
  <c r="C298"/>
  <c r="C297"/>
  <c r="C296"/>
  <c r="C295"/>
  <c r="C294"/>
  <c r="C293"/>
  <c r="C292"/>
  <c r="C291"/>
  <c r="C290"/>
  <c r="C289"/>
  <c r="C288"/>
  <c r="A288"/>
  <c r="A289" s="1"/>
  <c r="A290" s="1"/>
  <c r="A291" s="1"/>
  <c r="A292" s="1"/>
  <c r="A293" s="1"/>
  <c r="A294" s="1"/>
  <c r="A295" s="1"/>
  <c r="A296" s="1"/>
  <c r="A297" s="1"/>
  <c r="A298" s="1"/>
  <c r="A300" s="1"/>
  <c r="A302" s="1"/>
  <c r="A303" s="1"/>
  <c r="C287"/>
  <c r="O276"/>
  <c r="M276"/>
  <c r="L276"/>
  <c r="H276"/>
  <c r="C276"/>
  <c r="A279" s="1"/>
  <c r="G275"/>
  <c r="F275"/>
  <c r="H298" s="1"/>
  <c r="E275"/>
  <c r="I298" s="1"/>
  <c r="D275"/>
  <c r="E298" s="1"/>
  <c r="A275"/>
  <c r="G274"/>
  <c r="F274"/>
  <c r="H297" s="1"/>
  <c r="E274"/>
  <c r="I297" s="1"/>
  <c r="D274"/>
  <c r="E297" s="1"/>
  <c r="A274"/>
  <c r="G273"/>
  <c r="F273"/>
  <c r="H296" s="1"/>
  <c r="E273"/>
  <c r="I296" s="1"/>
  <c r="D273"/>
  <c r="E296" s="1"/>
  <c r="A273"/>
  <c r="G272"/>
  <c r="F272"/>
  <c r="H295" s="1"/>
  <c r="E272"/>
  <c r="I295" s="1"/>
  <c r="D272"/>
  <c r="E295" s="1"/>
  <c r="A272"/>
  <c r="G271"/>
  <c r="F271"/>
  <c r="H294" s="1"/>
  <c r="E271"/>
  <c r="I294" s="1"/>
  <c r="D271"/>
  <c r="E294" s="1"/>
  <c r="A271"/>
  <c r="G270"/>
  <c r="F270"/>
  <c r="H293" s="1"/>
  <c r="E270"/>
  <c r="I293" s="1"/>
  <c r="D270"/>
  <c r="E293" s="1"/>
  <c r="A270"/>
  <c r="G269"/>
  <c r="F269"/>
  <c r="H292" s="1"/>
  <c r="E269"/>
  <c r="I292" s="1"/>
  <c r="D269"/>
  <c r="E292" s="1"/>
  <c r="A269"/>
  <c r="G268"/>
  <c r="F268"/>
  <c r="H291" s="1"/>
  <c r="E268"/>
  <c r="I291" s="1"/>
  <c r="D268"/>
  <c r="E291" s="1"/>
  <c r="A268"/>
  <c r="G267"/>
  <c r="F267"/>
  <c r="H290" s="1"/>
  <c r="E267"/>
  <c r="I290" s="1"/>
  <c r="D267"/>
  <c r="E290" s="1"/>
  <c r="A267"/>
  <c r="G266"/>
  <c r="F266"/>
  <c r="H289" s="1"/>
  <c r="E266"/>
  <c r="I289" s="1"/>
  <c r="D266"/>
  <c r="E289" s="1"/>
  <c r="A266"/>
  <c r="G265"/>
  <c r="F265"/>
  <c r="H288" s="1"/>
  <c r="E265"/>
  <c r="I288" s="1"/>
  <c r="D265"/>
  <c r="E288" s="1"/>
  <c r="A265"/>
  <c r="G264"/>
  <c r="F264"/>
  <c r="H287" s="1"/>
  <c r="E264"/>
  <c r="I287" s="1"/>
  <c r="D264"/>
  <c r="E287" s="1"/>
  <c r="A264"/>
  <c r="G263"/>
  <c r="F263"/>
  <c r="H300" s="1"/>
  <c r="E263"/>
  <c r="I300" s="1"/>
  <c r="D263"/>
  <c r="E300" s="1"/>
  <c r="A263"/>
  <c r="G262"/>
  <c r="D303" s="1"/>
  <c r="F262"/>
  <c r="H303" s="1"/>
  <c r="E262"/>
  <c r="I303" s="1"/>
  <c r="D262"/>
  <c r="A262"/>
  <c r="G261"/>
  <c r="D302" s="1"/>
  <c r="F261"/>
  <c r="H302" s="1"/>
  <c r="E261"/>
  <c r="I302" s="1"/>
  <c r="D261"/>
  <c r="A261"/>
  <c r="M324"/>
  <c r="J291" l="1"/>
  <c r="J288"/>
  <c r="J295"/>
  <c r="J287"/>
  <c r="J302"/>
  <c r="I262"/>
  <c r="J262" s="1"/>
  <c r="D276"/>
  <c r="C304"/>
  <c r="J303"/>
  <c r="J289"/>
  <c r="J293"/>
  <c r="J297"/>
  <c r="J292"/>
  <c r="J296"/>
  <c r="J300"/>
  <c r="I304"/>
  <c r="J290"/>
  <c r="J294"/>
  <c r="J298"/>
  <c r="I264"/>
  <c r="J264" s="1"/>
  <c r="I261"/>
  <c r="I266"/>
  <c r="J266" s="1"/>
  <c r="I270"/>
  <c r="J270" s="1"/>
  <c r="I274"/>
  <c r="J274" s="1"/>
  <c r="F276"/>
  <c r="I268"/>
  <c r="J268" s="1"/>
  <c r="I272"/>
  <c r="J272" s="1"/>
  <c r="I265"/>
  <c r="J265" s="1"/>
  <c r="I263"/>
  <c r="J263" s="1"/>
  <c r="I267"/>
  <c r="J267" s="1"/>
  <c r="I271"/>
  <c r="J271" s="1"/>
  <c r="I275"/>
  <c r="J275" s="1"/>
  <c r="E276"/>
  <c r="C279" s="1"/>
  <c r="I269"/>
  <c r="J269" s="1"/>
  <c r="I273"/>
  <c r="J273" s="1"/>
  <c r="G276"/>
  <c r="B279" s="1"/>
  <c r="K291" l="1"/>
  <c r="D279"/>
  <c r="G278"/>
  <c r="K293"/>
  <c r="K302"/>
  <c r="K290"/>
  <c r="K297"/>
  <c r="K294"/>
  <c r="K295"/>
  <c r="K288"/>
  <c r="K303"/>
  <c r="K289"/>
  <c r="K287"/>
  <c r="J304"/>
  <c r="I276"/>
  <c r="J261"/>
  <c r="K292"/>
  <c r="K298"/>
  <c r="K300"/>
  <c r="K296"/>
  <c r="K304" l="1"/>
  <c r="I277"/>
  <c r="E279"/>
  <c r="J276"/>
  <c r="J277"/>
  <c r="C351" l="1"/>
  <c r="C350"/>
  <c r="C348"/>
  <c r="C346"/>
  <c r="C345"/>
  <c r="C344"/>
  <c r="C343"/>
  <c r="C342"/>
  <c r="C341"/>
  <c r="C340"/>
  <c r="C339"/>
  <c r="C338"/>
  <c r="C337"/>
  <c r="C336"/>
  <c r="A336"/>
  <c r="A337" s="1"/>
  <c r="A338" s="1"/>
  <c r="A339" s="1"/>
  <c r="A340" s="1"/>
  <c r="A341" s="1"/>
  <c r="A342" s="1"/>
  <c r="A343" s="1"/>
  <c r="A344" s="1"/>
  <c r="A345" s="1"/>
  <c r="A346" s="1"/>
  <c r="A348" s="1"/>
  <c r="A350" s="1"/>
  <c r="A351" s="1"/>
  <c r="C335"/>
  <c r="O324"/>
  <c r="N324"/>
  <c r="L324"/>
  <c r="H324"/>
  <c r="C324"/>
  <c r="A327" s="1"/>
  <c r="G323"/>
  <c r="F323"/>
  <c r="H346" s="1"/>
  <c r="E323"/>
  <c r="I346" s="1"/>
  <c r="D323"/>
  <c r="E346" s="1"/>
  <c r="A323"/>
  <c r="G322"/>
  <c r="F322"/>
  <c r="H345" s="1"/>
  <c r="E322"/>
  <c r="I345" s="1"/>
  <c r="D322"/>
  <c r="E345" s="1"/>
  <c r="A322"/>
  <c r="G321"/>
  <c r="F321"/>
  <c r="H344" s="1"/>
  <c r="E321"/>
  <c r="I344" s="1"/>
  <c r="D321"/>
  <c r="E344" s="1"/>
  <c r="A321"/>
  <c r="G320"/>
  <c r="F320"/>
  <c r="H343" s="1"/>
  <c r="E320"/>
  <c r="I343" s="1"/>
  <c r="D320"/>
  <c r="E343" s="1"/>
  <c r="A320"/>
  <c r="G319"/>
  <c r="F319"/>
  <c r="H342" s="1"/>
  <c r="E319"/>
  <c r="I342" s="1"/>
  <c r="D319"/>
  <c r="E342" s="1"/>
  <c r="A319"/>
  <c r="G318"/>
  <c r="F318"/>
  <c r="H341" s="1"/>
  <c r="E318"/>
  <c r="I341" s="1"/>
  <c r="D318"/>
  <c r="E341" s="1"/>
  <c r="A318"/>
  <c r="G317"/>
  <c r="F317"/>
  <c r="H340" s="1"/>
  <c r="E317"/>
  <c r="I340" s="1"/>
  <c r="D317"/>
  <c r="E340" s="1"/>
  <c r="A317"/>
  <c r="G316"/>
  <c r="F316"/>
  <c r="H339" s="1"/>
  <c r="E316"/>
  <c r="I339" s="1"/>
  <c r="D316"/>
  <c r="E339" s="1"/>
  <c r="A316"/>
  <c r="G315"/>
  <c r="F315"/>
  <c r="H338" s="1"/>
  <c r="E315"/>
  <c r="I338" s="1"/>
  <c r="D315"/>
  <c r="E338" s="1"/>
  <c r="A315"/>
  <c r="G314"/>
  <c r="F314"/>
  <c r="H337" s="1"/>
  <c r="E314"/>
  <c r="I337" s="1"/>
  <c r="D314"/>
  <c r="E337" s="1"/>
  <c r="A314"/>
  <c r="G313"/>
  <c r="F313"/>
  <c r="H336" s="1"/>
  <c r="E313"/>
  <c r="I336" s="1"/>
  <c r="D313"/>
  <c r="E336" s="1"/>
  <c r="A313"/>
  <c r="G312"/>
  <c r="F312"/>
  <c r="E312"/>
  <c r="I335" s="1"/>
  <c r="D312"/>
  <c r="E335" s="1"/>
  <c r="A312"/>
  <c r="G311"/>
  <c r="F311"/>
  <c r="H348" s="1"/>
  <c r="E311"/>
  <c r="I348" s="1"/>
  <c r="D311"/>
  <c r="E348" s="1"/>
  <c r="A311"/>
  <c r="G310"/>
  <c r="D351" s="1"/>
  <c r="F310"/>
  <c r="H351" s="1"/>
  <c r="E310"/>
  <c r="I351" s="1"/>
  <c r="D310"/>
  <c r="A310"/>
  <c r="G309"/>
  <c r="D350" s="1"/>
  <c r="F309"/>
  <c r="H350" s="1"/>
  <c r="E309"/>
  <c r="I350" s="1"/>
  <c r="D309"/>
  <c r="A309"/>
  <c r="A357"/>
  <c r="D357"/>
  <c r="E357"/>
  <c r="F357"/>
  <c r="G357"/>
  <c r="A358"/>
  <c r="D358"/>
  <c r="E358"/>
  <c r="F358"/>
  <c r="G358"/>
  <c r="A359"/>
  <c r="D359"/>
  <c r="E359"/>
  <c r="F359"/>
  <c r="G359"/>
  <c r="A360"/>
  <c r="D360"/>
  <c r="E360"/>
  <c r="F360"/>
  <c r="G360"/>
  <c r="A361"/>
  <c r="D361"/>
  <c r="E361"/>
  <c r="F361"/>
  <c r="G361"/>
  <c r="A362"/>
  <c r="D362"/>
  <c r="E362"/>
  <c r="F362"/>
  <c r="G362"/>
  <c r="A363"/>
  <c r="D363"/>
  <c r="E363"/>
  <c r="F363"/>
  <c r="G363"/>
  <c r="A364"/>
  <c r="D364"/>
  <c r="E364"/>
  <c r="F364"/>
  <c r="G364"/>
  <c r="A365"/>
  <c r="D365"/>
  <c r="E365"/>
  <c r="F365"/>
  <c r="G365"/>
  <c r="A366"/>
  <c r="D366"/>
  <c r="E366"/>
  <c r="F366"/>
  <c r="G366"/>
  <c r="A367"/>
  <c r="D367"/>
  <c r="E367"/>
  <c r="F367"/>
  <c r="G367"/>
  <c r="I366" l="1"/>
  <c r="J366" s="1"/>
  <c r="I364"/>
  <c r="J364" s="1"/>
  <c r="I362"/>
  <c r="J362" s="1"/>
  <c r="J345"/>
  <c r="I361"/>
  <c r="J361" s="1"/>
  <c r="I359"/>
  <c r="J359" s="1"/>
  <c r="I365"/>
  <c r="J365" s="1"/>
  <c r="I363"/>
  <c r="J363" s="1"/>
  <c r="I310"/>
  <c r="J310" s="1"/>
  <c r="F324"/>
  <c r="C352"/>
  <c r="I367"/>
  <c r="J367" s="1"/>
  <c r="I360"/>
  <c r="J360" s="1"/>
  <c r="I358"/>
  <c r="J358" s="1"/>
  <c r="I357"/>
  <c r="J357" s="1"/>
  <c r="I309"/>
  <c r="J309" s="1"/>
  <c r="J341"/>
  <c r="J346"/>
  <c r="J344"/>
  <c r="I352"/>
  <c r="J338"/>
  <c r="J340"/>
  <c r="J351"/>
  <c r="J343"/>
  <c r="J337"/>
  <c r="J350"/>
  <c r="J336"/>
  <c r="J339"/>
  <c r="J342"/>
  <c r="J348"/>
  <c r="I314"/>
  <c r="J314" s="1"/>
  <c r="I318"/>
  <c r="J318" s="1"/>
  <c r="I311"/>
  <c r="J311" s="1"/>
  <c r="I315"/>
  <c r="J315" s="1"/>
  <c r="I319"/>
  <c r="J319" s="1"/>
  <c r="I323"/>
  <c r="J323" s="1"/>
  <c r="E324"/>
  <c r="C327" s="1"/>
  <c r="H335"/>
  <c r="J335" s="1"/>
  <c r="I322"/>
  <c r="J322" s="1"/>
  <c r="I312"/>
  <c r="J312" s="1"/>
  <c r="I316"/>
  <c r="J316" s="1"/>
  <c r="I320"/>
  <c r="J320" s="1"/>
  <c r="D324"/>
  <c r="I313"/>
  <c r="J313" s="1"/>
  <c r="I317"/>
  <c r="J317" s="1"/>
  <c r="I321"/>
  <c r="J321" s="1"/>
  <c r="G324"/>
  <c r="B327" s="1"/>
  <c r="G326" l="1"/>
  <c r="D327"/>
  <c r="K350"/>
  <c r="K351"/>
  <c r="K339"/>
  <c r="K348"/>
  <c r="K335"/>
  <c r="J352"/>
  <c r="I324"/>
  <c r="K343"/>
  <c r="K338"/>
  <c r="K341"/>
  <c r="K342"/>
  <c r="K337"/>
  <c r="K340"/>
  <c r="K346"/>
  <c r="K344"/>
  <c r="K336"/>
  <c r="K345"/>
  <c r="I325" l="1"/>
  <c r="E327"/>
  <c r="J324"/>
  <c r="J325"/>
  <c r="K352"/>
  <c r="C399" l="1"/>
  <c r="C398"/>
  <c r="C396"/>
  <c r="C394"/>
  <c r="C393"/>
  <c r="C392"/>
  <c r="C391"/>
  <c r="C390"/>
  <c r="C389"/>
  <c r="C388"/>
  <c r="C387"/>
  <c r="C386"/>
  <c r="C385"/>
  <c r="C384"/>
  <c r="A384"/>
  <c r="A385" s="1"/>
  <c r="A386" s="1"/>
  <c r="A387" s="1"/>
  <c r="A388" s="1"/>
  <c r="A389" s="1"/>
  <c r="A390" s="1"/>
  <c r="A391" s="1"/>
  <c r="C383"/>
  <c r="O372"/>
  <c r="N372"/>
  <c r="M372"/>
  <c r="L372"/>
  <c r="H372"/>
  <c r="C372"/>
  <c r="A375" s="1"/>
  <c r="G371"/>
  <c r="F371"/>
  <c r="H394" s="1"/>
  <c r="E371"/>
  <c r="I394" s="1"/>
  <c r="D371"/>
  <c r="E394" s="1"/>
  <c r="A371"/>
  <c r="G370"/>
  <c r="F370"/>
  <c r="H393" s="1"/>
  <c r="E370"/>
  <c r="I393" s="1"/>
  <c r="D370"/>
  <c r="E393" s="1"/>
  <c r="A370"/>
  <c r="G369"/>
  <c r="F369"/>
  <c r="H392" s="1"/>
  <c r="E369"/>
  <c r="I392" s="1"/>
  <c r="D369"/>
  <c r="A369"/>
  <c r="G368"/>
  <c r="F368"/>
  <c r="H391" s="1"/>
  <c r="E368"/>
  <c r="I391" s="1"/>
  <c r="D368"/>
  <c r="E391" s="1"/>
  <c r="A368"/>
  <c r="H390"/>
  <c r="I390"/>
  <c r="E390"/>
  <c r="H389"/>
  <c r="I389"/>
  <c r="E389"/>
  <c r="H388"/>
  <c r="I388"/>
  <c r="E388"/>
  <c r="H387"/>
  <c r="I387"/>
  <c r="E387"/>
  <c r="H386"/>
  <c r="I386"/>
  <c r="E386"/>
  <c r="H385"/>
  <c r="I385"/>
  <c r="E385"/>
  <c r="H384"/>
  <c r="I384"/>
  <c r="E384"/>
  <c r="H383"/>
  <c r="I383"/>
  <c r="H396"/>
  <c r="E396"/>
  <c r="D399"/>
  <c r="H399"/>
  <c r="I399"/>
  <c r="D398"/>
  <c r="I398"/>
  <c r="I396" l="1"/>
  <c r="J396" s="1"/>
  <c r="A392"/>
  <c r="A393" s="1"/>
  <c r="A394" s="1"/>
  <c r="A396" s="1"/>
  <c r="A398" s="1"/>
  <c r="A399" s="1"/>
  <c r="C400"/>
  <c r="J388"/>
  <c r="F372"/>
  <c r="J384"/>
  <c r="I369"/>
  <c r="J369" s="1"/>
  <c r="I370"/>
  <c r="J370" s="1"/>
  <c r="E392"/>
  <c r="J392" s="1"/>
  <c r="J386"/>
  <c r="J390"/>
  <c r="J399"/>
  <c r="J385"/>
  <c r="J389"/>
  <c r="J393"/>
  <c r="J387"/>
  <c r="J391"/>
  <c r="J394"/>
  <c r="I371"/>
  <c r="J371" s="1"/>
  <c r="E372"/>
  <c r="C375" s="1"/>
  <c r="D372"/>
  <c r="E383"/>
  <c r="J383" s="1"/>
  <c r="I368"/>
  <c r="J368" s="1"/>
  <c r="G372"/>
  <c r="B375" s="1"/>
  <c r="H398"/>
  <c r="J398" s="1"/>
  <c r="C579"/>
  <c r="C580"/>
  <c r="C581"/>
  <c r="C582"/>
  <c r="C583"/>
  <c r="C578"/>
  <c r="C577"/>
  <c r="C573"/>
  <c r="C624"/>
  <c r="C625"/>
  <c r="C626"/>
  <c r="C627"/>
  <c r="C628"/>
  <c r="C620"/>
  <c r="C439"/>
  <c r="C440"/>
  <c r="C441"/>
  <c r="C442"/>
  <c r="C443"/>
  <c r="C444"/>
  <c r="C433"/>
  <c r="C434"/>
  <c r="C435"/>
  <c r="E416"/>
  <c r="I440" s="1"/>
  <c r="E409"/>
  <c r="I433" s="1"/>
  <c r="G409"/>
  <c r="F416"/>
  <c r="H440" s="1"/>
  <c r="F409"/>
  <c r="H433" s="1"/>
  <c r="D416"/>
  <c r="E440" s="1"/>
  <c r="A416"/>
  <c r="D409"/>
  <c r="E433" s="1"/>
  <c r="A409"/>
  <c r="K392" l="1"/>
  <c r="I400"/>
  <c r="G374"/>
  <c r="K399"/>
  <c r="K398"/>
  <c r="J433"/>
  <c r="I409"/>
  <c r="J409" s="1"/>
  <c r="K385"/>
  <c r="K391"/>
  <c r="D375"/>
  <c r="K393"/>
  <c r="J400"/>
  <c r="K383"/>
  <c r="K388"/>
  <c r="I372"/>
  <c r="K394"/>
  <c r="K389"/>
  <c r="K386"/>
  <c r="K387"/>
  <c r="K390"/>
  <c r="K384"/>
  <c r="K396"/>
  <c r="K433" l="1"/>
  <c r="E375"/>
  <c r="K400"/>
  <c r="J372"/>
  <c r="I373"/>
  <c r="J373"/>
  <c r="C449" l="1"/>
  <c r="C448"/>
  <c r="C446"/>
  <c r="C438"/>
  <c r="C437"/>
  <c r="C436"/>
  <c r="A433"/>
  <c r="C432"/>
  <c r="O421"/>
  <c r="N421"/>
  <c r="M421"/>
  <c r="L421"/>
  <c r="H421"/>
  <c r="C421"/>
  <c r="A424" s="1"/>
  <c r="G420"/>
  <c r="F420"/>
  <c r="H444" s="1"/>
  <c r="E420"/>
  <c r="I444" s="1"/>
  <c r="D420"/>
  <c r="E444" s="1"/>
  <c r="A420"/>
  <c r="G419"/>
  <c r="F419"/>
  <c r="H443" s="1"/>
  <c r="E419"/>
  <c r="I443" s="1"/>
  <c r="D419"/>
  <c r="E443" s="1"/>
  <c r="A419"/>
  <c r="G418"/>
  <c r="F418"/>
  <c r="H442" s="1"/>
  <c r="E418"/>
  <c r="I442" s="1"/>
  <c r="D418"/>
  <c r="E442" s="1"/>
  <c r="A418"/>
  <c r="G417"/>
  <c r="F417"/>
  <c r="H441" s="1"/>
  <c r="E417"/>
  <c r="I441" s="1"/>
  <c r="D417"/>
  <c r="E441" s="1"/>
  <c r="A417"/>
  <c r="G415"/>
  <c r="F415"/>
  <c r="H439" s="1"/>
  <c r="E415"/>
  <c r="I439" s="1"/>
  <c r="D415"/>
  <c r="E439" s="1"/>
  <c r="A415"/>
  <c r="G414"/>
  <c r="F414"/>
  <c r="H438" s="1"/>
  <c r="E414"/>
  <c r="I438" s="1"/>
  <c r="D414"/>
  <c r="E438" s="1"/>
  <c r="A414"/>
  <c r="G413"/>
  <c r="F413"/>
  <c r="H437" s="1"/>
  <c r="E413"/>
  <c r="I437" s="1"/>
  <c r="D413"/>
  <c r="E437" s="1"/>
  <c r="A413"/>
  <c r="G412"/>
  <c r="F412"/>
  <c r="H436" s="1"/>
  <c r="E412"/>
  <c r="I436" s="1"/>
  <c r="D412"/>
  <c r="A412"/>
  <c r="G411"/>
  <c r="F411"/>
  <c r="H435" s="1"/>
  <c r="E411"/>
  <c r="I435" s="1"/>
  <c r="D411"/>
  <c r="E435" s="1"/>
  <c r="A411"/>
  <c r="G410"/>
  <c r="F410"/>
  <c r="H434" s="1"/>
  <c r="E410"/>
  <c r="I434" s="1"/>
  <c r="D410"/>
  <c r="E434" s="1"/>
  <c r="A410"/>
  <c r="G408"/>
  <c r="F408"/>
  <c r="H432" s="1"/>
  <c r="E408"/>
  <c r="I432" s="1"/>
  <c r="D408"/>
  <c r="E432" s="1"/>
  <c r="A408"/>
  <c r="G407"/>
  <c r="F407"/>
  <c r="H446" s="1"/>
  <c r="E407"/>
  <c r="I446" s="1"/>
  <c r="D407"/>
  <c r="A407"/>
  <c r="G406"/>
  <c r="D449" s="1"/>
  <c r="F406"/>
  <c r="H449" s="1"/>
  <c r="E406"/>
  <c r="I449" s="1"/>
  <c r="D406"/>
  <c r="A406"/>
  <c r="G405"/>
  <c r="D448" s="1"/>
  <c r="F405"/>
  <c r="H448" s="1"/>
  <c r="E405"/>
  <c r="D405"/>
  <c r="A405"/>
  <c r="J434" l="1"/>
  <c r="J435"/>
  <c r="J443"/>
  <c r="A434"/>
  <c r="A435" s="1"/>
  <c r="A436" s="1"/>
  <c r="A437" s="1"/>
  <c r="A438" s="1"/>
  <c r="A439" s="1"/>
  <c r="A440" s="1"/>
  <c r="A441" s="1"/>
  <c r="A442" s="1"/>
  <c r="A443" s="1"/>
  <c r="A444" s="1"/>
  <c r="A446" s="1"/>
  <c r="A448" s="1"/>
  <c r="A449" s="1"/>
  <c r="C450"/>
  <c r="I418"/>
  <c r="J418" s="1"/>
  <c r="I407"/>
  <c r="J407" s="1"/>
  <c r="I417"/>
  <c r="J417" s="1"/>
  <c r="E421"/>
  <c r="C424" s="1"/>
  <c r="I406"/>
  <c r="J406" s="1"/>
  <c r="J432"/>
  <c r="I411"/>
  <c r="J411" s="1"/>
  <c r="I415"/>
  <c r="J415" s="1"/>
  <c r="I420"/>
  <c r="J420" s="1"/>
  <c r="J441"/>
  <c r="I412"/>
  <c r="J412" s="1"/>
  <c r="D421"/>
  <c r="I419"/>
  <c r="J419" s="1"/>
  <c r="J449"/>
  <c r="J438"/>
  <c r="J437"/>
  <c r="I405"/>
  <c r="I410"/>
  <c r="J410" s="1"/>
  <c r="I414"/>
  <c r="J414" s="1"/>
  <c r="I408"/>
  <c r="J408" s="1"/>
  <c r="I413"/>
  <c r="J413" s="1"/>
  <c r="G421"/>
  <c r="B424" s="1"/>
  <c r="J442"/>
  <c r="F421"/>
  <c r="J439"/>
  <c r="J444"/>
  <c r="I448"/>
  <c r="J448" s="1"/>
  <c r="E436"/>
  <c r="J436" s="1"/>
  <c r="J440"/>
  <c r="K440" s="1"/>
  <c r="E446"/>
  <c r="J446" s="1"/>
  <c r="K442" l="1"/>
  <c r="K437"/>
  <c r="K444"/>
  <c r="K448"/>
  <c r="K438"/>
  <c r="K434"/>
  <c r="I450"/>
  <c r="K443"/>
  <c r="K436"/>
  <c r="K441"/>
  <c r="K435"/>
  <c r="K439"/>
  <c r="K449"/>
  <c r="K446"/>
  <c r="G423"/>
  <c r="D424"/>
  <c r="J450"/>
  <c r="I421"/>
  <c r="J405"/>
  <c r="K432"/>
  <c r="E424" l="1"/>
  <c r="J421"/>
  <c r="I422"/>
  <c r="J422"/>
  <c r="K450"/>
  <c r="C495" l="1"/>
  <c r="C494"/>
  <c r="C492"/>
  <c r="C490"/>
  <c r="C489"/>
  <c r="C488"/>
  <c r="C487"/>
  <c r="C486"/>
  <c r="C485"/>
  <c r="C484"/>
  <c r="C483"/>
  <c r="C482"/>
  <c r="C481"/>
  <c r="A481"/>
  <c r="A482" s="1"/>
  <c r="A483" s="1"/>
  <c r="A484" s="1"/>
  <c r="A485" s="1"/>
  <c r="A486" s="1"/>
  <c r="A487" s="1"/>
  <c r="A488" s="1"/>
  <c r="A489" s="1"/>
  <c r="A490" s="1"/>
  <c r="A492" s="1"/>
  <c r="A494" s="1"/>
  <c r="A495" s="1"/>
  <c r="C480"/>
  <c r="O469"/>
  <c r="N469"/>
  <c r="M469"/>
  <c r="L469"/>
  <c r="H469"/>
  <c r="C469"/>
  <c r="A472" s="1"/>
  <c r="G468"/>
  <c r="F468"/>
  <c r="H490" s="1"/>
  <c r="E468"/>
  <c r="I490" s="1"/>
  <c r="D468"/>
  <c r="A468"/>
  <c r="G467"/>
  <c r="F467"/>
  <c r="H489" s="1"/>
  <c r="E467"/>
  <c r="I489" s="1"/>
  <c r="D467"/>
  <c r="A467"/>
  <c r="G466"/>
  <c r="F466"/>
  <c r="H488" s="1"/>
  <c r="E466"/>
  <c r="I488" s="1"/>
  <c r="D466"/>
  <c r="E488" s="1"/>
  <c r="A466"/>
  <c r="G465"/>
  <c r="F465"/>
  <c r="H487" s="1"/>
  <c r="E465"/>
  <c r="I487" s="1"/>
  <c r="D465"/>
  <c r="A465"/>
  <c r="G464"/>
  <c r="F464"/>
  <c r="H486" s="1"/>
  <c r="E464"/>
  <c r="I486" s="1"/>
  <c r="D464"/>
  <c r="A464"/>
  <c r="G463"/>
  <c r="F463"/>
  <c r="H485" s="1"/>
  <c r="E463"/>
  <c r="I485" s="1"/>
  <c r="D463"/>
  <c r="A463"/>
  <c r="G462"/>
  <c r="F462"/>
  <c r="H484" s="1"/>
  <c r="E462"/>
  <c r="I484" s="1"/>
  <c r="D462"/>
  <c r="E484" s="1"/>
  <c r="A462"/>
  <c r="G461"/>
  <c r="F461"/>
  <c r="H483" s="1"/>
  <c r="E461"/>
  <c r="I483" s="1"/>
  <c r="D461"/>
  <c r="A461"/>
  <c r="G460"/>
  <c r="F460"/>
  <c r="H482" s="1"/>
  <c r="E460"/>
  <c r="I482" s="1"/>
  <c r="D460"/>
  <c r="A460"/>
  <c r="G459"/>
  <c r="F459"/>
  <c r="H481" s="1"/>
  <c r="E459"/>
  <c r="I481" s="1"/>
  <c r="D459"/>
  <c r="A459"/>
  <c r="G458"/>
  <c r="F458"/>
  <c r="H480" s="1"/>
  <c r="E458"/>
  <c r="I480" s="1"/>
  <c r="D458"/>
  <c r="E480" s="1"/>
  <c r="A458"/>
  <c r="G457"/>
  <c r="F457"/>
  <c r="H492" s="1"/>
  <c r="E457"/>
  <c r="I492" s="1"/>
  <c r="D457"/>
  <c r="A457"/>
  <c r="G456"/>
  <c r="D495" s="1"/>
  <c r="F456"/>
  <c r="H495" s="1"/>
  <c r="E456"/>
  <c r="I495" s="1"/>
  <c r="D456"/>
  <c r="A456"/>
  <c r="G455"/>
  <c r="D494" s="1"/>
  <c r="F455"/>
  <c r="H494" s="1"/>
  <c r="E455"/>
  <c r="D455"/>
  <c r="A455"/>
  <c r="A501"/>
  <c r="D501"/>
  <c r="E501"/>
  <c r="I540" s="1"/>
  <c r="F501"/>
  <c r="H540" s="1"/>
  <c r="G501"/>
  <c r="D540" s="1"/>
  <c r="A502"/>
  <c r="D502"/>
  <c r="E502"/>
  <c r="I541" s="1"/>
  <c r="F502"/>
  <c r="H541" s="1"/>
  <c r="G502"/>
  <c r="A503"/>
  <c r="D503"/>
  <c r="E538" s="1"/>
  <c r="E503"/>
  <c r="F503"/>
  <c r="H538" s="1"/>
  <c r="G503"/>
  <c r="A504"/>
  <c r="D504"/>
  <c r="E504"/>
  <c r="I526" s="1"/>
  <c r="F504"/>
  <c r="H526" s="1"/>
  <c r="G504"/>
  <c r="A505"/>
  <c r="D505"/>
  <c r="E527" s="1"/>
  <c r="E505"/>
  <c r="F505"/>
  <c r="H527" s="1"/>
  <c r="G505"/>
  <c r="A506"/>
  <c r="D506"/>
  <c r="E528" s="1"/>
  <c r="E506"/>
  <c r="I528" s="1"/>
  <c r="F506"/>
  <c r="H528" s="1"/>
  <c r="G506"/>
  <c r="A507"/>
  <c r="D507"/>
  <c r="E529" s="1"/>
  <c r="E507"/>
  <c r="I529" s="1"/>
  <c r="F507"/>
  <c r="H529" s="1"/>
  <c r="G507"/>
  <c r="A508"/>
  <c r="D508"/>
  <c r="E530" s="1"/>
  <c r="E508"/>
  <c r="I530" s="1"/>
  <c r="F508"/>
  <c r="H530" s="1"/>
  <c r="G508"/>
  <c r="A509"/>
  <c r="D509"/>
  <c r="E531" s="1"/>
  <c r="E509"/>
  <c r="F509"/>
  <c r="H531" s="1"/>
  <c r="G509"/>
  <c r="A510"/>
  <c r="D510"/>
  <c r="E532" s="1"/>
  <c r="E510"/>
  <c r="I532" s="1"/>
  <c r="F510"/>
  <c r="H532" s="1"/>
  <c r="G510"/>
  <c r="A511"/>
  <c r="D511"/>
  <c r="E533" s="1"/>
  <c r="E511"/>
  <c r="I533" s="1"/>
  <c r="F511"/>
  <c r="H533" s="1"/>
  <c r="G511"/>
  <c r="A512"/>
  <c r="D512"/>
  <c r="E534" s="1"/>
  <c r="E512"/>
  <c r="I534" s="1"/>
  <c r="F512"/>
  <c r="H534" s="1"/>
  <c r="G512"/>
  <c r="A513"/>
  <c r="D513"/>
  <c r="E535" s="1"/>
  <c r="E513"/>
  <c r="F513"/>
  <c r="H535" s="1"/>
  <c r="G513"/>
  <c r="A514"/>
  <c r="D514"/>
  <c r="E536" s="1"/>
  <c r="E514"/>
  <c r="F514"/>
  <c r="H536" s="1"/>
  <c r="G514"/>
  <c r="C515"/>
  <c r="A518" s="1"/>
  <c r="H515"/>
  <c r="L515"/>
  <c r="M515"/>
  <c r="N515"/>
  <c r="O515"/>
  <c r="C526"/>
  <c r="A527"/>
  <c r="A528" s="1"/>
  <c r="A529" s="1"/>
  <c r="A530" s="1"/>
  <c r="A531" s="1"/>
  <c r="A532" s="1"/>
  <c r="A533" s="1"/>
  <c r="A534" s="1"/>
  <c r="A535" s="1"/>
  <c r="A536" s="1"/>
  <c r="A538" s="1"/>
  <c r="A540" s="1"/>
  <c r="A541" s="1"/>
  <c r="C527"/>
  <c r="C528"/>
  <c r="C529"/>
  <c r="C530"/>
  <c r="C531"/>
  <c r="C532"/>
  <c r="C533"/>
  <c r="C534"/>
  <c r="C535"/>
  <c r="C536"/>
  <c r="I536"/>
  <c r="C538"/>
  <c r="C540"/>
  <c r="C541"/>
  <c r="I502" l="1"/>
  <c r="J502" s="1"/>
  <c r="I468"/>
  <c r="J468" s="1"/>
  <c r="I513"/>
  <c r="J513" s="1"/>
  <c r="I508"/>
  <c r="J508" s="1"/>
  <c r="I509"/>
  <c r="J509" s="1"/>
  <c r="D541"/>
  <c r="J540"/>
  <c r="I504"/>
  <c r="J504" s="1"/>
  <c r="I503"/>
  <c r="J503" s="1"/>
  <c r="I464"/>
  <c r="J464" s="1"/>
  <c r="E469"/>
  <c r="C472" s="1"/>
  <c r="I456"/>
  <c r="J456" s="1"/>
  <c r="J495"/>
  <c r="I460"/>
  <c r="J460" s="1"/>
  <c r="I538"/>
  <c r="J538" s="1"/>
  <c r="J529"/>
  <c r="G515"/>
  <c r="B518" s="1"/>
  <c r="J530"/>
  <c r="I507"/>
  <c r="J507" s="1"/>
  <c r="F515"/>
  <c r="I501"/>
  <c r="D469"/>
  <c r="I459"/>
  <c r="J459" s="1"/>
  <c r="I463"/>
  <c r="J463" s="1"/>
  <c r="I467"/>
  <c r="J467" s="1"/>
  <c r="J536"/>
  <c r="I514"/>
  <c r="J514" s="1"/>
  <c r="J534"/>
  <c r="I511"/>
  <c r="J511" s="1"/>
  <c r="I510"/>
  <c r="J510" s="1"/>
  <c r="C496"/>
  <c r="J528"/>
  <c r="D515"/>
  <c r="J541"/>
  <c r="J533"/>
  <c r="J532"/>
  <c r="I505"/>
  <c r="J505" s="1"/>
  <c r="I457"/>
  <c r="J457" s="1"/>
  <c r="I461"/>
  <c r="J461" s="1"/>
  <c r="I465"/>
  <c r="J465" s="1"/>
  <c r="J484"/>
  <c r="J488"/>
  <c r="I458"/>
  <c r="J458" s="1"/>
  <c r="I462"/>
  <c r="J462" s="1"/>
  <c r="I466"/>
  <c r="J466" s="1"/>
  <c r="G469"/>
  <c r="B472" s="1"/>
  <c r="J480"/>
  <c r="E481"/>
  <c r="J481" s="1"/>
  <c r="E485"/>
  <c r="J485" s="1"/>
  <c r="E489"/>
  <c r="J489" s="1"/>
  <c r="I455"/>
  <c r="F469"/>
  <c r="E482"/>
  <c r="J482" s="1"/>
  <c r="E486"/>
  <c r="J486" s="1"/>
  <c r="E490"/>
  <c r="J490" s="1"/>
  <c r="K490" s="1"/>
  <c r="I494"/>
  <c r="J494" s="1"/>
  <c r="E483"/>
  <c r="J483" s="1"/>
  <c r="E487"/>
  <c r="J487" s="1"/>
  <c r="E492"/>
  <c r="J492" s="1"/>
  <c r="I535"/>
  <c r="J535" s="1"/>
  <c r="K535" s="1"/>
  <c r="I531"/>
  <c r="J531" s="1"/>
  <c r="I527"/>
  <c r="J527" s="1"/>
  <c r="E515"/>
  <c r="C518" s="1"/>
  <c r="I506"/>
  <c r="J506" s="1"/>
  <c r="I512"/>
  <c r="J512" s="1"/>
  <c r="E526"/>
  <c r="J526" s="1"/>
  <c r="K486" l="1"/>
  <c r="K526"/>
  <c r="K487"/>
  <c r="G517"/>
  <c r="K540"/>
  <c r="K495"/>
  <c r="D518"/>
  <c r="J501"/>
  <c r="K541"/>
  <c r="K489"/>
  <c r="K538"/>
  <c r="K531"/>
  <c r="K527"/>
  <c r="K483"/>
  <c r="K536"/>
  <c r="K530"/>
  <c r="K529"/>
  <c r="K482"/>
  <c r="D472"/>
  <c r="G471"/>
  <c r="K481"/>
  <c r="K492"/>
  <c r="K494"/>
  <c r="K485"/>
  <c r="K533"/>
  <c r="K532"/>
  <c r="I469"/>
  <c r="J455"/>
  <c r="I496"/>
  <c r="K480"/>
  <c r="J496"/>
  <c r="K484"/>
  <c r="K488"/>
  <c r="K534"/>
  <c r="I515"/>
  <c r="K528"/>
  <c r="C633"/>
  <c r="C632"/>
  <c r="C630"/>
  <c r="C623"/>
  <c r="C622"/>
  <c r="C621"/>
  <c r="A620"/>
  <c r="A621" s="1"/>
  <c r="A622" s="1"/>
  <c r="A623" s="1"/>
  <c r="A624" s="1"/>
  <c r="C619"/>
  <c r="O608"/>
  <c r="M608"/>
  <c r="L608"/>
  <c r="C608"/>
  <c r="A611" s="1"/>
  <c r="G607"/>
  <c r="F607"/>
  <c r="H628" s="1"/>
  <c r="E607"/>
  <c r="I628" s="1"/>
  <c r="D607"/>
  <c r="E628" s="1"/>
  <c r="A607"/>
  <c r="G606"/>
  <c r="F606"/>
  <c r="H627" s="1"/>
  <c r="E606"/>
  <c r="I627" s="1"/>
  <c r="D606"/>
  <c r="E627" s="1"/>
  <c r="A606"/>
  <c r="G605"/>
  <c r="F605"/>
  <c r="H626" s="1"/>
  <c r="E605"/>
  <c r="I626" s="1"/>
  <c r="D605"/>
  <c r="E626" s="1"/>
  <c r="A605"/>
  <c r="N604"/>
  <c r="N608" s="1"/>
  <c r="H604"/>
  <c r="G604"/>
  <c r="F604"/>
  <c r="H625" s="1"/>
  <c r="D604"/>
  <c r="E625" s="1"/>
  <c r="A604"/>
  <c r="H603"/>
  <c r="G603"/>
  <c r="F603"/>
  <c r="H624" s="1"/>
  <c r="E603"/>
  <c r="I624" s="1"/>
  <c r="D603"/>
  <c r="E624" s="1"/>
  <c r="A603"/>
  <c r="G602"/>
  <c r="F602"/>
  <c r="H623" s="1"/>
  <c r="E602"/>
  <c r="I623" s="1"/>
  <c r="D602"/>
  <c r="A602"/>
  <c r="G601"/>
  <c r="F601"/>
  <c r="H622" s="1"/>
  <c r="E601"/>
  <c r="I622" s="1"/>
  <c r="D601"/>
  <c r="E622" s="1"/>
  <c r="A601"/>
  <c r="G600"/>
  <c r="F600"/>
  <c r="H621" s="1"/>
  <c r="E600"/>
  <c r="I621" s="1"/>
  <c r="D600"/>
  <c r="A600"/>
  <c r="G599"/>
  <c r="F599"/>
  <c r="H620" s="1"/>
  <c r="E599"/>
  <c r="I620" s="1"/>
  <c r="D599"/>
  <c r="A599"/>
  <c r="G598"/>
  <c r="F598"/>
  <c r="H619" s="1"/>
  <c r="E598"/>
  <c r="I619" s="1"/>
  <c r="D598"/>
  <c r="A598"/>
  <c r="G597"/>
  <c r="F597"/>
  <c r="H630" s="1"/>
  <c r="E597"/>
  <c r="I630" s="1"/>
  <c r="D597"/>
  <c r="E630" s="1"/>
  <c r="A597"/>
  <c r="G596"/>
  <c r="D633" s="1"/>
  <c r="F596"/>
  <c r="H633" s="1"/>
  <c r="E596"/>
  <c r="I633" s="1"/>
  <c r="D596"/>
  <c r="A596"/>
  <c r="G595"/>
  <c r="D632" s="1"/>
  <c r="F595"/>
  <c r="H632" s="1"/>
  <c r="E595"/>
  <c r="D595"/>
  <c r="A595"/>
  <c r="C588"/>
  <c r="C587"/>
  <c r="C585"/>
  <c r="C576"/>
  <c r="C575"/>
  <c r="C574"/>
  <c r="A574"/>
  <c r="A575" s="1"/>
  <c r="A576" s="1"/>
  <c r="A577" s="1"/>
  <c r="A578" s="1"/>
  <c r="O562"/>
  <c r="N562"/>
  <c r="M562"/>
  <c r="L562"/>
  <c r="H562"/>
  <c r="C562"/>
  <c r="A565" s="1"/>
  <c r="G561"/>
  <c r="F561"/>
  <c r="H583" s="1"/>
  <c r="E561"/>
  <c r="I583" s="1"/>
  <c r="D561"/>
  <c r="A561"/>
  <c r="G560"/>
  <c r="F560"/>
  <c r="H582" s="1"/>
  <c r="E560"/>
  <c r="I582" s="1"/>
  <c r="D560"/>
  <c r="E582" s="1"/>
  <c r="A560"/>
  <c r="G559"/>
  <c r="F559"/>
  <c r="H581" s="1"/>
  <c r="E559"/>
  <c r="I581" s="1"/>
  <c r="D559"/>
  <c r="E581" s="1"/>
  <c r="A559"/>
  <c r="G558"/>
  <c r="F558"/>
  <c r="H580" s="1"/>
  <c r="E558"/>
  <c r="I580" s="1"/>
  <c r="D558"/>
  <c r="A558"/>
  <c r="G557"/>
  <c r="F557"/>
  <c r="H579" s="1"/>
  <c r="E557"/>
  <c r="I579" s="1"/>
  <c r="D557"/>
  <c r="A557"/>
  <c r="G556"/>
  <c r="F556"/>
  <c r="H578" s="1"/>
  <c r="E556"/>
  <c r="I578" s="1"/>
  <c r="D556"/>
  <c r="A556"/>
  <c r="G555"/>
  <c r="F555"/>
  <c r="H576" s="1"/>
  <c r="E555"/>
  <c r="I576" s="1"/>
  <c r="D555"/>
  <c r="E576" s="1"/>
  <c r="A555"/>
  <c r="G554"/>
  <c r="F554"/>
  <c r="H575" s="1"/>
  <c r="E554"/>
  <c r="I575" s="1"/>
  <c r="D554"/>
  <c r="A554"/>
  <c r="G553"/>
  <c r="F553"/>
  <c r="H577" s="1"/>
  <c r="E553"/>
  <c r="I577" s="1"/>
  <c r="D553"/>
  <c r="E577" s="1"/>
  <c r="A553"/>
  <c r="G552"/>
  <c r="F552"/>
  <c r="H574" s="1"/>
  <c r="E552"/>
  <c r="I574" s="1"/>
  <c r="D552"/>
  <c r="A552"/>
  <c r="G551"/>
  <c r="F551"/>
  <c r="H573" s="1"/>
  <c r="E551"/>
  <c r="I573" s="1"/>
  <c r="D551"/>
  <c r="E573" s="1"/>
  <c r="A551"/>
  <c r="G550"/>
  <c r="F550"/>
  <c r="H585" s="1"/>
  <c r="E550"/>
  <c r="I585" s="1"/>
  <c r="D550"/>
  <c r="A550"/>
  <c r="G549"/>
  <c r="D588" s="1"/>
  <c r="F549"/>
  <c r="H588" s="1"/>
  <c r="E549"/>
  <c r="I588" s="1"/>
  <c r="D549"/>
  <c r="A549"/>
  <c r="G548"/>
  <c r="D587" s="1"/>
  <c r="F548"/>
  <c r="H587" s="1"/>
  <c r="E548"/>
  <c r="D548"/>
  <c r="A548"/>
  <c r="K496" l="1"/>
  <c r="E472"/>
  <c r="J469"/>
  <c r="I470"/>
  <c r="J470"/>
  <c r="J516"/>
  <c r="I516"/>
  <c r="J515"/>
  <c r="E518"/>
  <c r="E562"/>
  <c r="C565" s="1"/>
  <c r="I549"/>
  <c r="J549" s="1"/>
  <c r="G562"/>
  <c r="B565" s="1"/>
  <c r="I557"/>
  <c r="J557" s="1"/>
  <c r="I561"/>
  <c r="J561" s="1"/>
  <c r="J624"/>
  <c r="J626"/>
  <c r="I607"/>
  <c r="J607" s="1"/>
  <c r="C634"/>
  <c r="I598"/>
  <c r="J598" s="1"/>
  <c r="I602"/>
  <c r="J602" s="1"/>
  <c r="I596"/>
  <c r="J596" s="1"/>
  <c r="I600"/>
  <c r="J600" s="1"/>
  <c r="I606"/>
  <c r="J606" s="1"/>
  <c r="C589"/>
  <c r="I595"/>
  <c r="J595" s="1"/>
  <c r="I599"/>
  <c r="J599" s="1"/>
  <c r="H608"/>
  <c r="A626"/>
  <c r="A628" s="1"/>
  <c r="A630" s="1"/>
  <c r="A632" s="1"/>
  <c r="A633" s="1"/>
  <c r="A625"/>
  <c r="A627" s="1"/>
  <c r="J633"/>
  <c r="J630"/>
  <c r="J622"/>
  <c r="I597"/>
  <c r="J597" s="1"/>
  <c r="I601"/>
  <c r="J601" s="1"/>
  <c r="D608"/>
  <c r="E619"/>
  <c r="J619" s="1"/>
  <c r="E623"/>
  <c r="J623" s="1"/>
  <c r="J627"/>
  <c r="I603"/>
  <c r="J603" s="1"/>
  <c r="E604"/>
  <c r="I605"/>
  <c r="J605" s="1"/>
  <c r="G608"/>
  <c r="B611" s="1"/>
  <c r="E620"/>
  <c r="J620" s="1"/>
  <c r="J628"/>
  <c r="I632"/>
  <c r="J632" s="1"/>
  <c r="F608"/>
  <c r="E621"/>
  <c r="J621" s="1"/>
  <c r="I550"/>
  <c r="J550" s="1"/>
  <c r="I554"/>
  <c r="J554" s="1"/>
  <c r="I558"/>
  <c r="J558" s="1"/>
  <c r="J582"/>
  <c r="E579"/>
  <c r="J579" s="1"/>
  <c r="E575"/>
  <c r="J575" s="1"/>
  <c r="E585"/>
  <c r="J585" s="1"/>
  <c r="D562"/>
  <c r="I552"/>
  <c r="J552" s="1"/>
  <c r="I556"/>
  <c r="J556" s="1"/>
  <c r="I560"/>
  <c r="J560" s="1"/>
  <c r="E578"/>
  <c r="J578" s="1"/>
  <c r="E580"/>
  <c r="J580" s="1"/>
  <c r="E574"/>
  <c r="J574" s="1"/>
  <c r="E583"/>
  <c r="J583" s="1"/>
  <c r="K583" s="1"/>
  <c r="A579"/>
  <c r="A581" s="1"/>
  <c r="A583" s="1"/>
  <c r="A585" s="1"/>
  <c r="A587" s="1"/>
  <c r="A588" s="1"/>
  <c r="A580"/>
  <c r="A582" s="1"/>
  <c r="J573"/>
  <c r="J581"/>
  <c r="J576"/>
  <c r="J588"/>
  <c r="J577"/>
  <c r="I551"/>
  <c r="J551" s="1"/>
  <c r="I555"/>
  <c r="J555" s="1"/>
  <c r="I559"/>
  <c r="J559" s="1"/>
  <c r="I548"/>
  <c r="F562"/>
  <c r="I587"/>
  <c r="J587" s="1"/>
  <c r="I553"/>
  <c r="J553" s="1"/>
  <c r="K575" l="1"/>
  <c r="D565"/>
  <c r="G564"/>
  <c r="K588"/>
  <c r="K621"/>
  <c r="K580"/>
  <c r="K620"/>
  <c r="K579"/>
  <c r="K628"/>
  <c r="I625"/>
  <c r="I634" s="1"/>
  <c r="K632"/>
  <c r="K623"/>
  <c r="K633"/>
  <c r="K624"/>
  <c r="K574"/>
  <c r="K585"/>
  <c r="K627"/>
  <c r="K630"/>
  <c r="K578"/>
  <c r="K582"/>
  <c r="K619"/>
  <c r="I604"/>
  <c r="J604" s="1"/>
  <c r="K626"/>
  <c r="K622"/>
  <c r="G610"/>
  <c r="E608"/>
  <c r="C611" s="1"/>
  <c r="D611" s="1"/>
  <c r="K576"/>
  <c r="K581"/>
  <c r="K587"/>
  <c r="K577"/>
  <c r="I589"/>
  <c r="I562"/>
  <c r="J548"/>
  <c r="K573"/>
  <c r="J589"/>
  <c r="I608" l="1"/>
  <c r="J608" s="1"/>
  <c r="J625"/>
  <c r="J634" s="1"/>
  <c r="K589"/>
  <c r="E565"/>
  <c r="J562"/>
  <c r="I563"/>
  <c r="J563"/>
  <c r="K634" l="1"/>
  <c r="I609"/>
  <c r="J609"/>
  <c r="E611"/>
  <c r="K625"/>
  <c r="G13" i="153"/>
  <c r="G14" s="1"/>
  <c r="G15" s="1"/>
  <c r="G16" s="1"/>
  <c r="G17" s="1"/>
  <c r="G18" s="1"/>
  <c r="G19" s="1"/>
  <c r="G20" s="1"/>
  <c r="G21" s="1"/>
  <c r="G22" s="1"/>
  <c r="G23" s="1"/>
  <c r="G24" s="1"/>
  <c r="C542" i="16" l="1"/>
  <c r="I542"/>
  <c r="J542" l="1"/>
  <c r="K542" s="1"/>
  <c r="C6" i="153" l="1"/>
  <c r="C5"/>
  <c r="C7" l="1"/>
  <c r="D7" l="1"/>
  <c r="E6"/>
  <c r="N652" i="16"/>
  <c r="M652"/>
  <c r="C677" l="1"/>
  <c r="C676"/>
  <c r="C674"/>
  <c r="C672"/>
  <c r="C671"/>
  <c r="C670"/>
  <c r="C669"/>
  <c r="C668"/>
  <c r="C667"/>
  <c r="C666"/>
  <c r="C665"/>
  <c r="C664"/>
  <c r="A664"/>
  <c r="A665" s="1"/>
  <c r="A666" s="1"/>
  <c r="A667" s="1"/>
  <c r="A668" s="1"/>
  <c r="C663"/>
  <c r="O652"/>
  <c r="L652"/>
  <c r="H652"/>
  <c r="C652"/>
  <c r="A655" s="1"/>
  <c r="G651"/>
  <c r="F651"/>
  <c r="H672" s="1"/>
  <c r="E651"/>
  <c r="I672" s="1"/>
  <c r="D651"/>
  <c r="E672" s="1"/>
  <c r="A651"/>
  <c r="G650"/>
  <c r="F650"/>
  <c r="H671" s="1"/>
  <c r="E650"/>
  <c r="I671" s="1"/>
  <c r="D650"/>
  <c r="E671" s="1"/>
  <c r="A650"/>
  <c r="G649"/>
  <c r="F649"/>
  <c r="H670" s="1"/>
  <c r="E649"/>
  <c r="I670" s="1"/>
  <c r="D649"/>
  <c r="E670" s="1"/>
  <c r="A649"/>
  <c r="G648"/>
  <c r="F648"/>
  <c r="H669" s="1"/>
  <c r="E648"/>
  <c r="I669" s="1"/>
  <c r="D648"/>
  <c r="E669" s="1"/>
  <c r="A648"/>
  <c r="G647"/>
  <c r="F647"/>
  <c r="H668" s="1"/>
  <c r="E647"/>
  <c r="I668" s="1"/>
  <c r="D647"/>
  <c r="E668" s="1"/>
  <c r="A647"/>
  <c r="G646"/>
  <c r="F646"/>
  <c r="H667" s="1"/>
  <c r="E646"/>
  <c r="I667" s="1"/>
  <c r="D646"/>
  <c r="E667" s="1"/>
  <c r="A646"/>
  <c r="G645"/>
  <c r="F645"/>
  <c r="H666" s="1"/>
  <c r="E645"/>
  <c r="I666" s="1"/>
  <c r="D645"/>
  <c r="E666" s="1"/>
  <c r="A645"/>
  <c r="G644"/>
  <c r="F644"/>
  <c r="H665" s="1"/>
  <c r="E644"/>
  <c r="I665" s="1"/>
  <c r="D644"/>
  <c r="E665" s="1"/>
  <c r="A644"/>
  <c r="G643"/>
  <c r="F643"/>
  <c r="H664" s="1"/>
  <c r="E643"/>
  <c r="I664" s="1"/>
  <c r="D643"/>
  <c r="E664" s="1"/>
  <c r="A643"/>
  <c r="G642"/>
  <c r="F642"/>
  <c r="H663" s="1"/>
  <c r="E642"/>
  <c r="I663" s="1"/>
  <c r="D642"/>
  <c r="E663" s="1"/>
  <c r="A642"/>
  <c r="G641"/>
  <c r="F641"/>
  <c r="H674" s="1"/>
  <c r="E641"/>
  <c r="I674" s="1"/>
  <c r="D641"/>
  <c r="E674" s="1"/>
  <c r="A641"/>
  <c r="G640"/>
  <c r="D677" s="1"/>
  <c r="F640"/>
  <c r="H677" s="1"/>
  <c r="E640"/>
  <c r="I677" s="1"/>
  <c r="D640"/>
  <c r="A640"/>
  <c r="G639"/>
  <c r="D676" s="1"/>
  <c r="F639"/>
  <c r="H676" s="1"/>
  <c r="E639"/>
  <c r="I676" s="1"/>
  <c r="D639"/>
  <c r="A639"/>
  <c r="E682"/>
  <c r="D690"/>
  <c r="D691"/>
  <c r="D692"/>
  <c r="D693"/>
  <c r="D694"/>
  <c r="D695"/>
  <c r="D683"/>
  <c r="D684"/>
  <c r="D685"/>
  <c r="D686"/>
  <c r="D682"/>
  <c r="L696"/>
  <c r="I640" l="1"/>
  <c r="J640" s="1"/>
  <c r="C678"/>
  <c r="D652"/>
  <c r="J677"/>
  <c r="J665"/>
  <c r="J669"/>
  <c r="J664"/>
  <c r="J668"/>
  <c r="J672"/>
  <c r="A669"/>
  <c r="A671" s="1"/>
  <c r="A670"/>
  <c r="A672" s="1"/>
  <c r="A674" s="1"/>
  <c r="J676"/>
  <c r="J663"/>
  <c r="J671"/>
  <c r="J667"/>
  <c r="J674"/>
  <c r="I678"/>
  <c r="J666"/>
  <c r="J670"/>
  <c r="I639"/>
  <c r="I643"/>
  <c r="J643" s="1"/>
  <c r="I647"/>
  <c r="J647" s="1"/>
  <c r="I651"/>
  <c r="J651" s="1"/>
  <c r="F652"/>
  <c r="I644"/>
  <c r="J644" s="1"/>
  <c r="I648"/>
  <c r="J648" s="1"/>
  <c r="E652"/>
  <c r="C655" s="1"/>
  <c r="I641"/>
  <c r="J641" s="1"/>
  <c r="I645"/>
  <c r="J645" s="1"/>
  <c r="I649"/>
  <c r="J649" s="1"/>
  <c r="I642"/>
  <c r="J642" s="1"/>
  <c r="I646"/>
  <c r="J646" s="1"/>
  <c r="I650"/>
  <c r="J650" s="1"/>
  <c r="G652"/>
  <c r="B655" s="1"/>
  <c r="A676" l="1"/>
  <c r="A677" s="1"/>
  <c r="K677"/>
  <c r="D655"/>
  <c r="G654"/>
  <c r="K674"/>
  <c r="K664"/>
  <c r="K672"/>
  <c r="J639"/>
  <c r="I652"/>
  <c r="K663"/>
  <c r="J678"/>
  <c r="K668"/>
  <c r="K666"/>
  <c r="K667"/>
  <c r="K671"/>
  <c r="K665"/>
  <c r="K670"/>
  <c r="K669"/>
  <c r="K676"/>
  <c r="K678" l="1"/>
  <c r="I653"/>
  <c r="E655"/>
  <c r="J652"/>
  <c r="C722" l="1"/>
  <c r="C721"/>
  <c r="C719"/>
  <c r="C717"/>
  <c r="C716"/>
  <c r="C715"/>
  <c r="C714"/>
  <c r="C713"/>
  <c r="C712"/>
  <c r="C711"/>
  <c r="C710"/>
  <c r="C709"/>
  <c r="C708"/>
  <c r="A708"/>
  <c r="A709" s="1"/>
  <c r="A710" s="1"/>
  <c r="A711" s="1"/>
  <c r="A712" s="1"/>
  <c r="C707"/>
  <c r="O696"/>
  <c r="N696"/>
  <c r="M696"/>
  <c r="H696"/>
  <c r="C696"/>
  <c r="A699" s="1"/>
  <c r="G695"/>
  <c r="F695"/>
  <c r="H717" s="1"/>
  <c r="E695"/>
  <c r="I717" s="1"/>
  <c r="E717"/>
  <c r="A695"/>
  <c r="G694"/>
  <c r="F694"/>
  <c r="H716" s="1"/>
  <c r="E694"/>
  <c r="I716" s="1"/>
  <c r="E716"/>
  <c r="A694"/>
  <c r="G693"/>
  <c r="F693"/>
  <c r="H715" s="1"/>
  <c r="E693"/>
  <c r="I715" s="1"/>
  <c r="E715"/>
  <c r="A693"/>
  <c r="G692"/>
  <c r="F692"/>
  <c r="H714" s="1"/>
  <c r="E692"/>
  <c r="I714" s="1"/>
  <c r="E714"/>
  <c r="A692"/>
  <c r="G691"/>
  <c r="F691"/>
  <c r="H713" s="1"/>
  <c r="E691"/>
  <c r="I713" s="1"/>
  <c r="E713"/>
  <c r="A691"/>
  <c r="G690"/>
  <c r="F690"/>
  <c r="H712" s="1"/>
  <c r="E690"/>
  <c r="I712" s="1"/>
  <c r="E712"/>
  <c r="A690"/>
  <c r="G689"/>
  <c r="F689"/>
  <c r="H711" s="1"/>
  <c r="E689"/>
  <c r="I711" s="1"/>
  <c r="D689"/>
  <c r="E711" s="1"/>
  <c r="A689"/>
  <c r="G688"/>
  <c r="F688"/>
  <c r="H710" s="1"/>
  <c r="E688"/>
  <c r="I710" s="1"/>
  <c r="D688"/>
  <c r="E710" s="1"/>
  <c r="A688"/>
  <c r="G687"/>
  <c r="F687"/>
  <c r="H709" s="1"/>
  <c r="E687"/>
  <c r="I709" s="1"/>
  <c r="D687"/>
  <c r="E709" s="1"/>
  <c r="A687"/>
  <c r="G686"/>
  <c r="F686"/>
  <c r="H708" s="1"/>
  <c r="E686"/>
  <c r="I708" s="1"/>
  <c r="E708"/>
  <c r="A686"/>
  <c r="G685"/>
  <c r="F685"/>
  <c r="H707" s="1"/>
  <c r="E685"/>
  <c r="I707" s="1"/>
  <c r="E707"/>
  <c r="A685"/>
  <c r="G684"/>
  <c r="F684"/>
  <c r="H719" s="1"/>
  <c r="E684"/>
  <c r="I719" s="1"/>
  <c r="E719"/>
  <c r="A684"/>
  <c r="G683"/>
  <c r="D722" s="1"/>
  <c r="F683"/>
  <c r="H722" s="1"/>
  <c r="E683"/>
  <c r="I722" s="1"/>
  <c r="A683"/>
  <c r="G682"/>
  <c r="D721" s="1"/>
  <c r="F682"/>
  <c r="H721" s="1"/>
  <c r="I721"/>
  <c r="A682"/>
  <c r="J709" l="1"/>
  <c r="J713"/>
  <c r="D696"/>
  <c r="J719"/>
  <c r="I723"/>
  <c r="J710"/>
  <c r="J714"/>
  <c r="C723"/>
  <c r="I683"/>
  <c r="J683" s="1"/>
  <c r="A713"/>
  <c r="A715" s="1"/>
  <c r="A717" s="1"/>
  <c r="A719" s="1"/>
  <c r="A721" s="1"/>
  <c r="A722" s="1"/>
  <c r="A714"/>
  <c r="A716" s="1"/>
  <c r="J722"/>
  <c r="J721"/>
  <c r="J708"/>
  <c r="J712"/>
  <c r="J716"/>
  <c r="J707"/>
  <c r="J711"/>
  <c r="J715"/>
  <c r="J717"/>
  <c r="I685"/>
  <c r="J685" s="1"/>
  <c r="I689"/>
  <c r="J689" s="1"/>
  <c r="I682"/>
  <c r="I686"/>
  <c r="J686" s="1"/>
  <c r="I690"/>
  <c r="J690" s="1"/>
  <c r="I694"/>
  <c r="J694" s="1"/>
  <c r="F696"/>
  <c r="G698" s="1"/>
  <c r="I687"/>
  <c r="J687" s="1"/>
  <c r="I691"/>
  <c r="J691" s="1"/>
  <c r="I695"/>
  <c r="J695" s="1"/>
  <c r="E696"/>
  <c r="C699" s="1"/>
  <c r="I684"/>
  <c r="J684" s="1"/>
  <c r="I688"/>
  <c r="J688" s="1"/>
  <c r="I692"/>
  <c r="J692" s="1"/>
  <c r="I693"/>
  <c r="J693" s="1"/>
  <c r="G696"/>
  <c r="B699" s="1"/>
  <c r="K722" l="1"/>
  <c r="K710"/>
  <c r="D699"/>
  <c r="K717"/>
  <c r="K716"/>
  <c r="K713"/>
  <c r="K707"/>
  <c r="J723"/>
  <c r="K721"/>
  <c r="K714"/>
  <c r="K711"/>
  <c r="K708"/>
  <c r="I696"/>
  <c r="J682"/>
  <c r="K715"/>
  <c r="K712"/>
  <c r="K709"/>
  <c r="K719"/>
  <c r="K723" l="1"/>
  <c r="I697"/>
  <c r="E699"/>
  <c r="J696"/>
  <c r="C768" l="1"/>
  <c r="C767"/>
  <c r="C765"/>
  <c r="C763"/>
  <c r="C762"/>
  <c r="C761"/>
  <c r="C760"/>
  <c r="C759"/>
  <c r="C758"/>
  <c r="C757"/>
  <c r="C756"/>
  <c r="C755"/>
  <c r="C754"/>
  <c r="A754"/>
  <c r="C753"/>
  <c r="O742"/>
  <c r="N742"/>
  <c r="M742"/>
  <c r="L742"/>
  <c r="H742"/>
  <c r="C742"/>
  <c r="A745" s="1"/>
  <c r="G741"/>
  <c r="F741"/>
  <c r="H763" s="1"/>
  <c r="E741"/>
  <c r="I763" s="1"/>
  <c r="D741"/>
  <c r="A741"/>
  <c r="G740"/>
  <c r="F740"/>
  <c r="H762" s="1"/>
  <c r="E740"/>
  <c r="I762" s="1"/>
  <c r="D740"/>
  <c r="A740"/>
  <c r="G739"/>
  <c r="F739"/>
  <c r="H761" s="1"/>
  <c r="E739"/>
  <c r="I761" s="1"/>
  <c r="D739"/>
  <c r="E761" s="1"/>
  <c r="A739"/>
  <c r="G738"/>
  <c r="F738"/>
  <c r="H760" s="1"/>
  <c r="E738"/>
  <c r="I760" s="1"/>
  <c r="D738"/>
  <c r="A738"/>
  <c r="G737"/>
  <c r="F737"/>
  <c r="H759" s="1"/>
  <c r="E737"/>
  <c r="I759" s="1"/>
  <c r="D737"/>
  <c r="A737"/>
  <c r="G736"/>
  <c r="F736"/>
  <c r="H758" s="1"/>
  <c r="E736"/>
  <c r="I758" s="1"/>
  <c r="D736"/>
  <c r="E758" s="1"/>
  <c r="A736"/>
  <c r="G735"/>
  <c r="F735"/>
  <c r="H757" s="1"/>
  <c r="E735"/>
  <c r="I757" s="1"/>
  <c r="D735"/>
  <c r="E757" s="1"/>
  <c r="A735"/>
  <c r="G734"/>
  <c r="F734"/>
  <c r="H756" s="1"/>
  <c r="E734"/>
  <c r="I756" s="1"/>
  <c r="D734"/>
  <c r="A734"/>
  <c r="G733"/>
  <c r="F733"/>
  <c r="H755" s="1"/>
  <c r="E733"/>
  <c r="I755" s="1"/>
  <c r="D733"/>
  <c r="A733"/>
  <c r="G732"/>
  <c r="F732"/>
  <c r="H754" s="1"/>
  <c r="E732"/>
  <c r="I754" s="1"/>
  <c r="D732"/>
  <c r="E754" s="1"/>
  <c r="A732"/>
  <c r="G731"/>
  <c r="F731"/>
  <c r="H753" s="1"/>
  <c r="E731"/>
  <c r="I753" s="1"/>
  <c r="D731"/>
  <c r="A731"/>
  <c r="G730"/>
  <c r="F730"/>
  <c r="H765" s="1"/>
  <c r="E730"/>
  <c r="I765" s="1"/>
  <c r="D730"/>
  <c r="E765" s="1"/>
  <c r="A730"/>
  <c r="G729"/>
  <c r="D768" s="1"/>
  <c r="F729"/>
  <c r="H768" s="1"/>
  <c r="E729"/>
  <c r="I768" s="1"/>
  <c r="D729"/>
  <c r="A729"/>
  <c r="G728"/>
  <c r="D767" s="1"/>
  <c r="F728"/>
  <c r="H767" s="1"/>
  <c r="E728"/>
  <c r="I767" s="1"/>
  <c r="D728"/>
  <c r="A728"/>
  <c r="A755" l="1"/>
  <c r="A756" s="1"/>
  <c r="A757" s="1"/>
  <c r="A758" s="1"/>
  <c r="I728"/>
  <c r="J728" s="1"/>
  <c r="I734"/>
  <c r="J734" s="1"/>
  <c r="I738"/>
  <c r="J738" s="1"/>
  <c r="C769"/>
  <c r="I741"/>
  <c r="J741" s="1"/>
  <c r="I731"/>
  <c r="J731" s="1"/>
  <c r="I733"/>
  <c r="J733" s="1"/>
  <c r="J758"/>
  <c r="I737"/>
  <c r="J737" s="1"/>
  <c r="I740"/>
  <c r="J740" s="1"/>
  <c r="E753"/>
  <c r="J753" s="1"/>
  <c r="E755"/>
  <c r="J755" s="1"/>
  <c r="E763"/>
  <c r="J763" s="1"/>
  <c r="J768"/>
  <c r="E760"/>
  <c r="J760" s="1"/>
  <c r="K760" s="1"/>
  <c r="E742"/>
  <c r="C745" s="1"/>
  <c r="I729"/>
  <c r="J729" s="1"/>
  <c r="E756"/>
  <c r="J756" s="1"/>
  <c r="E762"/>
  <c r="J762" s="1"/>
  <c r="I732"/>
  <c r="J732" s="1"/>
  <c r="E759"/>
  <c r="J759" s="1"/>
  <c r="J757"/>
  <c r="J767"/>
  <c r="J754"/>
  <c r="J765"/>
  <c r="I769"/>
  <c r="J761"/>
  <c r="I739"/>
  <c r="J739" s="1"/>
  <c r="D742"/>
  <c r="I735"/>
  <c r="J735" s="1"/>
  <c r="I736"/>
  <c r="J736" s="1"/>
  <c r="G742"/>
  <c r="B745" s="1"/>
  <c r="I730"/>
  <c r="J730" s="1"/>
  <c r="F742"/>
  <c r="C811"/>
  <c r="C812"/>
  <c r="C789"/>
  <c r="A792" s="1"/>
  <c r="H789"/>
  <c r="A760" l="1"/>
  <c r="A762" s="1"/>
  <c r="A759"/>
  <c r="A761" s="1"/>
  <c r="A763" s="1"/>
  <c r="A765" s="1"/>
  <c r="A767" s="1"/>
  <c r="A768" s="1"/>
  <c r="K763"/>
  <c r="K767"/>
  <c r="K762"/>
  <c r="K759"/>
  <c r="K755"/>
  <c r="K754"/>
  <c r="D745"/>
  <c r="K753"/>
  <c r="K756"/>
  <c r="K765"/>
  <c r="K768"/>
  <c r="K761"/>
  <c r="K758"/>
  <c r="I742"/>
  <c r="J769"/>
  <c r="G744"/>
  <c r="K757"/>
  <c r="N789"/>
  <c r="M789"/>
  <c r="L789"/>
  <c r="G788"/>
  <c r="F788"/>
  <c r="H812" s="1"/>
  <c r="E788"/>
  <c r="I812" s="1"/>
  <c r="D788"/>
  <c r="A788"/>
  <c r="E812" l="1"/>
  <c r="J812" s="1"/>
  <c r="I788"/>
  <c r="J788" s="1"/>
  <c r="K769"/>
  <c r="E745"/>
  <c r="J742"/>
  <c r="I743"/>
  <c r="K812" l="1"/>
  <c r="C817"/>
  <c r="C816"/>
  <c r="C814"/>
  <c r="C810"/>
  <c r="C809"/>
  <c r="C808"/>
  <c r="C807"/>
  <c r="C806"/>
  <c r="C805"/>
  <c r="C804"/>
  <c r="C803"/>
  <c r="C802"/>
  <c r="C801"/>
  <c r="A801"/>
  <c r="A802" s="1"/>
  <c r="A803" s="1"/>
  <c r="A804" s="1"/>
  <c r="A805" s="1"/>
  <c r="A806" s="1"/>
  <c r="C800"/>
  <c r="O789"/>
  <c r="G787"/>
  <c r="F787"/>
  <c r="H811" s="1"/>
  <c r="E787"/>
  <c r="I811" s="1"/>
  <c r="D787"/>
  <c r="A787"/>
  <c r="G786"/>
  <c r="F786"/>
  <c r="E786"/>
  <c r="D786"/>
  <c r="A786"/>
  <c r="G785"/>
  <c r="F785"/>
  <c r="H809" s="1"/>
  <c r="E785"/>
  <c r="I809" s="1"/>
  <c r="D785"/>
  <c r="E809" s="1"/>
  <c r="A785"/>
  <c r="G784"/>
  <c r="F784"/>
  <c r="H808" s="1"/>
  <c r="E784"/>
  <c r="I808" s="1"/>
  <c r="D784"/>
  <c r="E808" s="1"/>
  <c r="A784"/>
  <c r="G783"/>
  <c r="F783"/>
  <c r="H807" s="1"/>
  <c r="E783"/>
  <c r="I807" s="1"/>
  <c r="D783"/>
  <c r="E807" s="1"/>
  <c r="A783"/>
  <c r="G782"/>
  <c r="F782"/>
  <c r="H806" s="1"/>
  <c r="E782"/>
  <c r="I806" s="1"/>
  <c r="D782"/>
  <c r="E806" s="1"/>
  <c r="A782"/>
  <c r="G781"/>
  <c r="F781"/>
  <c r="H805" s="1"/>
  <c r="E781"/>
  <c r="I805" s="1"/>
  <c r="D781"/>
  <c r="E805" s="1"/>
  <c r="A781"/>
  <c r="G780"/>
  <c r="F780"/>
  <c r="H804" s="1"/>
  <c r="E780"/>
  <c r="I804" s="1"/>
  <c r="D780"/>
  <c r="E804" s="1"/>
  <c r="A780"/>
  <c r="G779"/>
  <c r="F779"/>
  <c r="H803" s="1"/>
  <c r="E779"/>
  <c r="I803" s="1"/>
  <c r="D779"/>
  <c r="E803" s="1"/>
  <c r="A779"/>
  <c r="G778"/>
  <c r="F778"/>
  <c r="H802" s="1"/>
  <c r="E778"/>
  <c r="I802" s="1"/>
  <c r="D778"/>
  <c r="A778"/>
  <c r="G777"/>
  <c r="F777"/>
  <c r="H801" s="1"/>
  <c r="E777"/>
  <c r="I801" s="1"/>
  <c r="D777"/>
  <c r="E801" s="1"/>
  <c r="A777"/>
  <c r="G776"/>
  <c r="F776"/>
  <c r="H800" s="1"/>
  <c r="E776"/>
  <c r="D776"/>
  <c r="E800" s="1"/>
  <c r="A776"/>
  <c r="G775"/>
  <c r="F775"/>
  <c r="H814" s="1"/>
  <c r="E775"/>
  <c r="I814" s="1"/>
  <c r="D775"/>
  <c r="E814" s="1"/>
  <c r="A775"/>
  <c r="G774"/>
  <c r="D817" s="1"/>
  <c r="F774"/>
  <c r="H817" s="1"/>
  <c r="E774"/>
  <c r="I817" s="1"/>
  <c r="D774"/>
  <c r="A774"/>
  <c r="G773"/>
  <c r="F773"/>
  <c r="E773"/>
  <c r="I816" s="1"/>
  <c r="D773"/>
  <c r="A773"/>
  <c r="A822"/>
  <c r="D822"/>
  <c r="E822"/>
  <c r="F822"/>
  <c r="G822"/>
  <c r="A823"/>
  <c r="D823"/>
  <c r="E823"/>
  <c r="F823"/>
  <c r="G823"/>
  <c r="A824"/>
  <c r="D824"/>
  <c r="E824"/>
  <c r="F824"/>
  <c r="G824"/>
  <c r="D789" l="1"/>
  <c r="C818"/>
  <c r="D816"/>
  <c r="G789"/>
  <c r="B792" s="1"/>
  <c r="J817"/>
  <c r="I787"/>
  <c r="J787" s="1"/>
  <c r="E811"/>
  <c r="J811" s="1"/>
  <c r="I823"/>
  <c r="J823" s="1"/>
  <c r="F789"/>
  <c r="I800"/>
  <c r="J800" s="1"/>
  <c r="E789"/>
  <c r="C792" s="1"/>
  <c r="I810"/>
  <c r="H810"/>
  <c r="J805"/>
  <c r="J801"/>
  <c r="J806"/>
  <c r="I824"/>
  <c r="J824" s="1"/>
  <c r="I822"/>
  <c r="J822" s="1"/>
  <c r="I774"/>
  <c r="J774" s="1"/>
  <c r="I778"/>
  <c r="J778" s="1"/>
  <c r="I782"/>
  <c r="J782" s="1"/>
  <c r="I786"/>
  <c r="J786" s="1"/>
  <c r="E802"/>
  <c r="J802" s="1"/>
  <c r="E810"/>
  <c r="I773"/>
  <c r="J773" s="1"/>
  <c r="A807"/>
  <c r="A809" s="1"/>
  <c r="A812" s="1"/>
  <c r="A814" s="1"/>
  <c r="A816" s="1"/>
  <c r="A817" s="1"/>
  <c r="A808"/>
  <c r="J809"/>
  <c r="J804"/>
  <c r="J808"/>
  <c r="J807"/>
  <c r="J803"/>
  <c r="J814"/>
  <c r="I775"/>
  <c r="J775" s="1"/>
  <c r="I779"/>
  <c r="J779" s="1"/>
  <c r="I783"/>
  <c r="J783" s="1"/>
  <c r="I776"/>
  <c r="I780"/>
  <c r="J780" s="1"/>
  <c r="I784"/>
  <c r="J784" s="1"/>
  <c r="I777"/>
  <c r="J777" s="1"/>
  <c r="I781"/>
  <c r="J781" s="1"/>
  <c r="I785"/>
  <c r="J785" s="1"/>
  <c r="H816"/>
  <c r="J816" s="1"/>
  <c r="K817" l="1"/>
  <c r="K811"/>
  <c r="I818"/>
  <c r="A810"/>
  <c r="A811"/>
  <c r="D792"/>
  <c r="J776"/>
  <c r="I789"/>
  <c r="J810"/>
  <c r="J818" s="1"/>
  <c r="G791"/>
  <c r="K816"/>
  <c r="K806"/>
  <c r="K804"/>
  <c r="K802"/>
  <c r="K809"/>
  <c r="K814"/>
  <c r="K803"/>
  <c r="K808"/>
  <c r="K807"/>
  <c r="K801"/>
  <c r="K800"/>
  <c r="K805"/>
  <c r="K810" l="1"/>
  <c r="I790"/>
  <c r="K818"/>
  <c r="J789"/>
  <c r="E792"/>
  <c r="C864" l="1"/>
  <c r="C863"/>
  <c r="C861"/>
  <c r="C859"/>
  <c r="C858"/>
  <c r="C857"/>
  <c r="C856"/>
  <c r="C855"/>
  <c r="C854"/>
  <c r="C853"/>
  <c r="C852"/>
  <c r="C851"/>
  <c r="C850"/>
  <c r="C849"/>
  <c r="A849"/>
  <c r="A850" s="1"/>
  <c r="A851" s="1"/>
  <c r="A852" s="1"/>
  <c r="A853" s="1"/>
  <c r="A854" s="1"/>
  <c r="C848"/>
  <c r="O837"/>
  <c r="N837"/>
  <c r="M837"/>
  <c r="L837"/>
  <c r="H837"/>
  <c r="C837"/>
  <c r="A840" s="1"/>
  <c r="G836"/>
  <c r="F836"/>
  <c r="H859" s="1"/>
  <c r="E836"/>
  <c r="I859" s="1"/>
  <c r="D836"/>
  <c r="A836"/>
  <c r="G835"/>
  <c r="F835"/>
  <c r="H858" s="1"/>
  <c r="E835"/>
  <c r="I858" s="1"/>
  <c r="D835"/>
  <c r="A835"/>
  <c r="G834"/>
  <c r="F834"/>
  <c r="H857" s="1"/>
  <c r="E834"/>
  <c r="I857" s="1"/>
  <c r="D834"/>
  <c r="E857" s="1"/>
  <c r="A834"/>
  <c r="G833"/>
  <c r="F833"/>
  <c r="H856" s="1"/>
  <c r="E833"/>
  <c r="I856" s="1"/>
  <c r="D833"/>
  <c r="E856" s="1"/>
  <c r="A833"/>
  <c r="G832"/>
  <c r="F832"/>
  <c r="H855" s="1"/>
  <c r="E832"/>
  <c r="I855" s="1"/>
  <c r="D832"/>
  <c r="A832"/>
  <c r="G831"/>
  <c r="F831"/>
  <c r="H854" s="1"/>
  <c r="E831"/>
  <c r="I854" s="1"/>
  <c r="D831"/>
  <c r="A831"/>
  <c r="G830"/>
  <c r="F830"/>
  <c r="H853" s="1"/>
  <c r="E830"/>
  <c r="I853" s="1"/>
  <c r="D830"/>
  <c r="E853" s="1"/>
  <c r="A830"/>
  <c r="G829"/>
  <c r="F829"/>
  <c r="H852" s="1"/>
  <c r="E829"/>
  <c r="I852" s="1"/>
  <c r="D829"/>
  <c r="E852" s="1"/>
  <c r="A829"/>
  <c r="G828"/>
  <c r="F828"/>
  <c r="H851" s="1"/>
  <c r="E828"/>
  <c r="I851" s="1"/>
  <c r="D828"/>
  <c r="A828"/>
  <c r="G827"/>
  <c r="F827"/>
  <c r="H850" s="1"/>
  <c r="E827"/>
  <c r="I850" s="1"/>
  <c r="D827"/>
  <c r="A827"/>
  <c r="G826"/>
  <c r="F826"/>
  <c r="H849" s="1"/>
  <c r="E826"/>
  <c r="I849" s="1"/>
  <c r="D826"/>
  <c r="E849" s="1"/>
  <c r="A826"/>
  <c r="G825"/>
  <c r="F825"/>
  <c r="H848" s="1"/>
  <c r="E825"/>
  <c r="I848" s="1"/>
  <c r="D825"/>
  <c r="A825"/>
  <c r="H861"/>
  <c r="I861"/>
  <c r="E861"/>
  <c r="D864"/>
  <c r="H864"/>
  <c r="I864"/>
  <c r="D863"/>
  <c r="I863"/>
  <c r="E859" l="1"/>
  <c r="J859" s="1"/>
  <c r="I836"/>
  <c r="C865"/>
  <c r="I825"/>
  <c r="J825" s="1"/>
  <c r="J849"/>
  <c r="I828"/>
  <c r="J828" s="1"/>
  <c r="J853"/>
  <c r="I832"/>
  <c r="J832" s="1"/>
  <c r="J857"/>
  <c r="J836"/>
  <c r="E851"/>
  <c r="J851" s="1"/>
  <c r="F837"/>
  <c r="I827"/>
  <c r="J827" s="1"/>
  <c r="I831"/>
  <c r="J831" s="1"/>
  <c r="I835"/>
  <c r="J835" s="1"/>
  <c r="E858"/>
  <c r="J858" s="1"/>
  <c r="E855"/>
  <c r="J855" s="1"/>
  <c r="J864"/>
  <c r="A855"/>
  <c r="A857" s="1"/>
  <c r="A859" s="1"/>
  <c r="A861" s="1"/>
  <c r="A863" s="1"/>
  <c r="A864" s="1"/>
  <c r="A856"/>
  <c r="A858" s="1"/>
  <c r="J856"/>
  <c r="J861"/>
  <c r="I865"/>
  <c r="J852"/>
  <c r="I833"/>
  <c r="J833" s="1"/>
  <c r="E837"/>
  <c r="C840" s="1"/>
  <c r="E850"/>
  <c r="J850" s="1"/>
  <c r="E854"/>
  <c r="J854" s="1"/>
  <c r="I829"/>
  <c r="J829" s="1"/>
  <c r="D837"/>
  <c r="I834"/>
  <c r="J834" s="1"/>
  <c r="G837"/>
  <c r="B840" s="1"/>
  <c r="E848"/>
  <c r="J848" s="1"/>
  <c r="H863"/>
  <c r="J863" s="1"/>
  <c r="I826"/>
  <c r="J826" s="1"/>
  <c r="I830"/>
  <c r="J830" s="1"/>
  <c r="C912"/>
  <c r="C911"/>
  <c r="C909"/>
  <c r="C902"/>
  <c r="C903"/>
  <c r="C904"/>
  <c r="C905"/>
  <c r="C901"/>
  <c r="C906"/>
  <c r="C907"/>
  <c r="C897"/>
  <c r="C898"/>
  <c r="C896"/>
  <c r="G871"/>
  <c r="D912" s="1"/>
  <c r="G872"/>
  <c r="G873"/>
  <c r="G874"/>
  <c r="F871"/>
  <c r="H912" s="1"/>
  <c r="F872"/>
  <c r="H909" s="1"/>
  <c r="F873"/>
  <c r="H896" s="1"/>
  <c r="F874"/>
  <c r="F875"/>
  <c r="F876"/>
  <c r="F877"/>
  <c r="F878"/>
  <c r="F879"/>
  <c r="F880"/>
  <c r="F881"/>
  <c r="F882"/>
  <c r="F883"/>
  <c r="H906" s="1"/>
  <c r="F884"/>
  <c r="F870"/>
  <c r="H911" s="1"/>
  <c r="E871"/>
  <c r="I912" s="1"/>
  <c r="E872"/>
  <c r="I909" s="1"/>
  <c r="E873"/>
  <c r="I896" s="1"/>
  <c r="E874"/>
  <c r="E875"/>
  <c r="E876"/>
  <c r="E877"/>
  <c r="E878"/>
  <c r="E879"/>
  <c r="E880"/>
  <c r="E881"/>
  <c r="E882"/>
  <c r="E883"/>
  <c r="I906" s="1"/>
  <c r="E884"/>
  <c r="E870"/>
  <c r="I911" s="1"/>
  <c r="D876"/>
  <c r="D877"/>
  <c r="D878"/>
  <c r="E901" s="1"/>
  <c r="D879"/>
  <c r="E902" s="1"/>
  <c r="D880"/>
  <c r="E903" s="1"/>
  <c r="D881"/>
  <c r="E904" s="1"/>
  <c r="D882"/>
  <c r="E905" s="1"/>
  <c r="D883"/>
  <c r="E906" s="1"/>
  <c r="D884"/>
  <c r="E907" s="1"/>
  <c r="D871"/>
  <c r="D872"/>
  <c r="E909" s="1"/>
  <c r="D873"/>
  <c r="E896" s="1"/>
  <c r="D874"/>
  <c r="E897" s="1"/>
  <c r="D875"/>
  <c r="E898" s="1"/>
  <c r="D870"/>
  <c r="A871"/>
  <c r="A872"/>
  <c r="A873"/>
  <c r="A874"/>
  <c r="A875"/>
  <c r="A876"/>
  <c r="A877"/>
  <c r="A878"/>
  <c r="A879"/>
  <c r="A880"/>
  <c r="A881"/>
  <c r="A882"/>
  <c r="A883"/>
  <c r="A884"/>
  <c r="A870"/>
  <c r="G883"/>
  <c r="K855" l="1"/>
  <c r="K859"/>
  <c r="K858"/>
  <c r="D840"/>
  <c r="K857"/>
  <c r="K863"/>
  <c r="G839"/>
  <c r="K854"/>
  <c r="K851"/>
  <c r="K850"/>
  <c r="K852"/>
  <c r="K864"/>
  <c r="K861"/>
  <c r="K848"/>
  <c r="J865"/>
  <c r="K856"/>
  <c r="K853"/>
  <c r="K849"/>
  <c r="I837"/>
  <c r="J906"/>
  <c r="I883"/>
  <c r="J883" s="1"/>
  <c r="J837" l="1"/>
  <c r="I838"/>
  <c r="E840"/>
  <c r="K865"/>
  <c r="K906"/>
  <c r="C900" l="1"/>
  <c r="C899"/>
  <c r="A897"/>
  <c r="A898" s="1"/>
  <c r="A899" s="1"/>
  <c r="A900" s="1"/>
  <c r="A901" s="1"/>
  <c r="A902" s="1"/>
  <c r="O885"/>
  <c r="N885"/>
  <c r="M885"/>
  <c r="L885"/>
  <c r="H885"/>
  <c r="C885"/>
  <c r="A888" s="1"/>
  <c r="G884"/>
  <c r="H907"/>
  <c r="I907"/>
  <c r="G882"/>
  <c r="H905"/>
  <c r="I905"/>
  <c r="G881"/>
  <c r="H904"/>
  <c r="I904"/>
  <c r="G880"/>
  <c r="H903"/>
  <c r="I903"/>
  <c r="G879"/>
  <c r="H902"/>
  <c r="I902"/>
  <c r="G878"/>
  <c r="H901"/>
  <c r="I901"/>
  <c r="G877"/>
  <c r="H900"/>
  <c r="I900"/>
  <c r="E900"/>
  <c r="G876"/>
  <c r="H899"/>
  <c r="I899"/>
  <c r="E899"/>
  <c r="G875"/>
  <c r="H898"/>
  <c r="I898"/>
  <c r="H897"/>
  <c r="I897"/>
  <c r="G870"/>
  <c r="D911" s="1"/>
  <c r="A919"/>
  <c r="D919"/>
  <c r="E919"/>
  <c r="F919"/>
  <c r="H944" s="1"/>
  <c r="G919"/>
  <c r="A920"/>
  <c r="D920"/>
  <c r="E920"/>
  <c r="I958" s="1"/>
  <c r="F920"/>
  <c r="G920"/>
  <c r="D958" s="1"/>
  <c r="A921"/>
  <c r="D921"/>
  <c r="E921"/>
  <c r="F921"/>
  <c r="H959" s="1"/>
  <c r="G921"/>
  <c r="D959" s="1"/>
  <c r="A922"/>
  <c r="D922"/>
  <c r="E956" s="1"/>
  <c r="E922"/>
  <c r="I956" s="1"/>
  <c r="F922"/>
  <c r="H956" s="1"/>
  <c r="G922"/>
  <c r="A923"/>
  <c r="D923"/>
  <c r="E923"/>
  <c r="F923"/>
  <c r="H945" s="1"/>
  <c r="G923"/>
  <c r="A924"/>
  <c r="D924"/>
  <c r="E946" s="1"/>
  <c r="E924"/>
  <c r="F924"/>
  <c r="H946" s="1"/>
  <c r="G924"/>
  <c r="A925"/>
  <c r="D925"/>
  <c r="E947" s="1"/>
  <c r="E925"/>
  <c r="F925"/>
  <c r="H947" s="1"/>
  <c r="G925"/>
  <c r="A926"/>
  <c r="D926"/>
  <c r="E948" s="1"/>
  <c r="E926"/>
  <c r="I948" s="1"/>
  <c r="F926"/>
  <c r="H948" s="1"/>
  <c r="G926"/>
  <c r="A927"/>
  <c r="D927"/>
  <c r="E949" s="1"/>
  <c r="E927"/>
  <c r="I949" s="1"/>
  <c r="F927"/>
  <c r="H949" s="1"/>
  <c r="G927"/>
  <c r="A928"/>
  <c r="D928"/>
  <c r="E928"/>
  <c r="I950" s="1"/>
  <c r="F928"/>
  <c r="H950" s="1"/>
  <c r="G928"/>
  <c r="A929"/>
  <c r="D929"/>
  <c r="E951" s="1"/>
  <c r="E929"/>
  <c r="F929"/>
  <c r="H951" s="1"/>
  <c r="G929"/>
  <c r="A930"/>
  <c r="D930"/>
  <c r="E952" s="1"/>
  <c r="E930"/>
  <c r="I952" s="1"/>
  <c r="F930"/>
  <c r="H952" s="1"/>
  <c r="G930"/>
  <c r="A931"/>
  <c r="D931"/>
  <c r="E953" s="1"/>
  <c r="E931"/>
  <c r="I953" s="1"/>
  <c r="F931"/>
  <c r="H953" s="1"/>
  <c r="G931"/>
  <c r="A932"/>
  <c r="D932"/>
  <c r="E954" s="1"/>
  <c r="E932"/>
  <c r="F932"/>
  <c r="H954" s="1"/>
  <c r="G932"/>
  <c r="C933"/>
  <c r="A936" s="1"/>
  <c r="H933"/>
  <c r="L933"/>
  <c r="M933"/>
  <c r="N933"/>
  <c r="O933"/>
  <c r="C944"/>
  <c r="E944"/>
  <c r="I944"/>
  <c r="A945"/>
  <c r="A946" s="1"/>
  <c r="A947" s="1"/>
  <c r="A948" s="1"/>
  <c r="A949" s="1"/>
  <c r="A950" s="1"/>
  <c r="C945"/>
  <c r="E945"/>
  <c r="I945"/>
  <c r="C946"/>
  <c r="C947"/>
  <c r="C948"/>
  <c r="C949"/>
  <c r="C950"/>
  <c r="C951"/>
  <c r="C952"/>
  <c r="C953"/>
  <c r="C954"/>
  <c r="C956"/>
  <c r="C958"/>
  <c r="C959"/>
  <c r="I932" l="1"/>
  <c r="J932" s="1"/>
  <c r="I924"/>
  <c r="J924" s="1"/>
  <c r="J945"/>
  <c r="I920"/>
  <c r="J920" s="1"/>
  <c r="I954"/>
  <c r="J953"/>
  <c r="I928"/>
  <c r="J928" s="1"/>
  <c r="I927"/>
  <c r="J927" s="1"/>
  <c r="G885"/>
  <c r="B888" s="1"/>
  <c r="I873"/>
  <c r="J873" s="1"/>
  <c r="I871"/>
  <c r="J871" s="1"/>
  <c r="I872"/>
  <c r="J872" s="1"/>
  <c r="C913"/>
  <c r="I913"/>
  <c r="J897"/>
  <c r="J901"/>
  <c r="J905"/>
  <c r="J912"/>
  <c r="A904"/>
  <c r="A906" s="1"/>
  <c r="A903"/>
  <c r="A905" s="1"/>
  <c r="A907" s="1"/>
  <c r="A909" s="1"/>
  <c r="A911" s="1"/>
  <c r="A912" s="1"/>
  <c r="J900"/>
  <c r="J904"/>
  <c r="J911"/>
  <c r="J899"/>
  <c r="J903"/>
  <c r="J898"/>
  <c r="J902"/>
  <c r="J907"/>
  <c r="I870"/>
  <c r="I874"/>
  <c r="J874" s="1"/>
  <c r="I878"/>
  <c r="J878" s="1"/>
  <c r="I882"/>
  <c r="J882" s="1"/>
  <c r="F885"/>
  <c r="J896"/>
  <c r="I875"/>
  <c r="J875" s="1"/>
  <c r="I879"/>
  <c r="J879" s="1"/>
  <c r="I884"/>
  <c r="J884" s="1"/>
  <c r="E885"/>
  <c r="C888" s="1"/>
  <c r="I876"/>
  <c r="J876" s="1"/>
  <c r="I880"/>
  <c r="J880" s="1"/>
  <c r="D885"/>
  <c r="J909"/>
  <c r="I877"/>
  <c r="J877" s="1"/>
  <c r="I881"/>
  <c r="J881" s="1"/>
  <c r="J954"/>
  <c r="K954" s="1"/>
  <c r="J952"/>
  <c r="J949"/>
  <c r="I921"/>
  <c r="J921" s="1"/>
  <c r="H958"/>
  <c r="J958" s="1"/>
  <c r="J956"/>
  <c r="E950"/>
  <c r="J950" s="1"/>
  <c r="I946"/>
  <c r="C960"/>
  <c r="E933"/>
  <c r="C936" s="1"/>
  <c r="I931"/>
  <c r="J931" s="1"/>
  <c r="I929"/>
  <c r="J929" s="1"/>
  <c r="I925"/>
  <c r="J925" s="1"/>
  <c r="D933"/>
  <c r="I919"/>
  <c r="J919" s="1"/>
  <c r="J946"/>
  <c r="J948"/>
  <c r="G933"/>
  <c r="B936" s="1"/>
  <c r="I923"/>
  <c r="J923" s="1"/>
  <c r="I922"/>
  <c r="J922" s="1"/>
  <c r="A952"/>
  <c r="A951"/>
  <c r="A953" s="1"/>
  <c r="A954" s="1"/>
  <c r="A956" s="1"/>
  <c r="A958" s="1"/>
  <c r="A959" s="1"/>
  <c r="I951"/>
  <c r="J951" s="1"/>
  <c r="I947"/>
  <c r="J947" s="1"/>
  <c r="J944"/>
  <c r="F933"/>
  <c r="I930"/>
  <c r="J930" s="1"/>
  <c r="I926"/>
  <c r="J926" s="1"/>
  <c r="I959"/>
  <c r="J959" s="1"/>
  <c r="K896" l="1"/>
  <c r="K950"/>
  <c r="D936"/>
  <c r="K953"/>
  <c r="K946"/>
  <c r="K949"/>
  <c r="K951"/>
  <c r="G935"/>
  <c r="K909"/>
  <c r="K912"/>
  <c r="K959"/>
  <c r="K958"/>
  <c r="K947"/>
  <c r="K911"/>
  <c r="D888"/>
  <c r="G887"/>
  <c r="K902"/>
  <c r="K907"/>
  <c r="K903"/>
  <c r="K900"/>
  <c r="K905"/>
  <c r="J870"/>
  <c r="I885"/>
  <c r="K904"/>
  <c r="J913"/>
  <c r="K898"/>
  <c r="K897"/>
  <c r="K899"/>
  <c r="K901"/>
  <c r="K956"/>
  <c r="K945"/>
  <c r="I960"/>
  <c r="K944"/>
  <c r="J960"/>
  <c r="K952"/>
  <c r="I933"/>
  <c r="K948"/>
  <c r="K913" l="1"/>
  <c r="I886"/>
  <c r="E888"/>
  <c r="J885"/>
  <c r="K960"/>
  <c r="I934"/>
  <c r="E936"/>
  <c r="J933"/>
  <c r="C1005"/>
  <c r="C1004"/>
  <c r="C1002"/>
  <c r="C1000"/>
  <c r="C999"/>
  <c r="C998"/>
  <c r="C997"/>
  <c r="C996"/>
  <c r="C995"/>
  <c r="C994"/>
  <c r="C993"/>
  <c r="C992"/>
  <c r="C991"/>
  <c r="C990"/>
  <c r="A991"/>
  <c r="A992" s="1"/>
  <c r="A993" s="1"/>
  <c r="A994" s="1"/>
  <c r="A995" s="1"/>
  <c r="A996" s="1"/>
  <c r="O979"/>
  <c r="N979"/>
  <c r="M979"/>
  <c r="L979"/>
  <c r="H979"/>
  <c r="C979"/>
  <c r="A982" s="1"/>
  <c r="G978"/>
  <c r="F978"/>
  <c r="H1000" s="1"/>
  <c r="E978"/>
  <c r="I1000" s="1"/>
  <c r="D978"/>
  <c r="E1000" s="1"/>
  <c r="A978"/>
  <c r="G977"/>
  <c r="F977"/>
  <c r="H999" s="1"/>
  <c r="E977"/>
  <c r="I999" s="1"/>
  <c r="D977"/>
  <c r="A977"/>
  <c r="G976"/>
  <c r="F976"/>
  <c r="H998" s="1"/>
  <c r="E976"/>
  <c r="I998" s="1"/>
  <c r="D976"/>
  <c r="E998" s="1"/>
  <c r="A976"/>
  <c r="G975"/>
  <c r="F975"/>
  <c r="H997" s="1"/>
  <c r="E975"/>
  <c r="I997" s="1"/>
  <c r="D975"/>
  <c r="E997" s="1"/>
  <c r="A975"/>
  <c r="G974"/>
  <c r="F974"/>
  <c r="H996" s="1"/>
  <c r="E974"/>
  <c r="I996" s="1"/>
  <c r="D974"/>
  <c r="E996" s="1"/>
  <c r="A974"/>
  <c r="G973"/>
  <c r="F973"/>
  <c r="H995" s="1"/>
  <c r="E973"/>
  <c r="I995" s="1"/>
  <c r="D973"/>
  <c r="A973"/>
  <c r="G972"/>
  <c r="F972"/>
  <c r="H994" s="1"/>
  <c r="E972"/>
  <c r="I994" s="1"/>
  <c r="D972"/>
  <c r="E994" s="1"/>
  <c r="A972"/>
  <c r="G971"/>
  <c r="F971"/>
  <c r="H993" s="1"/>
  <c r="E971"/>
  <c r="I993" s="1"/>
  <c r="D971"/>
  <c r="E993" s="1"/>
  <c r="A971"/>
  <c r="G970"/>
  <c r="F970"/>
  <c r="H992" s="1"/>
  <c r="E970"/>
  <c r="I992" s="1"/>
  <c r="D970"/>
  <c r="E992" s="1"/>
  <c r="A970"/>
  <c r="G969"/>
  <c r="F969"/>
  <c r="H991" s="1"/>
  <c r="E969"/>
  <c r="I991" s="1"/>
  <c r="D969"/>
  <c r="A969"/>
  <c r="G968"/>
  <c r="F968"/>
  <c r="H1002" s="1"/>
  <c r="E968"/>
  <c r="I1002" s="1"/>
  <c r="D968"/>
  <c r="E1002" s="1"/>
  <c r="A968"/>
  <c r="G967"/>
  <c r="D1005" s="1"/>
  <c r="F967"/>
  <c r="H1005" s="1"/>
  <c r="E967"/>
  <c r="I1005" s="1"/>
  <c r="D967"/>
  <c r="A967"/>
  <c r="G966"/>
  <c r="D1004" s="1"/>
  <c r="F966"/>
  <c r="H1004" s="1"/>
  <c r="E966"/>
  <c r="I1004" s="1"/>
  <c r="D966"/>
  <c r="A966"/>
  <c r="G965"/>
  <c r="F965"/>
  <c r="H990" s="1"/>
  <c r="E965"/>
  <c r="I990" s="1"/>
  <c r="D965"/>
  <c r="E990" s="1"/>
  <c r="A965"/>
  <c r="E1021"/>
  <c r="G979" l="1"/>
  <c r="B982" s="1"/>
  <c r="I967"/>
  <c r="J967" s="1"/>
  <c r="I966"/>
  <c r="J966" s="1"/>
  <c r="C1006"/>
  <c r="J1005"/>
  <c r="I969"/>
  <c r="J969" s="1"/>
  <c r="J993"/>
  <c r="I973"/>
  <c r="J973" s="1"/>
  <c r="J997"/>
  <c r="I977"/>
  <c r="J977" s="1"/>
  <c r="F979"/>
  <c r="J990"/>
  <c r="I1006"/>
  <c r="J1002"/>
  <c r="J994"/>
  <c r="J998"/>
  <c r="A998"/>
  <c r="A997"/>
  <c r="A999" s="1"/>
  <c r="A1000" s="1"/>
  <c r="A1002" s="1"/>
  <c r="A1004" s="1"/>
  <c r="A1005" s="1"/>
  <c r="J1004"/>
  <c r="K1004" s="1"/>
  <c r="J992"/>
  <c r="J996"/>
  <c r="J1000"/>
  <c r="I970"/>
  <c r="J970" s="1"/>
  <c r="I974"/>
  <c r="J974" s="1"/>
  <c r="I978"/>
  <c r="J978" s="1"/>
  <c r="E979"/>
  <c r="C982" s="1"/>
  <c r="E991"/>
  <c r="J991" s="1"/>
  <c r="E995"/>
  <c r="J995" s="1"/>
  <c r="E999"/>
  <c r="J999" s="1"/>
  <c r="I971"/>
  <c r="J971" s="1"/>
  <c r="I975"/>
  <c r="J975" s="1"/>
  <c r="D979"/>
  <c r="I968"/>
  <c r="J968" s="1"/>
  <c r="I972"/>
  <c r="J972" s="1"/>
  <c r="I976"/>
  <c r="J976" s="1"/>
  <c r="I965"/>
  <c r="J965" s="1"/>
  <c r="N1026"/>
  <c r="M1026"/>
  <c r="O1026"/>
  <c r="L1026"/>
  <c r="D1023"/>
  <c r="K995" l="1"/>
  <c r="D982"/>
  <c r="K991"/>
  <c r="K1005"/>
  <c r="K1000"/>
  <c r="G981"/>
  <c r="K999"/>
  <c r="I979"/>
  <c r="K997"/>
  <c r="K990"/>
  <c r="K1002"/>
  <c r="K994"/>
  <c r="J1006"/>
  <c r="K992"/>
  <c r="K996"/>
  <c r="K993"/>
  <c r="K998"/>
  <c r="J979" l="1"/>
  <c r="I980"/>
  <c r="E982"/>
  <c r="K1006"/>
  <c r="C1053" l="1"/>
  <c r="C1052"/>
  <c r="C1050"/>
  <c r="C1048"/>
  <c r="C1047"/>
  <c r="C1046"/>
  <c r="C1045"/>
  <c r="C1044"/>
  <c r="C1043"/>
  <c r="C1042"/>
  <c r="C1041"/>
  <c r="C1040"/>
  <c r="C1039"/>
  <c r="C1038"/>
  <c r="A1038"/>
  <c r="A1039" s="1"/>
  <c r="A1040" s="1"/>
  <c r="A1041" s="1"/>
  <c r="A1042" s="1"/>
  <c r="A1043" s="1"/>
  <c r="A1044" s="1"/>
  <c r="C1037"/>
  <c r="H1026"/>
  <c r="C1026"/>
  <c r="A1029" s="1"/>
  <c r="G1025"/>
  <c r="F1025"/>
  <c r="H1048" s="1"/>
  <c r="E1025"/>
  <c r="I1048" s="1"/>
  <c r="D1025"/>
  <c r="E1048" s="1"/>
  <c r="A1025"/>
  <c r="G1024"/>
  <c r="F1024"/>
  <c r="H1047" s="1"/>
  <c r="E1024"/>
  <c r="I1047" s="1"/>
  <c r="D1024"/>
  <c r="A1024"/>
  <c r="G1023"/>
  <c r="F1023"/>
  <c r="H1046" s="1"/>
  <c r="E1023"/>
  <c r="A1023"/>
  <c r="G1022"/>
  <c r="F1022"/>
  <c r="H1045" s="1"/>
  <c r="E1022"/>
  <c r="I1045" s="1"/>
  <c r="D1022"/>
  <c r="E1045" s="1"/>
  <c r="A1022"/>
  <c r="G1021"/>
  <c r="F1021"/>
  <c r="H1044" s="1"/>
  <c r="I1044"/>
  <c r="D1021"/>
  <c r="E1044" s="1"/>
  <c r="A1021"/>
  <c r="G1020"/>
  <c r="F1020"/>
  <c r="H1043" s="1"/>
  <c r="E1020"/>
  <c r="I1043" s="1"/>
  <c r="D1020"/>
  <c r="A1020"/>
  <c r="G1019"/>
  <c r="F1019"/>
  <c r="H1042" s="1"/>
  <c r="E1019"/>
  <c r="I1042" s="1"/>
  <c r="D1019"/>
  <c r="E1042" s="1"/>
  <c r="A1019"/>
  <c r="G1018"/>
  <c r="F1018"/>
  <c r="H1041" s="1"/>
  <c r="E1018"/>
  <c r="I1041" s="1"/>
  <c r="D1018"/>
  <c r="E1041" s="1"/>
  <c r="A1018"/>
  <c r="G1017"/>
  <c r="F1017"/>
  <c r="H1040" s="1"/>
  <c r="E1017"/>
  <c r="I1040" s="1"/>
  <c r="D1017"/>
  <c r="E1040" s="1"/>
  <c r="A1017"/>
  <c r="G1016"/>
  <c r="F1016"/>
  <c r="H1039" s="1"/>
  <c r="E1016"/>
  <c r="I1039" s="1"/>
  <c r="D1016"/>
  <c r="A1016"/>
  <c r="G1015"/>
  <c r="F1015"/>
  <c r="H1050" s="1"/>
  <c r="E1015"/>
  <c r="I1050" s="1"/>
  <c r="D1015"/>
  <c r="E1050" s="1"/>
  <c r="A1015"/>
  <c r="G1014"/>
  <c r="D1053" s="1"/>
  <c r="F1014"/>
  <c r="H1053" s="1"/>
  <c r="E1014"/>
  <c r="I1053" s="1"/>
  <c r="D1014"/>
  <c r="A1014"/>
  <c r="G1013"/>
  <c r="D1052" s="1"/>
  <c r="F1013"/>
  <c r="H1052" s="1"/>
  <c r="E1013"/>
  <c r="I1052" s="1"/>
  <c r="D1013"/>
  <c r="A1013"/>
  <c r="G1012"/>
  <c r="F1012"/>
  <c r="H1038" s="1"/>
  <c r="E1012"/>
  <c r="I1038" s="1"/>
  <c r="D1012"/>
  <c r="E1038" s="1"/>
  <c r="A1012"/>
  <c r="G1011"/>
  <c r="F1011"/>
  <c r="E1011"/>
  <c r="I1037" s="1"/>
  <c r="D1011"/>
  <c r="E1037" s="1"/>
  <c r="A1011"/>
  <c r="I1046" l="1"/>
  <c r="I1054" s="1"/>
  <c r="I1023"/>
  <c r="J1023" s="1"/>
  <c r="I1016"/>
  <c r="J1016" s="1"/>
  <c r="J1042"/>
  <c r="G1026"/>
  <c r="B1029" s="1"/>
  <c r="C1054"/>
  <c r="I1024"/>
  <c r="J1024" s="1"/>
  <c r="J1050"/>
  <c r="I1020"/>
  <c r="J1020" s="1"/>
  <c r="I1014"/>
  <c r="J1014" s="1"/>
  <c r="F1026"/>
  <c r="I1013"/>
  <c r="J1013" s="1"/>
  <c r="E1046"/>
  <c r="H1037"/>
  <c r="J1053"/>
  <c r="J1041"/>
  <c r="J1045"/>
  <c r="J1037"/>
  <c r="J1052"/>
  <c r="J1040"/>
  <c r="J1044"/>
  <c r="J1048"/>
  <c r="J1038"/>
  <c r="A1046"/>
  <c r="A1045"/>
  <c r="A1047" s="1"/>
  <c r="A1048" s="1"/>
  <c r="A1050" s="1"/>
  <c r="A1052" s="1"/>
  <c r="A1053" s="1"/>
  <c r="I1018"/>
  <c r="J1018" s="1"/>
  <c r="D1026"/>
  <c r="I1017"/>
  <c r="J1017" s="1"/>
  <c r="I1021"/>
  <c r="J1021" s="1"/>
  <c r="I1025"/>
  <c r="J1025" s="1"/>
  <c r="E1026"/>
  <c r="C1029" s="1"/>
  <c r="E1039"/>
  <c r="J1039" s="1"/>
  <c r="E1043"/>
  <c r="J1043" s="1"/>
  <c r="E1047"/>
  <c r="J1047" s="1"/>
  <c r="I1022"/>
  <c r="J1022" s="1"/>
  <c r="I1011"/>
  <c r="I1015"/>
  <c r="J1015" s="1"/>
  <c r="I1019"/>
  <c r="J1019" s="1"/>
  <c r="I1012"/>
  <c r="J1012" s="1"/>
  <c r="C1101"/>
  <c r="C1100"/>
  <c r="C1098"/>
  <c r="C1092"/>
  <c r="C1093"/>
  <c r="C1094"/>
  <c r="C1095"/>
  <c r="C1096"/>
  <c r="C1091"/>
  <c r="C1090"/>
  <c r="C1089"/>
  <c r="C1088"/>
  <c r="C1087"/>
  <c r="C1086"/>
  <c r="C1085"/>
  <c r="C1074"/>
  <c r="K1052" l="1"/>
  <c r="D1029"/>
  <c r="J1046"/>
  <c r="K1046" s="1"/>
  <c r="K1039"/>
  <c r="K1047"/>
  <c r="K1053"/>
  <c r="K1043"/>
  <c r="G1028"/>
  <c r="K1037"/>
  <c r="K1044"/>
  <c r="K1045"/>
  <c r="K1050"/>
  <c r="K1048"/>
  <c r="K1042"/>
  <c r="K1038"/>
  <c r="I1026"/>
  <c r="J1011"/>
  <c r="K1040"/>
  <c r="K1041"/>
  <c r="C1102"/>
  <c r="A1072"/>
  <c r="A1073"/>
  <c r="J1054" l="1"/>
  <c r="K1054" s="1"/>
  <c r="J1026"/>
  <c r="I1027"/>
  <c r="E1029"/>
  <c r="A1086" l="1"/>
  <c r="A1087" s="1"/>
  <c r="A1088" s="1"/>
  <c r="A1089" s="1"/>
  <c r="A1090" s="1"/>
  <c r="A1091" s="1"/>
  <c r="A1092" s="1"/>
  <c r="C1110"/>
  <c r="E1146"/>
  <c r="H1074"/>
  <c r="D1059"/>
  <c r="E1085" s="1"/>
  <c r="D1060"/>
  <c r="E1086" s="1"/>
  <c r="D1061"/>
  <c r="D1062"/>
  <c r="D1063"/>
  <c r="D1064"/>
  <c r="E1087" s="1"/>
  <c r="D1065"/>
  <c r="E1088" s="1"/>
  <c r="D1066"/>
  <c r="E1089" s="1"/>
  <c r="D1067"/>
  <c r="E1090" s="1"/>
  <c r="D1068"/>
  <c r="E1091" s="1"/>
  <c r="D1069"/>
  <c r="E1092" s="1"/>
  <c r="D1070"/>
  <c r="E1093" s="1"/>
  <c r="D1071"/>
  <c r="E1094" s="1"/>
  <c r="D1072"/>
  <c r="E1095" s="1"/>
  <c r="E1098" l="1"/>
  <c r="A1094"/>
  <c r="A1093"/>
  <c r="A1095" s="1"/>
  <c r="A1096" s="1"/>
  <c r="A1098" s="1"/>
  <c r="A1100" s="1"/>
  <c r="A1101" s="1"/>
  <c r="E1110"/>
  <c r="G1072" l="1"/>
  <c r="G1071"/>
  <c r="F1071"/>
  <c r="H1094" s="1"/>
  <c r="E1059" l="1"/>
  <c r="I1085" s="1"/>
  <c r="F1059"/>
  <c r="H1085" s="1"/>
  <c r="G1059"/>
  <c r="G1060"/>
  <c r="D1125" s="1"/>
  <c r="G1061"/>
  <c r="A1070"/>
  <c r="A1071"/>
  <c r="A1059"/>
  <c r="E1071"/>
  <c r="I1094" s="1"/>
  <c r="J1094" s="1"/>
  <c r="E1119"/>
  <c r="H1119"/>
  <c r="C1119"/>
  <c r="J1085" l="1"/>
  <c r="D1126"/>
  <c r="D1100"/>
  <c r="I1119"/>
  <c r="J1119" s="1"/>
  <c r="I1071"/>
  <c r="J1071" s="1"/>
  <c r="I1110"/>
  <c r="I1059"/>
  <c r="H1110"/>
  <c r="J1110" l="1"/>
  <c r="K1110" s="1"/>
  <c r="K1085"/>
  <c r="K1094"/>
  <c r="K1119"/>
  <c r="J1059"/>
  <c r="C1126" l="1"/>
  <c r="C1125"/>
  <c r="C1123"/>
  <c r="C1121"/>
  <c r="C1120"/>
  <c r="C1118"/>
  <c r="C1117"/>
  <c r="C1116"/>
  <c r="C1115"/>
  <c r="C1114"/>
  <c r="C1113"/>
  <c r="C1112"/>
  <c r="A1112"/>
  <c r="A1113" s="1"/>
  <c r="A1114" s="1"/>
  <c r="A1115" s="1"/>
  <c r="A1116" s="1"/>
  <c r="A1117" s="1"/>
  <c r="C1111"/>
  <c r="A1077"/>
  <c r="G1073"/>
  <c r="F1073"/>
  <c r="E1073"/>
  <c r="D1073"/>
  <c r="E1096" s="1"/>
  <c r="F1072"/>
  <c r="E1072"/>
  <c r="E1120"/>
  <c r="G1070"/>
  <c r="F1070"/>
  <c r="E1070"/>
  <c r="G1069"/>
  <c r="F1069"/>
  <c r="E1069"/>
  <c r="A1069"/>
  <c r="G1068"/>
  <c r="F1068"/>
  <c r="E1068"/>
  <c r="E1116"/>
  <c r="A1068"/>
  <c r="G1067"/>
  <c r="F1067"/>
  <c r="E1067"/>
  <c r="E1115"/>
  <c r="A1067"/>
  <c r="G1066"/>
  <c r="F1066"/>
  <c r="E1066"/>
  <c r="E1114"/>
  <c r="A1066"/>
  <c r="G1065"/>
  <c r="F1065"/>
  <c r="E1065"/>
  <c r="A1065"/>
  <c r="G1064"/>
  <c r="F1064"/>
  <c r="E1064"/>
  <c r="E1112"/>
  <c r="A1064"/>
  <c r="G1063"/>
  <c r="F1063"/>
  <c r="E1063"/>
  <c r="E1111"/>
  <c r="A1063"/>
  <c r="G1062"/>
  <c r="D1101" s="1"/>
  <c r="F1062"/>
  <c r="E1062"/>
  <c r="I1101" s="1"/>
  <c r="A1062"/>
  <c r="F1061"/>
  <c r="E1061"/>
  <c r="A1061"/>
  <c r="F1060"/>
  <c r="H1086" s="1"/>
  <c r="E1060"/>
  <c r="I1086" s="1"/>
  <c r="A1060"/>
  <c r="H1126" l="1"/>
  <c r="H1100"/>
  <c r="H1111"/>
  <c r="H1098"/>
  <c r="I1112"/>
  <c r="I1087"/>
  <c r="I1113"/>
  <c r="I1088"/>
  <c r="J1086"/>
  <c r="I1126"/>
  <c r="I1100"/>
  <c r="H1123"/>
  <c r="H1101"/>
  <c r="J1101" s="1"/>
  <c r="I1111"/>
  <c r="I1098"/>
  <c r="I1063"/>
  <c r="J1063" s="1"/>
  <c r="H1112"/>
  <c r="J1112" s="1"/>
  <c r="H1087"/>
  <c r="J1087" s="1"/>
  <c r="H1113"/>
  <c r="H1088"/>
  <c r="J1088" s="1"/>
  <c r="I1114"/>
  <c r="I1089"/>
  <c r="H1115"/>
  <c r="H1090"/>
  <c r="I1116"/>
  <c r="I1091"/>
  <c r="I1117"/>
  <c r="I1092"/>
  <c r="H1118"/>
  <c r="H1093"/>
  <c r="H1120"/>
  <c r="H1095"/>
  <c r="I1121"/>
  <c r="I1096"/>
  <c r="H1114"/>
  <c r="H1089"/>
  <c r="I1115"/>
  <c r="I1090"/>
  <c r="H1116"/>
  <c r="H1091"/>
  <c r="H1117"/>
  <c r="H1092"/>
  <c r="I1118"/>
  <c r="I1093"/>
  <c r="I1120"/>
  <c r="I1095"/>
  <c r="H1121"/>
  <c r="H1096"/>
  <c r="A1118"/>
  <c r="A1120" s="1"/>
  <c r="A1121" s="1"/>
  <c r="A1123" s="1"/>
  <c r="A1125" s="1"/>
  <c r="A1126" s="1"/>
  <c r="A1119"/>
  <c r="I1123"/>
  <c r="I1062"/>
  <c r="J1062" s="1"/>
  <c r="E1121"/>
  <c r="D1074"/>
  <c r="F1074"/>
  <c r="I1125"/>
  <c r="E1074"/>
  <c r="C1077" s="1"/>
  <c r="G1074"/>
  <c r="B1077" s="1"/>
  <c r="E1123"/>
  <c r="C1127"/>
  <c r="I1060"/>
  <c r="I1061"/>
  <c r="J1061" s="1"/>
  <c r="I1065"/>
  <c r="J1065" s="1"/>
  <c r="I1069"/>
  <c r="J1069" s="1"/>
  <c r="I1070"/>
  <c r="J1070" s="1"/>
  <c r="I1072"/>
  <c r="J1072" s="1"/>
  <c r="I1067"/>
  <c r="J1067" s="1"/>
  <c r="I1066"/>
  <c r="J1066" s="1"/>
  <c r="I1073"/>
  <c r="J1073" s="1"/>
  <c r="E1113"/>
  <c r="E1117"/>
  <c r="E1118"/>
  <c r="H1125"/>
  <c r="I1068"/>
  <c r="J1068" s="1"/>
  <c r="I1064"/>
  <c r="J1064" s="1"/>
  <c r="C1146"/>
  <c r="J1113" l="1"/>
  <c r="K1113" s="1"/>
  <c r="J1120"/>
  <c r="K1120" s="1"/>
  <c r="J1116"/>
  <c r="K1116" s="1"/>
  <c r="J1114"/>
  <c r="K1114" s="1"/>
  <c r="J1096"/>
  <c r="J1091"/>
  <c r="K1091" s="1"/>
  <c r="J1089"/>
  <c r="K1089" s="1"/>
  <c r="J1121"/>
  <c r="K1121" s="1"/>
  <c r="J1126"/>
  <c r="K1126" s="1"/>
  <c r="J1117"/>
  <c r="K1117" s="1"/>
  <c r="J1125"/>
  <c r="K1125" s="1"/>
  <c r="J1115"/>
  <c r="K1115" s="1"/>
  <c r="J1111"/>
  <c r="K1111" s="1"/>
  <c r="J1092"/>
  <c r="K1092" s="1"/>
  <c r="J1118"/>
  <c r="K1118" s="1"/>
  <c r="I1102"/>
  <c r="D1077"/>
  <c r="I1127"/>
  <c r="K1101"/>
  <c r="K1086"/>
  <c r="K1096"/>
  <c r="J1095"/>
  <c r="K1095" s="1"/>
  <c r="J1093"/>
  <c r="K1093" s="1"/>
  <c r="J1090"/>
  <c r="K1090" s="1"/>
  <c r="K1088"/>
  <c r="K1087"/>
  <c r="J1098"/>
  <c r="K1098" s="1"/>
  <c r="J1100"/>
  <c r="K1100" s="1"/>
  <c r="G1076"/>
  <c r="J1123"/>
  <c r="K1123" s="1"/>
  <c r="J1060"/>
  <c r="I1074"/>
  <c r="K1112"/>
  <c r="E1137"/>
  <c r="E1136"/>
  <c r="E1135"/>
  <c r="J1127" l="1"/>
  <c r="K1127" s="1"/>
  <c r="I1075"/>
  <c r="J1102"/>
  <c r="K1102" s="1"/>
  <c r="E1077"/>
  <c r="J1074"/>
  <c r="A1136" l="1"/>
  <c r="A1137" s="1"/>
  <c r="A1138" s="1"/>
  <c r="A1139" s="1"/>
  <c r="A1140" s="1"/>
  <c r="A1141" s="1"/>
  <c r="A1142" s="1"/>
  <c r="A1143" s="1"/>
  <c r="C1149"/>
  <c r="C1148"/>
  <c r="C1144"/>
  <c r="C1143"/>
  <c r="C1142"/>
  <c r="C1141"/>
  <c r="C1140"/>
  <c r="C1139"/>
  <c r="C1138"/>
  <c r="C1137"/>
  <c r="C1136"/>
  <c r="C1135"/>
  <c r="H1144"/>
  <c r="I1144"/>
  <c r="E1144"/>
  <c r="H1143"/>
  <c r="I1143"/>
  <c r="H1142"/>
  <c r="I1142"/>
  <c r="E1142"/>
  <c r="H1141"/>
  <c r="I1141"/>
  <c r="E1141"/>
  <c r="H1140"/>
  <c r="I1140"/>
  <c r="H1139"/>
  <c r="I1139"/>
  <c r="E1139"/>
  <c r="H1138"/>
  <c r="I1138"/>
  <c r="E1138"/>
  <c r="H1137"/>
  <c r="I1137"/>
  <c r="H1136"/>
  <c r="I1136"/>
  <c r="H1135"/>
  <c r="I1135"/>
  <c r="H1146"/>
  <c r="I1146"/>
  <c r="H1149"/>
  <c r="I1149"/>
  <c r="I1148"/>
  <c r="A1144" l="1"/>
  <c r="A1146" s="1"/>
  <c r="A1148" s="1"/>
  <c r="A1149" s="1"/>
  <c r="J1149"/>
  <c r="J1141"/>
  <c r="J1144"/>
  <c r="C1150"/>
  <c r="J1137"/>
  <c r="J1135"/>
  <c r="J1150" s="1"/>
  <c r="K1150" s="1"/>
  <c r="J1146"/>
  <c r="I1150"/>
  <c r="J1138"/>
  <c r="J1142"/>
  <c r="J1139"/>
  <c r="J1136"/>
  <c r="E1143"/>
  <c r="J1143" s="1"/>
  <c r="E1140"/>
  <c r="J1140" s="1"/>
  <c r="H1148"/>
  <c r="J1148" s="1"/>
  <c r="K1140" l="1"/>
  <c r="K1143"/>
  <c r="K1148"/>
  <c r="K1144"/>
  <c r="K1136"/>
  <c r="K1146"/>
  <c r="K1142"/>
  <c r="K1137"/>
  <c r="K1149"/>
  <c r="K1139"/>
  <c r="K1141"/>
  <c r="K1135"/>
  <c r="K1138"/>
  <c r="C1172" l="1"/>
  <c r="C1158"/>
  <c r="C1167"/>
  <c r="I1163" l="1"/>
  <c r="I1164"/>
  <c r="I1165"/>
  <c r="I1166"/>
  <c r="I1167"/>
  <c r="I1168"/>
  <c r="I1162"/>
  <c r="I1161"/>
  <c r="I1172"/>
  <c r="H1167"/>
  <c r="E1167"/>
  <c r="J1167" l="1"/>
  <c r="K1167" l="1"/>
  <c r="C1173" l="1"/>
  <c r="C1170"/>
  <c r="C1168"/>
  <c r="C1166"/>
  <c r="C1165"/>
  <c r="C1164"/>
  <c r="C1163"/>
  <c r="C1162"/>
  <c r="C1161"/>
  <c r="C1160"/>
  <c r="C1159"/>
  <c r="H1172"/>
  <c r="J1172" s="1"/>
  <c r="C1193"/>
  <c r="K1172" l="1"/>
  <c r="C1174"/>
  <c r="C1196"/>
  <c r="J1196" s="1"/>
  <c r="K1196" s="1"/>
  <c r="C1195"/>
  <c r="J1195" s="1"/>
  <c r="K1195" s="1"/>
  <c r="J1193"/>
  <c r="C1183"/>
  <c r="J1183" s="1"/>
  <c r="C1184"/>
  <c r="J1184" s="1"/>
  <c r="C1185"/>
  <c r="J1185" s="1"/>
  <c r="C1186"/>
  <c r="J1186" s="1"/>
  <c r="C1187"/>
  <c r="J1187" s="1"/>
  <c r="C1188"/>
  <c r="J1188" s="1"/>
  <c r="C1189"/>
  <c r="J1189" s="1"/>
  <c r="C1190"/>
  <c r="J1190" s="1"/>
  <c r="C1191"/>
  <c r="J1191" s="1"/>
  <c r="C1182"/>
  <c r="J1182" s="1"/>
  <c r="I1197"/>
  <c r="C1197" l="1"/>
  <c r="J1197"/>
  <c r="G1198" s="1"/>
  <c r="K1188" l="1"/>
  <c r="K1184"/>
  <c r="K1193"/>
  <c r="K1191" l="1"/>
  <c r="K1183"/>
  <c r="K1182"/>
  <c r="K1189"/>
  <c r="K1185"/>
  <c r="K1186"/>
  <c r="K1187"/>
  <c r="K1190"/>
  <c r="K1197" l="1"/>
  <c r="F1209" l="1"/>
  <c r="H1208"/>
  <c r="F1207"/>
  <c r="C1217" l="1"/>
  <c r="J1217" s="1"/>
  <c r="C1216"/>
  <c r="J1216" s="1"/>
  <c r="C1215"/>
  <c r="J1215" s="1"/>
  <c r="C1214"/>
  <c r="J1214" s="1"/>
  <c r="C1213"/>
  <c r="J1213" s="1"/>
  <c r="C1212"/>
  <c r="J1212" s="1"/>
  <c r="C1211"/>
  <c r="J1211" s="1"/>
  <c r="C1210"/>
  <c r="J1210" s="1"/>
  <c r="C1209"/>
  <c r="J1209" s="1"/>
  <c r="C1208"/>
  <c r="J1208" s="1"/>
  <c r="C1207"/>
  <c r="J1207" s="1"/>
  <c r="C1206"/>
  <c r="J1206" s="1"/>
  <c r="C1219"/>
  <c r="J1219" s="1"/>
  <c r="C1222"/>
  <c r="J1222" s="1"/>
  <c r="I1223"/>
  <c r="C1249"/>
  <c r="C1221" l="1"/>
  <c r="J1221" s="1"/>
  <c r="J1223" s="1"/>
  <c r="C1223" l="1"/>
  <c r="I1249" l="1"/>
  <c r="J1248" l="1"/>
  <c r="J1247"/>
  <c r="J1245"/>
  <c r="J1243"/>
  <c r="J1242"/>
  <c r="J1241"/>
  <c r="J1240"/>
  <c r="J1239"/>
  <c r="J1238"/>
  <c r="J1237"/>
  <c r="J1236"/>
  <c r="J1235"/>
  <c r="J1234"/>
  <c r="J1233"/>
  <c r="J1232"/>
  <c r="J1231"/>
  <c r="J1249" l="1"/>
  <c r="J1268" l="1"/>
  <c r="J1267"/>
  <c r="J1266"/>
  <c r="J1265"/>
  <c r="J1264"/>
  <c r="J1263"/>
  <c r="J1262"/>
  <c r="J1260"/>
  <c r="J1257"/>
  <c r="J1271"/>
  <c r="J1274"/>
  <c r="J1273"/>
  <c r="I1275"/>
  <c r="J1261"/>
  <c r="C1275" l="1"/>
  <c r="J1259"/>
  <c r="J1258"/>
  <c r="J1269"/>
  <c r="J1275" l="1"/>
  <c r="F1295" l="1"/>
  <c r="H1295"/>
  <c r="F1286"/>
  <c r="H1285"/>
  <c r="F1284"/>
  <c r="I1301"/>
  <c r="J1295" l="1"/>
  <c r="J1294"/>
  <c r="J1293"/>
  <c r="J1292"/>
  <c r="J1291"/>
  <c r="J1290"/>
  <c r="J1289"/>
  <c r="J1288"/>
  <c r="J1287"/>
  <c r="J1286"/>
  <c r="J1285"/>
  <c r="J1284"/>
  <c r="J1297"/>
  <c r="J1300"/>
  <c r="J1299"/>
  <c r="J1283" l="1"/>
  <c r="J1301" s="1"/>
  <c r="C1301"/>
  <c r="I1330" l="1"/>
  <c r="J1324"/>
  <c r="J1310" l="1"/>
  <c r="J1323" l="1"/>
  <c r="J1322"/>
  <c r="J1321"/>
  <c r="J1320"/>
  <c r="J1319"/>
  <c r="J1318"/>
  <c r="J1317"/>
  <c r="J1316"/>
  <c r="J1315"/>
  <c r="J1314"/>
  <c r="J1313"/>
  <c r="J1312"/>
  <c r="C1326"/>
  <c r="J1326" s="1"/>
  <c r="C1329"/>
  <c r="J1329" s="1"/>
  <c r="C1328"/>
  <c r="J1328" s="1"/>
  <c r="C1357"/>
  <c r="J1311" l="1"/>
  <c r="J1330" s="1"/>
  <c r="C1330"/>
  <c r="J1370" l="1"/>
  <c r="J1351" l="1"/>
  <c r="J1350"/>
  <c r="J1349"/>
  <c r="J1348"/>
  <c r="J1347"/>
  <c r="J1346"/>
  <c r="J1345"/>
  <c r="J1344"/>
  <c r="J1343"/>
  <c r="J1342"/>
  <c r="J1341"/>
  <c r="J1340"/>
  <c r="J1339"/>
  <c r="J1353"/>
  <c r="J1356"/>
  <c r="J1355"/>
  <c r="I1357"/>
  <c r="J1338" l="1"/>
  <c r="J1357" s="1"/>
  <c r="I1385" l="1"/>
  <c r="J1378" l="1"/>
  <c r="J1375" l="1"/>
  <c r="J1371"/>
  <c r="J1367"/>
  <c r="J1381"/>
  <c r="J1383"/>
  <c r="J1384"/>
  <c r="J1377"/>
  <c r="J1376"/>
  <c r="J1374"/>
  <c r="J1373"/>
  <c r="J1372"/>
  <c r="J1369"/>
  <c r="J1368"/>
  <c r="J1366"/>
  <c r="J1379" l="1"/>
  <c r="J1385" s="1"/>
  <c r="K1385" s="1"/>
  <c r="C1302" l="1"/>
  <c r="C1276"/>
  <c r="J1402"/>
  <c r="J1403" l="1"/>
  <c r="J1401"/>
  <c r="J1400"/>
  <c r="J1399"/>
  <c r="J1398"/>
  <c r="J1397"/>
  <c r="J1396"/>
  <c r="J1395"/>
  <c r="J1394"/>
  <c r="J1393"/>
  <c r="J1407"/>
  <c r="J1410"/>
  <c r="J1409"/>
  <c r="J1405" l="1"/>
  <c r="J1404"/>
  <c r="J1411" l="1"/>
  <c r="J1429" l="1"/>
  <c r="F1419" l="1"/>
  <c r="J1453"/>
  <c r="J1456"/>
  <c r="J1437"/>
  <c r="J1436"/>
  <c r="J1435"/>
  <c r="C1428" l="1"/>
  <c r="J1428" s="1"/>
  <c r="C1427"/>
  <c r="J1427" s="1"/>
  <c r="C1426"/>
  <c r="J1426" s="1"/>
  <c r="C1425"/>
  <c r="J1425" s="1"/>
  <c r="C1424"/>
  <c r="J1424" s="1"/>
  <c r="J1423"/>
  <c r="C1422"/>
  <c r="J1422" s="1"/>
  <c r="C1421"/>
  <c r="J1421" s="1"/>
  <c r="C1420"/>
  <c r="J1420" s="1"/>
  <c r="C1419"/>
  <c r="J1419" s="1"/>
  <c r="C1431"/>
  <c r="J1431" s="1"/>
  <c r="C1434"/>
  <c r="J1434" s="1"/>
  <c r="C1433" l="1"/>
  <c r="J1433" s="1"/>
  <c r="J1438" s="1"/>
  <c r="J1464" l="1"/>
  <c r="J1463"/>
  <c r="J1462"/>
  <c r="J1515"/>
  <c r="J1488"/>
  <c r="J1487"/>
  <c r="J1485"/>
  <c r="E1483"/>
  <c r="J1483" s="1"/>
  <c r="E1482"/>
  <c r="J1482" s="1"/>
  <c r="E1480"/>
  <c r="J1480" s="1"/>
  <c r="H1479"/>
  <c r="E1479"/>
  <c r="F1478"/>
  <c r="E1478"/>
  <c r="E1477"/>
  <c r="J1477" s="1"/>
  <c r="I1476"/>
  <c r="H1476"/>
  <c r="E1476"/>
  <c r="I1475"/>
  <c r="E1475"/>
  <c r="H1474"/>
  <c r="E1474"/>
  <c r="I1473"/>
  <c r="J1465"/>
  <c r="J1449"/>
  <c r="J1461"/>
  <c r="B1449" l="1"/>
  <c r="B1453"/>
  <c r="B1454"/>
  <c r="B1447"/>
  <c r="B1450"/>
  <c r="B1451"/>
  <c r="B1448"/>
  <c r="B1452"/>
  <c r="J1448"/>
  <c r="I1490"/>
  <c r="J1475"/>
  <c r="J1458"/>
  <c r="J1474"/>
  <c r="J1446"/>
  <c r="J1452"/>
  <c r="J1447"/>
  <c r="J1460"/>
  <c r="J1455"/>
  <c r="J1478"/>
  <c r="J1476"/>
  <c r="J1479"/>
  <c r="J1473"/>
  <c r="J1451" l="1"/>
  <c r="J1450"/>
  <c r="J1454"/>
  <c r="C1481"/>
  <c r="J1466" l="1"/>
  <c r="C1490"/>
  <c r="J1481"/>
  <c r="J1490" s="1"/>
  <c r="K1219" l="1"/>
  <c r="K1206"/>
  <c r="K1222"/>
  <c r="K1212"/>
  <c r="K1217"/>
  <c r="K1216"/>
  <c r="K1288" l="1"/>
  <c r="K1210"/>
  <c r="K1239"/>
  <c r="K1213"/>
  <c r="K1208"/>
  <c r="K1240"/>
  <c r="K1214"/>
  <c r="K1209"/>
  <c r="K1207"/>
  <c r="K1237"/>
  <c r="K1211"/>
  <c r="K1241"/>
  <c r="K1236"/>
  <c r="K1289"/>
  <c r="K1285"/>
  <c r="K1300"/>
  <c r="K1248"/>
  <c r="K1235"/>
  <c r="K1287"/>
  <c r="K1242"/>
  <c r="K1294"/>
  <c r="K1243"/>
  <c r="K1295"/>
  <c r="K1290"/>
  <c r="K1238"/>
  <c r="K1297"/>
  <c r="K1245"/>
  <c r="K1221"/>
  <c r="K1284"/>
  <c r="K1292"/>
  <c r="K1283"/>
  <c r="K1291"/>
  <c r="K1234"/>
  <c r="K1232"/>
  <c r="K1233"/>
  <c r="K1286"/>
  <c r="K1231"/>
  <c r="K1293" l="1"/>
  <c r="K1215"/>
  <c r="K1299"/>
  <c r="K1247"/>
  <c r="K1223" l="1"/>
  <c r="K1301"/>
  <c r="K1438"/>
  <c r="K1249"/>
  <c r="H1158" l="1"/>
  <c r="H1159"/>
  <c r="H1170"/>
  <c r="H1160"/>
  <c r="I1170"/>
  <c r="H1173"/>
  <c r="H1164"/>
  <c r="H1163"/>
  <c r="H1161"/>
  <c r="H1165"/>
  <c r="J1165" s="1"/>
  <c r="I1158"/>
  <c r="H1162"/>
  <c r="I1173"/>
  <c r="H1166"/>
  <c r="H1168"/>
  <c r="I1160"/>
  <c r="E1164"/>
  <c r="E1163"/>
  <c r="E1162"/>
  <c r="I1159"/>
  <c r="E1166"/>
  <c r="K1165" l="1"/>
  <c r="J1173"/>
  <c r="K1173" s="1"/>
  <c r="J1160"/>
  <c r="K1160" s="1"/>
  <c r="E1161"/>
  <c r="J1161" s="1"/>
  <c r="K1161" s="1"/>
  <c r="E1159"/>
  <c r="J1159" s="1"/>
  <c r="E1168"/>
  <c r="J1168" s="1"/>
  <c r="K1168" s="1"/>
  <c r="I1174"/>
  <c r="J1163"/>
  <c r="J1166"/>
  <c r="J1162"/>
  <c r="E1158"/>
  <c r="J1158" s="1"/>
  <c r="J1164"/>
  <c r="J1170"/>
  <c r="K1163" l="1"/>
  <c r="K1170"/>
  <c r="K1159"/>
  <c r="K1158"/>
  <c r="J1174"/>
  <c r="K1162"/>
  <c r="K1164"/>
  <c r="K1166"/>
  <c r="G1175" l="1"/>
  <c r="K1174"/>
  <c r="G25" i="153" l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l="1"/>
  <c r="G72"/>
  <c r="G73" s="1"/>
  <c r="G74" s="1"/>
  <c r="G75" s="1"/>
  <c r="G76" s="1"/>
  <c r="G77" l="1"/>
  <c r="G78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</calcChain>
</file>

<file path=xl/sharedStrings.xml><?xml version="1.0" encoding="utf-8"?>
<sst xmlns="http://schemas.openxmlformats.org/spreadsheetml/2006/main" count="5383" uniqueCount="827">
  <si>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</si>
  <si>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</si>
  <si>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</si>
  <si>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</si>
  <si>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</si>
  <si>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</si>
  <si>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</si>
  <si>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</si>
  <si>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</si>
  <si>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</si>
  <si>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</si>
  <si>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</si>
  <si>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</si>
  <si>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</si>
  <si>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</si>
  <si>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</si>
  <si>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</si>
  <si>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</si>
  <si>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</si>
  <si>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</si>
  <si>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</si>
  <si>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</si>
  <si>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</si>
  <si>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</si>
  <si>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</si>
  <si>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</si>
  <si>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</si>
  <si>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</si>
  <si>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</si>
  <si>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</si>
  <si>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</si>
  <si>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</si>
  <si>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</si>
  <si>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</si>
  <si>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</si>
  <si>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</si>
  <si>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</si>
  <si>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</si>
  <si>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</si>
  <si>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</si>
  <si>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</si>
  <si>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</si>
  <si>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</si>
  <si>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</si>
  <si>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</si>
  <si>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</si>
  <si>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</si>
  <si>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</si>
  <si>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</si>
  <si>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</si>
  <si>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</si>
  <si>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</si>
  <si>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</si>
  <si>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</si>
  <si>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</si>
  <si>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</si>
  <si>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</si>
  <si>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</si>
  <si>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</si>
  <si>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</si>
  <si>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</si>
  <si>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</si>
  <si>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</si>
  <si>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</si>
  <si>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</si>
  <si>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</si>
  <si>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</si>
  <si>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</si>
  <si>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</si>
  <si>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</si>
  <si>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</si>
  <si>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</si>
  <si>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</si>
  <si>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</si>
  <si>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</si>
  <si>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</si>
  <si>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</si>
  <si>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</si>
  <si>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</si>
  <si>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</si>
  <si>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</si>
  <si>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</si>
  <si>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</si>
  <si>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</si>
  <si>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</si>
  <si>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</si>
  <si>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</si>
  <si>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</si>
  <si>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</si>
  <si>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</si>
  <si>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</si>
  <si>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</si>
  <si>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</si>
  <si>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</si>
  <si>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</si>
  <si>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</si>
  <si>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</si>
  <si>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</si>
  <si>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</si>
  <si>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</si>
  <si>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</si>
  <si>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</si>
  <si>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</si>
  <si>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</si>
  <si>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</si>
  <si>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</si>
  <si>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</si>
  <si>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</si>
  <si>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</si>
  <si>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</si>
  <si>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</si>
  <si>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</si>
  <si>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</si>
  <si>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</si>
  <si>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</si>
  <si>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</si>
  <si>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</si>
  <si>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</si>
  <si>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</si>
  <si>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</si>
  <si>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</si>
  <si>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</si>
  <si>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</si>
  <si>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</si>
  <si>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</si>
  <si>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</si>
  <si>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</si>
  <si>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</si>
  <si>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</si>
  <si>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</si>
  <si>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</si>
  <si>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</si>
  <si>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</si>
  <si>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</si>
  <si>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</si>
  <si>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</si>
  <si>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</si>
  <si>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</si>
  <si>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</si>
  <si>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</si>
  <si>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</si>
  <si>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</si>
  <si>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</si>
  <si>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</si>
  <si>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</si>
  <si>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</si>
  <si>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</si>
  <si>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</si>
  <si>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</si>
  <si>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</si>
  <si>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</si>
  <si>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</si>
  <si>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</si>
  <si>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</si>
  <si>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</si>
  <si>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</si>
  <si>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</si>
  <si>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</si>
  <si>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</si>
  <si>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</si>
  <si>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</si>
  <si>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</si>
  <si>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</si>
  <si>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</si>
  <si>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</si>
  <si>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</si>
  <si>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</si>
  <si>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</si>
  <si>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</si>
  <si>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</si>
  <si>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</si>
  <si>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</si>
  <si>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</si>
  <si>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</si>
  <si>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</si>
  <si>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</si>
  <si>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</si>
  <si>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</si>
  <si>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</si>
  <si>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</si>
  <si>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</si>
  <si>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</si>
  <si>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</si>
  <si>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</si>
  <si>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</si>
  <si>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</si>
  <si>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</si>
  <si>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</si>
  <si>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</si>
  <si>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</si>
  <si>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</si>
  <si>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</si>
  <si>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</si>
  <si>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</si>
  <si>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</si>
  <si>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</si>
  <si>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</si>
  <si>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</si>
  <si>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</si>
  <si>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</si>
  <si>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</si>
  <si>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</si>
  <si>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</si>
  <si>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</si>
  <si>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</si>
  <si>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</si>
  <si>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</si>
  <si>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</si>
  <si>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</si>
  <si>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</si>
  <si>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</si>
  <si>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</si>
  <si>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</si>
  <si>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</si>
  <si>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</si>
  <si>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</si>
  <si>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</si>
  <si>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</si>
  <si>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</si>
  <si>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</si>
  <si>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</si>
  <si>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</si>
  <si>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</si>
  <si>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</si>
  <si>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</si>
  <si>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</si>
  <si>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</si>
  <si>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</si>
  <si>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</si>
  <si>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</si>
  <si>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</si>
  <si>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</si>
  <si>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</si>
  <si>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</si>
  <si>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</si>
  <si>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</si>
  <si>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</si>
  <si>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</si>
  <si>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</si>
  <si>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</si>
  <si>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</si>
  <si>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</si>
  <si>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</si>
  <si>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</si>
  <si>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</si>
  <si>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</si>
  <si>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</si>
  <si>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</si>
  <si>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</si>
  <si>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</si>
  <si>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</si>
  <si>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</si>
  <si>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</si>
  <si>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</si>
  <si>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</si>
  <si>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</si>
  <si>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</si>
  <si>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</si>
  <si>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</si>
  <si>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</si>
  <si>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</si>
  <si>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</si>
  <si>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</si>
  <si>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</si>
  <si>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</si>
  <si>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</si>
  <si>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</si>
  <si>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</si>
  <si>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</si>
  <si>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</si>
  <si>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</si>
  <si>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</si>
  <si>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</si>
  <si>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</si>
  <si>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</si>
  <si>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</si>
  <si>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</si>
  <si>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</si>
  <si>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</si>
  <si>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</si>
  <si>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</si>
  <si>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</si>
  <si>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</si>
  <si>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</si>
  <si>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</si>
  <si>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</si>
  <si>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</si>
  <si>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</si>
  <si>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</si>
  <si>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</si>
  <si>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</si>
  <si>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</si>
  <si>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</si>
  <si>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RALFF/wildcat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</si>
  <si>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</si>
  <si>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</si>
  <si>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</si>
  <si>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</si>
  <si>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</si>
  <si>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</si>
  <si>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</si>
  <si>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Travel Subsistence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</si>
  <si>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</si>
  <si>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</si>
  <si>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</si>
  <si>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</si>
  <si>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</si>
  <si>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</si>
  <si>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</si>
  <si>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Total Somme de Received</t>
  </si>
  <si>
    <t>Somme de Received</t>
  </si>
  <si>
    <t>Total Somme de Spent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</si>
  <si>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</si>
  <si>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</si>
  <si>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</si>
  <si>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</si>
  <si>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</si>
  <si>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</si>
  <si>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>Lawyer Fees</t>
  </si>
  <si>
    <t xml:space="preserve">Transport </t>
  </si>
  <si>
    <t>BALANCE 31 JUILLET 2023</t>
  </si>
  <si>
    <t>Solde au 01/08/2023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</si>
  <si>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</si>
  <si>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</si>
  <si>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</si>
  <si>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</si>
  <si>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</si>
  <si>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</si>
  <si>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Oui</t>
  </si>
  <si>
    <t>Crepin</t>
  </si>
  <si>
    <t>Merveille/retour caisse</t>
  </si>
  <si>
    <t>OUI</t>
  </si>
  <si>
    <t>Frais de transfert charden farell à IT87</t>
  </si>
  <si>
    <t xml:space="preserve">Merveille </t>
  </si>
  <si>
    <t>Relevé</t>
  </si>
  <si>
    <t>Bank Fees</t>
  </si>
  <si>
    <t>Retrait espèces chèque N°3667375</t>
  </si>
  <si>
    <t>Décharge</t>
  </si>
  <si>
    <t>Travel subsistence</t>
  </si>
  <si>
    <t>Reçu caisse/Hurielle</t>
  </si>
  <si>
    <t>Reçu de Caisse/ IT87</t>
  </si>
  <si>
    <t>Retour caisse/Merveille</t>
  </si>
  <si>
    <t>Reçu caisse/Merveille</t>
  </si>
  <si>
    <t>reçu de caisse/T73</t>
  </si>
  <si>
    <t>Trust building</t>
  </si>
  <si>
    <t>Reçu caisse/Donald-Roméo</t>
  </si>
  <si>
    <t>Reçu de la caisse/Evariste</t>
  </si>
  <si>
    <t>Achat billet Pointe Noire-Brazzaville/Evariste</t>
  </si>
  <si>
    <t>Achat billet de bus Pointe-Noire  -  Brazzaville/Oracle</t>
  </si>
  <si>
    <t>oui</t>
  </si>
  <si>
    <t>Reçu de caisse/P29</t>
  </si>
  <si>
    <t>Achat produit d'entretien bureau/ajax ,javel,lait sucre,café/Bureau PALF</t>
  </si>
  <si>
    <t>ECF</t>
  </si>
  <si>
    <t>RAPPORT FINANCIER SEPTEMBRE 2023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</si>
  <si>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</si>
  <si>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</si>
  <si>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</si>
  <si>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</si>
  <si>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</si>
  <si>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Solde au 01/09/2023</t>
  </si>
  <si>
    <t>Achat credit  teléphonique MTN/PALF/Prémière partie Septembre 2023/Management</t>
  </si>
  <si>
    <t>Achat credit  teléphonique MTN/PALF/Prémière partie Septembre 2023/Legal</t>
  </si>
  <si>
    <t>Achat credit  teléphonique MTN/PALF/Prémière partie Septembre 2023/Investigation</t>
  </si>
  <si>
    <t>Achat credit  teléphonique MTN/PALF/Prémière partie Septembre 2023/Investigation Volontaire</t>
  </si>
  <si>
    <t>Achat credit  teléphonique MTN/PALF/Prémière partie Septembre 2023/Media</t>
  </si>
  <si>
    <t>Achat credit  teléphonique Airtel/PALF/Prémière partie Septembre 2023/Management</t>
  </si>
  <si>
    <t>Achat credit  teléphonique Airtel/PALF/Prémière partie Septembre 2023/Legal</t>
  </si>
  <si>
    <t>Achat credit  teléphonique Airtel/PALF/Prémière partie Septembre 2023/Investigation</t>
  </si>
  <si>
    <t>Achat credit  teléphonique Airtel/PALF/Prémière partie Septembre 2023/Investigation Volontaire</t>
  </si>
  <si>
    <t>Achat credit  teléphonique Airtel/PALF/Prémière partie Septembre 2023/Media</t>
  </si>
  <si>
    <t>BCI-3667377</t>
  </si>
  <si>
    <t>Donald-Roméro</t>
  </si>
  <si>
    <t>Frais de transfert charden farell à Crépin Evariste et Donald</t>
  </si>
  <si>
    <t>Transfer fees</t>
  </si>
  <si>
    <t>Homéfa/retour caisse</t>
  </si>
  <si>
    <t>Hurielle/Retour caisse</t>
  </si>
  <si>
    <t>Oracle/retour caisse</t>
  </si>
  <si>
    <t>Bonus du mois d'Août 2023/Grace</t>
  </si>
  <si>
    <t>Bonus du mois d'Août 2023/Merveille</t>
  </si>
  <si>
    <t>Bonus du mois d'Août 2023/Hurielle</t>
  </si>
  <si>
    <t>Achat 04 Bouteille d'eau minérale/Bureau PALF</t>
  </si>
  <si>
    <t>Lawyer fees</t>
  </si>
  <si>
    <t>Achat agendas et registres /Bureau PALF</t>
  </si>
  <si>
    <t>Frais de transfert charden farell à Evariste et Donald</t>
  </si>
  <si>
    <t>Frais Changement vitre de la chambre du Coordo/Bureau PALF</t>
  </si>
  <si>
    <t xml:space="preserve">Services </t>
  </si>
  <si>
    <t>Reglement électricité periode Juillet-Août 2023</t>
  </si>
  <si>
    <t>Taxes sur Reglement électricité periode Juillet-Août 2023</t>
  </si>
  <si>
    <t>Frais de transfert charden farell  à P29 et T73</t>
  </si>
  <si>
    <t>BCI3654568-34</t>
  </si>
  <si>
    <t>Bonus du mois d'Août 2023/Crépin</t>
  </si>
  <si>
    <t>Bonus du mois d'Août 2023/Donald-Roméo</t>
  </si>
  <si>
    <t>Bonus du mois d'Août 2023/Evariste</t>
  </si>
  <si>
    <t>Bonus média/télécongo</t>
  </si>
  <si>
    <t xml:space="preserve">Bonus opération du 02 Septembre 2023 / Crépin </t>
  </si>
  <si>
    <t>Operation</t>
  </si>
  <si>
    <t>Bonus opération du 02 Septembre 2023 / Merveille</t>
  </si>
  <si>
    <t>Bonus opération du 02 Septembre 2023 / Oracle</t>
  </si>
  <si>
    <t>Bonus opération du 02 Septembre 2023 / Evariste</t>
  </si>
  <si>
    <t>Bonus opération du 02 Septembre 2023 / Donald- Roméo</t>
  </si>
  <si>
    <t xml:space="preserve">Oracle </t>
  </si>
  <si>
    <t>Homefa</t>
  </si>
  <si>
    <t>Achat credit  teléphonique MNT/PALF/Management/Homéfa Dovi</t>
  </si>
  <si>
    <t>Bonus média/Sur Interpellation de 02 trafs à PNR le 02/09/23 avec la Peau de panthere</t>
  </si>
  <si>
    <t>Frais de transfert charden farell à P29,Oracle et T73</t>
  </si>
  <si>
    <t>Achat credit  teléphonique MTN/PALF/deuxième partie Septembre 2023/Management</t>
  </si>
  <si>
    <t>Achat credit  teléphonique MTN/PALF/deuxième partie Septembre 2023/Legal</t>
  </si>
  <si>
    <t>Achat credit  teléphonique MTN/PALF/deuxième partie Septembre 2023/Investigation</t>
  </si>
  <si>
    <t>Achat credit  teléphonique MTN/PALF/deuxième partie Septembre 2023/Investigation Volontaire</t>
  </si>
  <si>
    <t>Achat credit  teléphonique MTN/PALF/deuxième partie Septembre 2023/Media</t>
  </si>
  <si>
    <t>Achat credit  teléphonique Airtel/PALF/deuxième partie Septembre 2023/Management</t>
  </si>
  <si>
    <t>Achat credit  teléphonique Airtel/PALF/deuxième partie Septembre 2023/Legal</t>
  </si>
  <si>
    <t>Achat credit  teléphonique Airtel/PALF/deuxième partie Septembre 2023/Investigation</t>
  </si>
  <si>
    <t>Achat credit  teléphonique Airtel/PALF/deuxième partie Septembre 2023/Investigation Volontaire</t>
  </si>
  <si>
    <t>Homefa/retour caisse</t>
  </si>
  <si>
    <t>BCI-3654566</t>
  </si>
  <si>
    <t>Frais de transfert charden farell à Hurielle</t>
  </si>
  <si>
    <t>Achat Cartouches d'encre noire et couleur et Enveloppe A5/Bureau PALF</t>
  </si>
  <si>
    <t>Frais de transfert charden à Crepin</t>
  </si>
  <si>
    <t>Achat 50 Litres de gazoil pour le groupe electrogène/Bureau PALF</t>
  </si>
  <si>
    <t>Frais de transfert charden farell à P29,T73,Evariste,Donald-Roméo et Crépin</t>
  </si>
  <si>
    <t>BCI3654570-34</t>
  </si>
  <si>
    <t>Frais de transfert charden farell à Donald,Crepin et Evariste</t>
  </si>
  <si>
    <t>Frais de transfert à Evariste</t>
  </si>
  <si>
    <t>Frais de transfert charden farell à Donald-Roméo</t>
  </si>
  <si>
    <t>Bonus opération du 02 Septembre 2023/Hurielle</t>
  </si>
  <si>
    <t>Achat 06 Bouteille d'eau minérale/Bureau PALF</t>
  </si>
  <si>
    <t>Entretretien général Jardin, Bureau PALF Mois de Septembre 2023/Bureau PALF</t>
  </si>
  <si>
    <t>Bonus media portant sur l'interpellation des présumés trafiquant d'ivoire,les 16 et 18/09/2023 à Owando et Mbomo</t>
  </si>
  <si>
    <t>Homéfa</t>
  </si>
  <si>
    <t>Frais d'Impression 30 t-shirt et Casquettes/Participation Forum UE-Congo</t>
  </si>
  <si>
    <t>Publications</t>
  </si>
  <si>
    <t>Bonus media portant sur l'interpellation des présumés trafiquant d'ivoire,les 16 et 18/09/2023 à Owando et Mbomo/telecongo</t>
  </si>
  <si>
    <t>Achat carte sim enqueteur/T73</t>
  </si>
  <si>
    <t>Reglemeent Facture Internet (Canal Box_Periode du 02/10 au 1/11/ 2023)</t>
  </si>
  <si>
    <t>Taxe/Reglemeent Facture Internet (Canal Box_Periode du 02/10 au 1/11/ 2023)</t>
  </si>
  <si>
    <t>Règlement prestation technicienne de surface (mois de Septembre  2023)/Bureau PALF</t>
  </si>
  <si>
    <t>Bonus du mois de Septembre 2023/Grace MOLENDE</t>
  </si>
  <si>
    <t>Paiement Prime de fin d'année /Fin Contrat CDD/Grace MOLENDE</t>
  </si>
  <si>
    <t>Grace /Retour Caisse_Solde Compta</t>
  </si>
  <si>
    <t>Agios du 30/06/2023 au 31/07/2023</t>
  </si>
  <si>
    <t>Retrait especes/appro caisse/bord n°3654568</t>
  </si>
  <si>
    <t>Retrait especes/appro caisse/bord n°3654566</t>
  </si>
  <si>
    <t>Retrait especes/appro caisse/bord n°3654570</t>
  </si>
  <si>
    <t>Agios du 31/07/2023 au 31/08/2023</t>
  </si>
  <si>
    <t>Reglement loyer mois de d'Août 2023/Pluriel solution ch N°3667387</t>
  </si>
  <si>
    <t>Reglement Honoraire du mois d'Août 2023/P29/ch:3667388</t>
  </si>
  <si>
    <t>Reglement Honoraire du mois d'Août 2023/T73/ch:3667376</t>
  </si>
  <si>
    <t>Paiement salaire mois de Septembre et Congés 2023/ Grace Molende/ CH N°3667386</t>
  </si>
  <si>
    <t>Paiement salaire mois de Septembre 2023/ Crépin IBOUILI IBOUILI/ CH N°3667389</t>
  </si>
  <si>
    <t>Paiement salaire mois de Septembre 2023/MFOULOU Hurielle Gemmy/ CH N°3667390</t>
  </si>
  <si>
    <t>Paiement salaire mois de Septembre 2023/PINDI BINGA Donald-Romé/ CH N°3667391</t>
  </si>
  <si>
    <t>Paiement salaire mois de Septembre 2023/TALOULOU Oracle Ineffable/ CH N°3667394</t>
  </si>
  <si>
    <t>Paiement salaire mois de Septembre 2023/MAHANGA Merveille/ CH N°3667396</t>
  </si>
  <si>
    <t>Paiement salaire mois de Septembre 2023/ Evariste LELOUSSI/ CH N°3667397</t>
  </si>
  <si>
    <t>Paiement salaire mois de Septembre 2023/ DOVI ZENNAWOE Homéfa/ CH N°3667398</t>
  </si>
  <si>
    <t>Reglement Honoraire du mois de Septembre 2023/T73/ch:3667399</t>
  </si>
  <si>
    <t>Reglement Honoraire du mois de Septembre 2023/P29/ch:36673400</t>
  </si>
  <si>
    <t>Reglement loyer mois de de Septembre 2023/Pluriel solution ch N°36673401</t>
  </si>
  <si>
    <t>Cumul frais de transport du local mois de Septembre 2023/ Grace MOLENDE</t>
  </si>
  <si>
    <t>Retour caisse/ solde compta /Grace MOLENDE</t>
  </si>
  <si>
    <t>Rafraichissement et plats pendant l'attente ,OP pour Jules, 3 gendarmes, 1 agent EF et moi</t>
  </si>
  <si>
    <t>Bonus pour 1 agent EF après l'opération</t>
  </si>
  <si>
    <t>Bonus 2 OPJ (SRJ) après l'opération.</t>
  </si>
  <si>
    <t>Reçu de caisse /Crépin</t>
  </si>
  <si>
    <t>Bonus pour 14 gendarmes de l'ESSIG qui ont participé à l'opération</t>
  </si>
  <si>
    <t>Billet: Pointe Noire-Brazzaville/Crépin</t>
  </si>
  <si>
    <t>Billet: Brazzaville-Owando/Crépin</t>
  </si>
  <si>
    <t>CREPIN IBOUILI - CONGO Food-Allowance du 11 au 29/09/2023 à 0wando/(18 nuitées)</t>
  </si>
  <si>
    <t>Remis à DOVI /Crépin</t>
  </si>
  <si>
    <t>Remis à Evariste /Crépin</t>
  </si>
  <si>
    <t>Remis à Donald-Roméo /Crépin</t>
  </si>
  <si>
    <t>Remis à Merveille /Crépin</t>
  </si>
  <si>
    <t>Remis à T73 (Frais de location de la suite pour opération) /Crépin</t>
  </si>
  <si>
    <t>CREPIN IBOUILI - CONGO Location suite pour l'opération du 13 au 17/09/2023 à Owando/(04 Nuitées)</t>
  </si>
  <si>
    <t>Raffraichissements et Plats pour 03 gendarmes, 02 EF et moi pendant l'attente de l'opération</t>
  </si>
  <si>
    <t>Reçu de DOVI /Crépin</t>
  </si>
  <si>
    <t>Bonus opération pour 16 gendarmes ayant participé à l'opération du 16/09/2023 à Owando</t>
  </si>
  <si>
    <t>Bonus opération pour 02  EF ayant participé à l'opération du 16/09/2023 à Owando</t>
  </si>
  <si>
    <t xml:space="preserve">Carburant BJ pour la mission de la gendarmerie d'Owando pour MBOMO aller et retour </t>
  </si>
  <si>
    <t>Frais de réparation de la roue de la BJ à Makoua</t>
  </si>
  <si>
    <t>Restauration et raffraichissement pour 15 gendarmes et moi à Mbomo</t>
  </si>
  <si>
    <t>Bonus des 10 gendarmes de mbomo ayant interpellés les personnes dénoncées dans ladite localité</t>
  </si>
  <si>
    <t>Frais d'hotel du Commandant de compagnie de la gendarmerie d'Etoumbi à Owando du 22 au 23/09/2023/(01 Nuitée)</t>
  </si>
  <si>
    <t>Ration mission Mbomo-Owando et transport retour du commandant de compagnie de gendarmerie d'Etoumbi</t>
  </si>
  <si>
    <t xml:space="preserve">Carburant BJ Kéllé ayant effectué les opérations d'interpellation dans la Cuvette Ouest </t>
  </si>
  <si>
    <t>Bonus 15 gendarmes ayant effectué la mission de tranferment des personnes interpellées à Mbomo sur Owando</t>
  </si>
  <si>
    <t>CREPIN IBOUILI - CONGO du 16 au 29/09/2023 à Owando/(13 Nuitées)</t>
  </si>
  <si>
    <t>Billet: Owando-Brazzaville/Crepin</t>
  </si>
  <si>
    <t>Cumul frais de transport Local du Mois de Septembre 2023/Crepin</t>
  </si>
  <si>
    <t xml:space="preserve">Raffraichissement op/ Oracle, deux gendarmes et moi( 4 plats de nourriture) </t>
  </si>
  <si>
    <t>DONALD-ROMEO - CONGO Frais d'hôtel du 31/08 au 03/09/2023 à Pointe-Noire( 03 Nuitées )</t>
  </si>
  <si>
    <t>Frais de la procedure gendarmerie( Rame de papier,chemises cartonnées, sous chemises)</t>
  </si>
  <si>
    <t>Achat billet Pointe Noire -Brazzaville/Donald-Roméo</t>
  </si>
  <si>
    <t>DONALD-ROMEO Frais d'hôtel du 03 au 07/09/2023 à Pointe-Noire (04 Nuitées )</t>
  </si>
  <si>
    <t>Achat billet Brazzaville - Owando/Donald-Roméo</t>
  </si>
  <si>
    <t>Reçu de Crépin/Donald-Roméo</t>
  </si>
  <si>
    <t xml:space="preserve">Raffraichissement op à Awando/ Oracle, un gendarme et moi( 3 plats de nourriture) </t>
  </si>
  <si>
    <t>Frais d'impression des photos pour planche photographique (12 photos)</t>
  </si>
  <si>
    <t>Frais d'impression de la procédure de la gendarmerie</t>
  </si>
  <si>
    <t>Cumul frais de transport Jails visits du mois de Septembre 2023/Donald-Roméo</t>
  </si>
  <si>
    <t>Jail visit</t>
  </si>
  <si>
    <t>DONALD-ROMEO CONGO Frais d'hôtel du 11 au 29/09/2023 à Owando( 18 Nuitées)</t>
  </si>
  <si>
    <t>Achat billet Owando- Brazzaville/Donald-Roméo</t>
  </si>
  <si>
    <t>Cumul frais de transport local du mois de Septembre 2023/Donald-Roméo</t>
  </si>
  <si>
    <t>personnel</t>
  </si>
  <si>
    <t>Team building</t>
  </si>
  <si>
    <t>DOVI-CONGO Frais d'hôtel du 31 Août au 03 Septembre 2023 ( 03 nuitées) à Pointe Noire</t>
  </si>
  <si>
    <t>Achat billet Pointe Noire - Brazzaville/DOVI</t>
  </si>
  <si>
    <t>Achat billet Brazzaville -Owando/DOVI</t>
  </si>
  <si>
    <t>DOVI - CONGO Food allowance du 11 au 17 Septembre 2023 à Owando/(06 nuitées)</t>
  </si>
  <si>
    <t>Achat billet Owando - Brazzaville/DOVI</t>
  </si>
  <si>
    <t>DOVI - CONGO Frais d'hôtel du 11 au 17 Septembre 2023  à Owando/ (06 nuitées )</t>
  </si>
  <si>
    <t>Cumul frais de transport local mois de Septembre 2023/DOVI</t>
  </si>
  <si>
    <t>Remis à P29/Dovi</t>
  </si>
  <si>
    <t>Remis à T73/Dovi</t>
  </si>
  <si>
    <t>Retour caisse/Dovi</t>
  </si>
  <si>
    <t>Reçu caisse/Dovi</t>
  </si>
  <si>
    <t>Reçu de Crépin//Dovi</t>
  </si>
  <si>
    <t>Remis à Crepin/Dovi</t>
  </si>
  <si>
    <t>Rafraichissement pour mon l'équipe de la BJ (opération du 02 septembre 2023 à Pointe Noire)</t>
  </si>
  <si>
    <t>Achat du carburant pour la BJ (opération du 02 septembre 2023 à Pointe Noire)</t>
  </si>
  <si>
    <t xml:space="preserve">EVARISTE - CONG Frais d'hôtel du 31 août au 07 septembre 2023 (7 nuitées) à Pointe Noire  </t>
  </si>
  <si>
    <t>Achat billet Brazzaville-Owando/Evariste</t>
  </si>
  <si>
    <t>EVARISTE-CONGO Food allowance du 11 au 26 septembre 2023 à Owando/(15 nuitées)</t>
  </si>
  <si>
    <t>Achat carburant pour la BJ de la Gendarmerie</t>
  </si>
  <si>
    <t>Rafraichissement pour mon l'équipe de la BJ (opération du 16 septembre 2023 à Owando)</t>
  </si>
  <si>
    <t>Achat billet, Owando-Brazzaville/Evariste</t>
  </si>
  <si>
    <t>EVARISTE - CONGO Frais d'hôtel, du 11 au 26 septembre 2023 à Owando (15 nuitées)</t>
  </si>
  <si>
    <t>Cumul frais de transport local mois de Septembre 2023/Evariste</t>
  </si>
  <si>
    <t>Achat billet Pointe Noire - Brazzaville/Hurielle</t>
  </si>
  <si>
    <t>HURIELLE - CONGO Frais d'hôtel à Pointe-Noire du 31/08/ au 03/09/2023 (Hôtel PKN)</t>
  </si>
  <si>
    <t>Retour Caisse/Hurielle</t>
  </si>
  <si>
    <t>Achat billet Brazzaville - Pointe Noire/Hurielle</t>
  </si>
  <si>
    <t>HURIELLE - CONGO FoodAllowance du 11 au 13/09/2023 à Pointe-Noire</t>
  </si>
  <si>
    <t>Achat billet de retour Pointe Noire - Brazzaville/Hurielle</t>
  </si>
  <si>
    <t>HURIELLE - CONGO Frais d'Hôtel du 11 au 13/09/2023 à Pointe-Noire/(02 nuitées)</t>
  </si>
  <si>
    <t>Achat billet Brazzaville-Pointe Noire/Hurielle</t>
  </si>
  <si>
    <t>Achat billet  Pointe Noire - Dolisie/Hurielle</t>
  </si>
  <si>
    <t>HURIELLE - CONGO Frais d'Hôtel du 18 au 20/09/2023 à Pointe Noire/(02 nuitées)</t>
  </si>
  <si>
    <t>Cumul frais de Jail visit du mois de Septembre 2023/Hurielle</t>
  </si>
  <si>
    <t>HURIELLE - CONGO Frais d'Hôtel du 20 au 22/09/2023 à Dolisie/(02 nuitées)</t>
  </si>
  <si>
    <t>Achat billet Dolisie-Brazzaville/Hurielle</t>
  </si>
  <si>
    <t>Achat billet Brazzaville  - Pointe Noire/Hurielle</t>
  </si>
  <si>
    <t>Cumul frais de transport local du mois de Septembre 2023/Hurielle</t>
  </si>
  <si>
    <t xml:space="preserve">MERVEILLE-CONGO Frais d'hôtel mission du 31 Août  au 02 Septembre 2023 ( 02 Nuitées) à Pointe-Noire </t>
  </si>
  <si>
    <t>Location voiture Pointe Noire  - NKAYI/extraction  T73</t>
  </si>
  <si>
    <t>Raffraichissement attente OP</t>
  </si>
  <si>
    <t xml:space="preserve">MERVEILLE-CONGO Frais d'hôtel mission du 02 au 03 Septembre 2023 ( 01 Nuitée) à Nkayi </t>
  </si>
  <si>
    <t>Achat billet Nkayi - Brazzaville / Merveille</t>
  </si>
  <si>
    <t>Achat billet Brazzaville - Owando/Merveille</t>
  </si>
  <si>
    <t>MERVEILLE-CONGO Food allowance mission du 11 au 17 Septembre 2023 ( 06 Nuitées) à Owando et Oyo</t>
  </si>
  <si>
    <t>Reçu de Crepin/Merveille</t>
  </si>
  <si>
    <t>MERVEILLE-CONGO Frais d'hôtel mission du 11 au 16 Septembre 2023 ( 05 Nuitées) à Owando</t>
  </si>
  <si>
    <t>Location voiture Owando - Oyo/Extraction T73 après opération</t>
  </si>
  <si>
    <t>Achat rafraîchissement en attente Opération</t>
  </si>
  <si>
    <t>MERVEILLE-CONGO Frais d'hôtel du 16 au 17 Septembre 2023 ( 01 Nuitée) à Oyo</t>
  </si>
  <si>
    <t>Achat billet Oyo - Brazzaville/Merveille</t>
  </si>
  <si>
    <t>Cumul frais de transport local du mois de Septembre 2023/Merveille</t>
  </si>
  <si>
    <t>Achat billet Brazzaville - Dolisie/IT87</t>
  </si>
  <si>
    <t>IT87 - CONGO Food Allowance mission du 06 au 14/09/2023 à Dolisie et Mbinda/ ( 08 nuitées )</t>
  </si>
  <si>
    <t>IT87 - CONGO Frais d'hôtel  du 06 au 07/09/2023 à Dolisie (01 Nuitée)</t>
  </si>
  <si>
    <t>Achat billet  Dolisie-Mbinda/IT87</t>
  </si>
  <si>
    <t>IT87 - CONGO Frais d'hôtel  du 07 au 12/09/2023 à Mbinda (05 Nuitées)</t>
  </si>
  <si>
    <t>Achat billet Mbinda - Dolisie/IT87</t>
  </si>
  <si>
    <t>IT87 - CONGO Frais d'hôtel du 12 au 14/09/2023 à Dolisie (02 Nuitées)</t>
  </si>
  <si>
    <t>Achat billet Dolisie-Brazzaville/IT87</t>
  </si>
  <si>
    <t>Achat billet Brazzaville - Pointe Noire/IT87</t>
  </si>
  <si>
    <t>IT87 - CONGO Food Allowance mission du 20 au 27/09/2023 à Pointe-Noire/( 07 nuitées)</t>
  </si>
  <si>
    <t>Achat billet Pointe Noire - Madingou/IT87</t>
  </si>
  <si>
    <t>IT87 - CONGO Frais d'hôtel du 20 au 23/09/2023 à Pointe Noire (03 Nuitées)</t>
  </si>
  <si>
    <t>IT87 - CONGO Frais d'hôtel du 23 au 25/09/2023 à Madingou (02 Nuitées)</t>
  </si>
  <si>
    <t>Achat billet Madingou - Bouansa/IT87</t>
  </si>
  <si>
    <t>IT87 - CONGO Frais d'hôtel du 25 au 27/09/2023 à Bouansa (02 Nuitées)</t>
  </si>
  <si>
    <t>Achat billet Bouansa - Brazzaville/IT87</t>
  </si>
  <si>
    <t>Cumul frais de ration du mois de Septembre 2023/IT87</t>
  </si>
  <si>
    <t>Cumul frais de transport local mois de Septembre 2023/IT87</t>
  </si>
  <si>
    <t>ORACLE TALOULOU-CONGO Frais d'hôtel du 31 Août au 03 Septembre 2023 à Pointe-Noire/(03 Nuitées)</t>
  </si>
  <si>
    <t>Retour Caisse/Oracle</t>
  </si>
  <si>
    <t>Reçu caisse/Oracle</t>
  </si>
  <si>
    <t>Achat billet Brazzaville - Owando/Oracle</t>
  </si>
  <si>
    <t>ORACLE TALOULOU- CONGO Food allowance du 11 au 17 Septembre 2023 à Owando/(06 Nuitées)</t>
  </si>
  <si>
    <t>Rafraichissement OP</t>
  </si>
  <si>
    <t>Achat billet Owando - Brazzaville/Oracle</t>
  </si>
  <si>
    <t>ORACLE TALOULOU - CONGO Frais d'hôtel du 11 au 17 Septembre 2023 à Owando/(06 Nuitées)</t>
  </si>
  <si>
    <t>Achat billet Brazzaville - Loudima/Oracle</t>
  </si>
  <si>
    <t>Billet Loudima - Sibiti/Oracle</t>
  </si>
  <si>
    <t>ORACLE- TALOULOU - CONGO Food allowance du  28 au 30 Septembre 2023 à Sibiti/(02 nuitées)</t>
  </si>
  <si>
    <t xml:space="preserve">Cumul frais de jails visits du mois de Septembre 2023/Oracle </t>
  </si>
  <si>
    <t>ORACLE- TALOULOU - CONGO Frais d'hôtel du  28 au 30 Septembre 2023 à Sibiti/(02 nuitées)</t>
  </si>
  <si>
    <t>Billet Sibiti - Loudima/Oracle</t>
  </si>
  <si>
    <t>Achat billet Loudima - Brazzaville/Oracle</t>
  </si>
  <si>
    <t>Cumul frais de transport local mois de Septembre 2023/Oracle TALOULOU</t>
  </si>
  <si>
    <t>Achat billet Pointe-Noire Brazzaville/P29</t>
  </si>
  <si>
    <t>Achat billet Brazzaville-Owando/P29</t>
  </si>
  <si>
    <t>P29 - CONGO Food allowance mission du 06 au  15/09/2023 à Pointe-Noire/(11 nuitées)</t>
  </si>
  <si>
    <t>P29 - CONGO Frais d'hotel du 06 au 16/09/2023 à owando/(10 nuitées)</t>
  </si>
  <si>
    <t>P29 - CONGO Frais d'hotel du 16 au 17/09/2023 à oyo/(01 nuitée)</t>
  </si>
  <si>
    <t>Achat billet Oyo - Brazzaville/P29</t>
  </si>
  <si>
    <t>Achat billet brazzaville - Pointe Noire/P29</t>
  </si>
  <si>
    <t>P29 - CONGO Food allowance mission du 20 au 27/09/2023 à Pointe-Noire/(07nuitées)</t>
  </si>
  <si>
    <t>P29 -CONGO Frais d'hotel du 20 au 25/09/2023 à Pointe-Noire/(05 nuitées)</t>
  </si>
  <si>
    <t>Achat billet Pointe-Noire - Dolisie/P29</t>
  </si>
  <si>
    <t>Cumul frais de Trust building du mois de Septembre 2023/P29</t>
  </si>
  <si>
    <t>P29 - CONGO Frais d'hotel du 25 au 27/09/2023 à Dolisie/(02 nuitées)</t>
  </si>
  <si>
    <t>Achat billet dolisie-brazzaville/P29</t>
  </si>
  <si>
    <t>Cumul frais de transport local mois de Septembre 2023/P29</t>
  </si>
  <si>
    <t>Reçu de DOVI/T73</t>
  </si>
  <si>
    <t>T73 - CONGO Frais d'hotel du 31/08 au 02/09/2023 (02 nuitées) à Pointe-Noire</t>
  </si>
  <si>
    <t>T73 - CONGO Frais d'Hotel du 02 au 03/09/2023 (01 nuitées) à Nkayi</t>
  </si>
  <si>
    <t>Achat billet : Nkayi - Brazzaville/T73</t>
  </si>
  <si>
    <t>Achat billet : Brazzaville - Owando/T73</t>
  </si>
  <si>
    <t>T73 - CONGO Food Allowance du 06 au 17/09/2023 (11 nuitées) à Owando et Oyo</t>
  </si>
  <si>
    <t>Reçu de Crépin/T73</t>
  </si>
  <si>
    <t>T73 - CONGO Frais d'hotel du 06 au 13/09/2023 (07 nuitées) à Owando</t>
  </si>
  <si>
    <t>T73 - CONGO Frais d'hotel du 16 au 17/09/2023 (01 nuitées ) à OYO</t>
  </si>
  <si>
    <t>T73 - CONGO Frais d'hotel du 13 au 17/09/2023 (04 nuitées pour l'OP) à Owando</t>
  </si>
  <si>
    <t>Achat billet : Oyo - Brazzaville/T73</t>
  </si>
  <si>
    <t>Achat billet : Brazzaville - Loudima/T73</t>
  </si>
  <si>
    <t>T73 - CONGO Food Allowance du 20 au 27/09/2023 (07 nuitées) à sibiti,zanaga et Loudima</t>
  </si>
  <si>
    <t>Achat billet: Loudima - Sibiti/T73</t>
  </si>
  <si>
    <t>T73 - CONGO Frais d'hotel du 20 au 23/09/2023 (03 nuitées pour ) à Sibiti</t>
  </si>
  <si>
    <t>Achat billet Sibiti - Zanaga/T73</t>
  </si>
  <si>
    <t>T73 - CONGO Frais d'hotel du 23 au 25/09/2023 (02 nuitées) à Zanaga</t>
  </si>
  <si>
    <t>Achat billet: Zanaga - Sibiti /T73</t>
  </si>
  <si>
    <t>T73 - CONGO Frais d'hotel du 25 au 26/09/2023 (01 nuitées ) à Sibiti</t>
  </si>
  <si>
    <t>Achat billet : Sibiti - Loudima/T73</t>
  </si>
  <si>
    <t>Cumul frais de trust building du mois de Septembre 2023/T73</t>
  </si>
  <si>
    <t>T73 - CONGO Frais d'hotel du 25 au 26/09/2023 (01 nuitées ) à Loudima</t>
  </si>
  <si>
    <t>Achat billet : Loudima - Brazzaville/T73</t>
  </si>
  <si>
    <t>Cumul frais de transport local du mois de Septembre 2023/T73</t>
  </si>
  <si>
    <t>CONGO</t>
  </si>
  <si>
    <t>5.6</t>
  </si>
  <si>
    <t>4.5</t>
  </si>
  <si>
    <t>4.3</t>
  </si>
  <si>
    <t>4.4</t>
  </si>
  <si>
    <t>Rafraîchissement et restauration offerts à l'équipe PALF après OP</t>
  </si>
  <si>
    <t>Frais de mission maitre Marie Hélène NANITELAMIO à Pointe-Noire du 06 au 07 Septembre 2023</t>
  </si>
  <si>
    <t>Frais de mission maitre Marie Hélène  NANITELAMIO du 11 au 13/09/2023 à Pointe-Noire /Cas OKEMBA et Consorts</t>
  </si>
  <si>
    <t>Frais de mission maitre Marie Hélène  NANITELAMIO du 18 au 22/09/2023 à Pointe-Noire et Dolisie</t>
  </si>
  <si>
    <t>Frais de mission maitre Marie Hélène  NANITELAMIO à Owando du 26 au 29/09/2023 à OWANDO</t>
  </si>
  <si>
    <t>Frais de mission maitre Marie Hélène  NANITELAMIO à Pointe-Noire et Dolisie du 02 au 06/10/2023</t>
  </si>
  <si>
    <t>Paiement Honoraire Me LOCKO Christian/Mois d'Août 2023/3654569</t>
  </si>
  <si>
    <t>1.1.1.9</t>
  </si>
  <si>
    <t>1.1.2.1</t>
  </si>
  <si>
    <t>1.1.1.7</t>
  </si>
  <si>
    <t>1.1.1.4</t>
  </si>
  <si>
    <t>1.1.1.1</t>
  </si>
  <si>
    <t>5.8</t>
  </si>
  <si>
    <t>4.2</t>
  </si>
  <si>
    <t>4.6</t>
  </si>
  <si>
    <t>2.2</t>
  </si>
  <si>
    <t>1.3.2</t>
  </si>
  <si>
    <t>HURIELLE-CONGO Food allowance du 18 au 22/09/2023 à Ponte Noire et Dolisie/(04nuitées)</t>
  </si>
  <si>
    <t>Rafraichissement lors de l'OP</t>
  </si>
  <si>
    <t>Rafraichissement Op (Boissons équipe 3)</t>
  </si>
  <si>
    <t>RALFF-CO4963</t>
  </si>
  <si>
    <t>RALFF-CO4964</t>
  </si>
  <si>
    <t>RALFF-CO4965</t>
  </si>
  <si>
    <t>RALFF-CO4966</t>
  </si>
  <si>
    <t>RALFF-CO4967</t>
  </si>
  <si>
    <t>RALFF-CO4968</t>
  </si>
  <si>
    <t>RALFF-CO4969</t>
  </si>
  <si>
    <t>RALFF-CO4970</t>
  </si>
  <si>
    <t>RALFF-CO4971</t>
  </si>
  <si>
    <t>RALFF-CO4972</t>
  </si>
  <si>
    <t>RALFF-CO4973</t>
  </si>
  <si>
    <t>RALFF-CO4974</t>
  </si>
  <si>
    <t>RALFF-CO4975</t>
  </si>
  <si>
    <t>RALFF-CO4976</t>
  </si>
  <si>
    <t>RALFF-CO4977</t>
  </si>
  <si>
    <t>RALFF-CO4978</t>
  </si>
  <si>
    <t>RALFF-CO4979</t>
  </si>
  <si>
    <t>RALFF-CO4980</t>
  </si>
  <si>
    <t>RALFF-CO4981</t>
  </si>
  <si>
    <t>RALFF-CO4982</t>
  </si>
  <si>
    <t>RALFF-CO4983</t>
  </si>
  <si>
    <t>RALFF-CO4984</t>
  </si>
  <si>
    <t>RALFF-CO4985</t>
  </si>
  <si>
    <t>RALFF-CO4986</t>
  </si>
  <si>
    <t>RALFF-CO4987</t>
  </si>
  <si>
    <t>RALFF-CO4988</t>
  </si>
  <si>
    <t>RALFF-CO4989</t>
  </si>
  <si>
    <t>RALFF-CO4990</t>
  </si>
  <si>
    <t>RALFF-CO4991</t>
  </si>
  <si>
    <t>RALFF-CO4992</t>
  </si>
  <si>
    <t>RALFF-CO4993</t>
  </si>
  <si>
    <t>RALFF-CO4994</t>
  </si>
  <si>
    <t>RALFF-CO4995</t>
  </si>
  <si>
    <t>RALFF-CO4996</t>
  </si>
  <si>
    <t>RALFF-CO4997</t>
  </si>
  <si>
    <t>RALFF-CO4998</t>
  </si>
  <si>
    <t>RALFF-CO4999</t>
  </si>
  <si>
    <t>RALFF-CO5001</t>
  </si>
  <si>
    <t>RALFF-CO5002</t>
  </si>
  <si>
    <t>RALFF-CO5003</t>
  </si>
  <si>
    <t>RALFF-CO5004</t>
  </si>
  <si>
    <t>RALFF-CO5005</t>
  </si>
  <si>
    <t>RALFF-CO5006</t>
  </si>
  <si>
    <t>RALFF-CO5007</t>
  </si>
  <si>
    <t>RALFF-CO5008</t>
  </si>
  <si>
    <t>RALFF-CO5009</t>
  </si>
  <si>
    <t>RALFF-CO5010</t>
  </si>
  <si>
    <t>RALFF-CO5011</t>
  </si>
  <si>
    <t>RALFF-CO5012</t>
  </si>
  <si>
    <t>RALFF-CO5013</t>
  </si>
  <si>
    <t>RALFF-CO5014</t>
  </si>
  <si>
    <t>RALFF-CO5015</t>
  </si>
  <si>
    <t>RALFF-CO5016</t>
  </si>
  <si>
    <t>RALFF-CO5017</t>
  </si>
  <si>
    <t>RALFF-CO5018</t>
  </si>
  <si>
    <t>RALFF-CO5019</t>
  </si>
  <si>
    <t>RALFF-CO5020</t>
  </si>
  <si>
    <t>RALFF-CO5021</t>
  </si>
  <si>
    <t>RALFF-CO5022</t>
  </si>
  <si>
    <t>RALFF-CO5023</t>
  </si>
  <si>
    <t>RALFF-CO5024</t>
  </si>
  <si>
    <t>RALFF-CO5025</t>
  </si>
  <si>
    <t>RALFF-CO5026</t>
  </si>
  <si>
    <t>RALFF-CO5027</t>
  </si>
  <si>
    <t>RALFF-CO5028</t>
  </si>
  <si>
    <t>RALFF-CO5029</t>
  </si>
  <si>
    <t>RALFF-CO5039</t>
  </si>
  <si>
    <t>RALFF-CO5030</t>
  </si>
  <si>
    <t>RALFF-CO5031</t>
  </si>
  <si>
    <t>RALFF-CO5032</t>
  </si>
  <si>
    <t>RALFF-CO5033</t>
  </si>
  <si>
    <t>RALFF-CO5034</t>
  </si>
  <si>
    <t>RALFF-CO5035</t>
  </si>
  <si>
    <t>RALFF-CO5036</t>
  </si>
  <si>
    <t>RALFF-CO5037</t>
  </si>
  <si>
    <t>RALFF-CO5038</t>
  </si>
  <si>
    <t>RALFF-CO5040</t>
  </si>
  <si>
    <t>RALFF-CO5041</t>
  </si>
  <si>
    <t>RALFF-CO5042</t>
  </si>
  <si>
    <t>RALFF-CO5043</t>
  </si>
  <si>
    <t>RALFF-CO5044</t>
  </si>
  <si>
    <t>RALFF-CO5045</t>
  </si>
  <si>
    <t>RALFF-CO5046</t>
  </si>
  <si>
    <t>RALFF-CO5048</t>
  </si>
  <si>
    <t>RALFF-CO5049</t>
  </si>
  <si>
    <t>RALFF-CO5050</t>
  </si>
  <si>
    <t>RALFF-CO5051</t>
  </si>
  <si>
    <t>RALFF-CO5052</t>
  </si>
  <si>
    <t>RALFF-CO5053</t>
  </si>
  <si>
    <t>RALFF-CO5054</t>
  </si>
  <si>
    <t>RALFF-CO5055</t>
  </si>
  <si>
    <t>RALFF-CO5056</t>
  </si>
  <si>
    <t>RALFF-CO5057</t>
  </si>
  <si>
    <t>RALFF-CO5058</t>
  </si>
  <si>
    <t>RALFF-CO5059</t>
  </si>
  <si>
    <t>RALFF-CO5060</t>
  </si>
  <si>
    <t>RALFF-CO5061</t>
  </si>
  <si>
    <t>RALFF-CO5062</t>
  </si>
  <si>
    <t>RALFF-CO5063</t>
  </si>
  <si>
    <t>RALFF-CO5064</t>
  </si>
  <si>
    <t>RALFF-CO5065</t>
  </si>
  <si>
    <t>RALFF-CO5066</t>
  </si>
  <si>
    <t>RALFF-CO5067</t>
  </si>
  <si>
    <t>RALFF-CO5069</t>
  </si>
  <si>
    <t>RALFF-CO5068</t>
  </si>
  <si>
    <t>RALFF-CO5070</t>
  </si>
  <si>
    <t>RALFF-CO5071</t>
  </si>
  <si>
    <t>RALFF-CO5072</t>
  </si>
  <si>
    <t>RALFF-CO5073</t>
  </si>
  <si>
    <t>RALFF-CO5074</t>
  </si>
  <si>
    <t>RALFF-CO5075</t>
  </si>
  <si>
    <t>RALFF-CO5076</t>
  </si>
  <si>
    <t>RALFF-CO5077</t>
  </si>
  <si>
    <t>RALFF-CO5078</t>
  </si>
  <si>
    <t>RALFF-CO5079</t>
  </si>
  <si>
    <t>RALFF-CO5080</t>
  </si>
  <si>
    <t>RALFF-CO5081</t>
  </si>
  <si>
    <t>RALFF-CO5082</t>
  </si>
  <si>
    <t>RALFF-CO5083</t>
  </si>
  <si>
    <t>RALFF-CO5084</t>
  </si>
  <si>
    <t>RALFF-CO5085</t>
  </si>
  <si>
    <t>RALFF-CO5086</t>
  </si>
  <si>
    <t>RALFF-CO5087</t>
  </si>
  <si>
    <t>RALFF-CO5088</t>
  </si>
  <si>
    <t>RALFF-CO5089</t>
  </si>
  <si>
    <t>RALFF-CO5090</t>
  </si>
  <si>
    <t>RALFF-CO5091</t>
  </si>
  <si>
    <t>RALFF-CO5092</t>
  </si>
  <si>
    <t>RALFF-CO5093</t>
  </si>
  <si>
    <t>RALFF-CO5094</t>
  </si>
  <si>
    <t>RALFF-CO5095</t>
  </si>
  <si>
    <t>RALFF-CO5096</t>
  </si>
  <si>
    <t>RALFF-CO5097</t>
  </si>
  <si>
    <t>RALFF-CO5098</t>
  </si>
  <si>
    <t>RALFF-CO5099</t>
  </si>
  <si>
    <t>RALFF-CO5100</t>
  </si>
  <si>
    <t>RALFF-CO5101</t>
  </si>
  <si>
    <t>RALFF-CO5102</t>
  </si>
  <si>
    <t>RALFF-CO5103</t>
  </si>
  <si>
    <t>RALFF-CO5104</t>
  </si>
  <si>
    <t>RALFF-CO5105</t>
  </si>
  <si>
    <t>RALFF-CO5106</t>
  </si>
  <si>
    <t>RALFF-CO5107</t>
  </si>
  <si>
    <t>RALFF-CO5108</t>
  </si>
  <si>
    <t>RALFF-CO5109</t>
  </si>
  <si>
    <t>RALFF-CO5110</t>
  </si>
  <si>
    <t>RALFF-CO5111</t>
  </si>
  <si>
    <t>RALFF-CO5112</t>
  </si>
  <si>
    <t>RALFF-CO5113</t>
  </si>
  <si>
    <t>RALFF-CO5114</t>
  </si>
  <si>
    <t>RALFF-CO5115</t>
  </si>
  <si>
    <t>RALFF-CO5116</t>
  </si>
  <si>
    <t>RALFF-CO5117</t>
  </si>
  <si>
    <t>RALFF-CO5118</t>
  </si>
  <si>
    <t>RALFF-CO5119</t>
  </si>
  <si>
    <t>RALFF-CO5120</t>
  </si>
  <si>
    <t>RALFF-CO5121</t>
  </si>
  <si>
    <t>RALFF-CO5000</t>
  </si>
  <si>
    <t>CREPIN IBOUILI - CONGO Frais d'hôtel du 31/08/ au 07/09/2023  à Pointe-Noire/(7 Nuitées)</t>
  </si>
  <si>
    <t>CREPIN IBOUILI - CONGO frais d'hôtel du 11 au 13/09/2023  à Owando/(02 Nuitées)</t>
  </si>
  <si>
    <t>DONALD-ROMEO - CONGO Food Allowance Mission du 11 /09/2023 au 29/09/2023 à Owando/(18nuitées)</t>
  </si>
  <si>
    <t>Achat rallonges et adaptateur/Bureau PALF pour forum UE</t>
  </si>
  <si>
    <t>Investisgations</t>
  </si>
  <si>
    <t>DSWF</t>
  </si>
  <si>
    <t>P29 - CONGO Frais d'hotel du  31/08/2023 au 03/09/2023 à Pointe-Noire/(03 Nuitées)</t>
  </si>
  <si>
    <t>Column Labels</t>
  </si>
  <si>
    <t>Row Labels</t>
  </si>
  <si>
    <t>Grand Total</t>
  </si>
  <si>
    <t>(blank)</t>
  </si>
  <si>
    <t>Sum of Spent</t>
  </si>
  <si>
    <t>RALFF/wildcat+DSWF</t>
  </si>
</sst>
</file>

<file path=xl/styles.xml><?xml version="1.0" encoding="utf-8"?>
<styleSheet xmlns="http://schemas.openxmlformats.org/spreadsheetml/2006/main">
  <numFmts count="11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  <numFmt numFmtId="172" formatCode="[$-40C]General"/>
    <numFmt numFmtId="173" formatCode="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b/>
      <sz val="14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51" fillId="0" borderId="0">
      <protection locked="0"/>
    </xf>
  </cellStyleXfs>
  <cellXfs count="3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/>
    <xf numFmtId="0" fontId="18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/>
    <xf numFmtId="165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5" fontId="29" fillId="0" borderId="0" xfId="1" applyNumberFormat="1" applyFont="1" applyFill="1" applyBorder="1" applyProtection="1"/>
    <xf numFmtId="0" fontId="18" fillId="17" borderId="4" xfId="0" applyFont="1" applyFill="1" applyBorder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5" fontId="19" fillId="0" borderId="6" xfId="1" applyNumberFormat="1" applyFont="1" applyFill="1" applyBorder="1" applyProtection="1"/>
    <xf numFmtId="165" fontId="19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5" fontId="26" fillId="0" borderId="1" xfId="0" applyNumberFormat="1" applyFont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165" fontId="25" fillId="0" borderId="1" xfId="1" applyNumberFormat="1" applyFont="1" applyFill="1" applyBorder="1"/>
    <xf numFmtId="165" fontId="49" fillId="0" borderId="0" xfId="1" applyNumberFormat="1" applyFont="1" applyBorder="1" applyProtection="1">
      <protection locked="0"/>
    </xf>
    <xf numFmtId="0" fontId="50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171" fontId="6" fillId="0" borderId="1" xfId="0" applyNumberFormat="1" applyFont="1" applyBorder="1"/>
    <xf numFmtId="0" fontId="48" fillId="0" borderId="1" xfId="0" applyFont="1" applyBorder="1" applyAlignment="1">
      <alignment horizontal="left" vertical="center"/>
    </xf>
    <xf numFmtId="171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/>
    <xf numFmtId="165" fontId="25" fillId="0" borderId="1" xfId="1" applyNumberFormat="1" applyFont="1" applyFill="1" applyBorder="1" applyAlignment="1">
      <alignment horizontal="right"/>
    </xf>
    <xf numFmtId="169" fontId="25" fillId="12" borderId="1" xfId="0" applyNumberFormat="1" applyFont="1" applyFill="1" applyBorder="1"/>
    <xf numFmtId="0" fontId="25" fillId="12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3" fontId="25" fillId="12" borderId="1" xfId="1" applyNumberFormat="1" applyFont="1" applyFill="1" applyBorder="1" applyAlignment="1" applyProtection="1">
      <alignment vertical="center"/>
    </xf>
    <xf numFmtId="165" fontId="25" fillId="12" borderId="1" xfId="1" applyNumberFormat="1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horizontal="left" vertical="center"/>
    </xf>
    <xf numFmtId="165" fontId="25" fillId="0" borderId="1" xfId="1" applyNumberFormat="1" applyFont="1" applyFill="1" applyBorder="1" applyAlignment="1"/>
    <xf numFmtId="165" fontId="25" fillId="0" borderId="1" xfId="9" applyNumberFormat="1" applyFont="1" applyFill="1" applyBorder="1" applyAlignment="1"/>
    <xf numFmtId="3" fontId="34" fillId="0" borderId="0" xfId="0" applyNumberFormat="1" applyFont="1"/>
    <xf numFmtId="41" fontId="25" fillId="12" borderId="1" xfId="4" applyFont="1" applyFill="1" applyBorder="1" applyAlignment="1" applyProtection="1">
      <alignment horizontal="left"/>
    </xf>
    <xf numFmtId="0" fontId="48" fillId="0" borderId="6" xfId="0" applyFont="1" applyBorder="1" applyAlignment="1">
      <alignment vertical="center"/>
    </xf>
    <xf numFmtId="0" fontId="25" fillId="0" borderId="11" xfId="0" applyFont="1" applyBorder="1"/>
    <xf numFmtId="3" fontId="52" fillId="24" borderId="1" xfId="1" applyNumberFormat="1" applyFont="1" applyFill="1" applyBorder="1" applyAlignment="1" applyProtection="1">
      <alignment vertical="center"/>
    </xf>
    <xf numFmtId="165" fontId="25" fillId="0" borderId="1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 applyProtection="1"/>
    <xf numFmtId="165" fontId="25" fillId="0" borderId="1" xfId="1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  <xf numFmtId="171" fontId="25" fillId="0" borderId="1" xfId="0" applyNumberFormat="1" applyFont="1" applyFill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vertical="center"/>
    </xf>
    <xf numFmtId="3" fontId="25" fillId="0" borderId="1" xfId="0" applyNumberFormat="1" applyFont="1" applyFill="1" applyBorder="1"/>
    <xf numFmtId="171" fontId="25" fillId="0" borderId="1" xfId="0" applyNumberFormat="1" applyFont="1" applyFill="1" applyBorder="1" applyAlignment="1">
      <alignment vertical="center"/>
    </xf>
    <xf numFmtId="165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/>
    <xf numFmtId="171" fontId="25" fillId="0" borderId="1" xfId="2" applyNumberFormat="1" applyFont="1" applyFill="1" applyBorder="1"/>
    <xf numFmtId="0" fontId="25" fillId="0" borderId="1" xfId="0" applyFont="1" applyFill="1" applyBorder="1" applyAlignment="1">
      <alignment horizontal="right" vertical="center"/>
    </xf>
    <xf numFmtId="171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/>
    </xf>
    <xf numFmtId="165" fontId="25" fillId="0" borderId="1" xfId="10" applyNumberFormat="1" applyFont="1" applyFill="1" applyBorder="1" applyProtection="1"/>
    <xf numFmtId="0" fontId="25" fillId="0" borderId="1" xfId="8" applyFont="1" applyFill="1" applyBorder="1" applyAlignment="1"/>
    <xf numFmtId="2" fontId="25" fillId="0" borderId="1" xfId="0" applyNumberFormat="1" applyFont="1" applyFill="1" applyBorder="1"/>
    <xf numFmtId="170" fontId="25" fillId="0" borderId="1" xfId="0" applyNumberFormat="1" applyFont="1" applyFill="1" applyBorder="1"/>
    <xf numFmtId="17" fontId="25" fillId="0" borderId="1" xfId="0" applyNumberFormat="1" applyFont="1" applyFill="1" applyBorder="1" applyAlignment="1">
      <alignment horizontal="left"/>
    </xf>
    <xf numFmtId="167" fontId="25" fillId="0" borderId="1" xfId="2" applyNumberFormat="1" applyFont="1" applyFill="1" applyBorder="1" applyAlignment="1">
      <alignment vertical="top"/>
    </xf>
    <xf numFmtId="168" fontId="25" fillId="0" borderId="1" xfId="6" applyNumberFormat="1" applyFont="1" applyFill="1" applyBorder="1" applyAlignment="1">
      <alignment vertical="top" wrapText="1"/>
    </xf>
    <xf numFmtId="168" fontId="25" fillId="0" borderId="1" xfId="6" applyNumberFormat="1" applyFont="1" applyFill="1" applyBorder="1" applyAlignment="1">
      <alignment horizontal="right" vertical="top" wrapText="1"/>
    </xf>
    <xf numFmtId="167" fontId="25" fillId="0" borderId="1" xfId="2" applyNumberFormat="1" applyFont="1" applyFill="1" applyBorder="1" applyAlignment="1">
      <alignment vertical="top" wrapText="1"/>
    </xf>
    <xf numFmtId="168" fontId="25" fillId="0" borderId="1" xfId="6" applyNumberFormat="1" applyFont="1" applyFill="1" applyBorder="1" applyAlignment="1">
      <alignment wrapText="1"/>
    </xf>
    <xf numFmtId="0" fontId="25" fillId="0" borderId="1" xfId="0" applyFont="1" applyFill="1" applyBorder="1" applyAlignment="1">
      <alignment horizontal="right"/>
    </xf>
    <xf numFmtId="0" fontId="25" fillId="0" borderId="1" xfId="2" applyFont="1" applyFill="1" applyBorder="1"/>
    <xf numFmtId="173" fontId="25" fillId="0" borderId="1" xfId="2" applyNumberFormat="1" applyFont="1" applyFill="1" applyBorder="1"/>
    <xf numFmtId="172" fontId="25" fillId="0" borderId="1" xfId="2" applyNumberFormat="1" applyFont="1" applyFill="1" applyBorder="1" applyAlignment="1">
      <alignment horizontal="left"/>
    </xf>
    <xf numFmtId="3" fontId="25" fillId="0" borderId="1" xfId="0" applyNumberFormat="1" applyFont="1" applyFill="1" applyBorder="1" applyAlignment="1">
      <alignment horizontal="right"/>
    </xf>
    <xf numFmtId="170" fontId="25" fillId="0" borderId="1" xfId="0" applyNumberFormat="1" applyFont="1" applyFill="1" applyBorder="1" applyAlignment="1">
      <alignment horizontal="left"/>
    </xf>
    <xf numFmtId="167" fontId="25" fillId="0" borderId="1" xfId="2" applyNumberFormat="1" applyFont="1" applyFill="1" applyBorder="1" applyAlignment="1">
      <alignment horizontal="right" vertical="top"/>
    </xf>
    <xf numFmtId="0" fontId="26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165" fontId="25" fillId="0" borderId="1" xfId="1" applyNumberFormat="1" applyFont="1" applyFill="1" applyBorder="1" applyAlignment="1">
      <alignment horizontal="left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MAN_DE_OZA'S" refreshedDate="45216.719729976852" createdVersion="5" refreshedVersion="6" minRefreshableVersion="3" recordCount="393">
  <cacheSource type="worksheet">
    <worksheetSource ref="A12:O405" sheet="DATA SEPTEMBRE 2023"/>
  </cacheSource>
  <cacheFields count="15">
    <cacheField name="Date" numFmtId="0">
      <sharedItems containsSemiMixedTypes="0" containsNonDate="0" containsDate="1" containsString="0" minDate="2023-09-01T00:00:00" maxDate="2023-10-01T00:00:00"/>
    </cacheField>
    <cacheField name="Details" numFmtId="0">
      <sharedItems/>
    </cacheField>
    <cacheField name="Type de dépenses" numFmtId="0">
      <sharedItems containsBlank="1" count="19">
        <m/>
        <s v="Versement"/>
        <s v="Telephone"/>
        <s v="Bank Fees"/>
        <s v="personnel"/>
        <s v="Travel Subsistence"/>
        <s v="Bonus"/>
        <s v="Transport"/>
        <s v="Transfer fees"/>
        <s v="Office Materials"/>
        <s v="Rent &amp; Utilities"/>
        <s v="Lawyer fees"/>
        <s v="Services "/>
        <s v="Transport "/>
        <s v="Jail visit"/>
        <s v="Trust building"/>
        <s v="Services"/>
        <s v="Publication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5000" maxValue="2000000"/>
    </cacheField>
    <cacheField name="Spent" numFmtId="0">
      <sharedItems containsString="0" containsBlank="1" containsNumber="1" containsInteger="1" minValue="750" maxValue="2000000"/>
    </cacheField>
    <cacheField name="Balance" numFmtId="165">
      <sharedItems containsSemiMixedTypes="0" containsString="0" containsNumber="1" containsInteger="1" minValue="4625233" maxValue="20615175"/>
    </cacheField>
    <cacheField name="Name" numFmtId="0">
      <sharedItems containsBlank="1" count="15">
        <m/>
        <s v="Caisse"/>
        <s v="IT87"/>
        <s v="BCI-Sous Compte"/>
        <s v="DOVI"/>
        <s v="P29"/>
        <s v="T73"/>
        <s v="Crépin"/>
        <s v="Donald-Roméo"/>
        <s v="Evariste"/>
        <s v="Hurielle"/>
        <s v="Merveille"/>
        <s v="Oracle"/>
        <s v="BCI"/>
        <s v="Grace"/>
      </sharedItems>
    </cacheField>
    <cacheField name="Receipt" numFmtId="0">
      <sharedItems containsBlank="1" containsMixedTypes="1" containsNumber="1" containsInteger="1" minValue="3654566" maxValue="3667401"/>
    </cacheField>
    <cacheField name="Donor" numFmtId="0">
      <sharedItems containsBlank="1" count="5">
        <m/>
        <s v="UE"/>
        <s v="DSWF"/>
        <s v="ECF"/>
        <s v="Wildcat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">
  <r>
    <d v="2023-09-01T00:00:00"/>
    <s v="Solde au 01/09/2023"/>
    <x v="0"/>
    <m/>
    <m/>
    <m/>
    <n v="19545576"/>
    <x v="0"/>
    <m/>
    <x v="0"/>
    <x v="0"/>
    <m/>
    <m/>
    <m/>
    <m/>
  </r>
  <r>
    <d v="2023-09-01T00:00:00"/>
    <s v="IT87"/>
    <x v="1"/>
    <m/>
    <m/>
    <n v="20000"/>
    <n v="19525576"/>
    <x v="1"/>
    <m/>
    <x v="0"/>
    <x v="0"/>
    <m/>
    <m/>
    <m/>
    <m/>
  </r>
  <r>
    <d v="2023-09-01T00:00:00"/>
    <s v="Achat credit  teléphonique MTN/PALF/Prémière partie Septembre 2023/Management"/>
    <x v="2"/>
    <s v="Management"/>
    <m/>
    <n v="53000"/>
    <n v="19472576"/>
    <x v="1"/>
    <s v="OUI"/>
    <x v="1"/>
    <x v="1"/>
    <s v="CONGO"/>
    <s v="RALFF-CO4963"/>
    <s v="4.6"/>
    <m/>
  </r>
  <r>
    <d v="2023-09-01T00:00:00"/>
    <s v="Achat credit  teléphonique MTN/PALF/Prémière partie Septembre 2023/Legal"/>
    <x v="2"/>
    <s v="Legal"/>
    <m/>
    <n v="69000"/>
    <n v="19403576"/>
    <x v="1"/>
    <s v="OUI"/>
    <x v="1"/>
    <x v="1"/>
    <s v="CONGO"/>
    <s v="RALFF-CO4964"/>
    <s v="4.6"/>
    <m/>
  </r>
  <r>
    <d v="2023-09-01T00:00:00"/>
    <s v="Achat credit  teléphonique MTN/PALF/Prémière partie Septembre 2023/Investigation"/>
    <x v="2"/>
    <s v="Investisgations"/>
    <m/>
    <n v="36000"/>
    <n v="19367576"/>
    <x v="1"/>
    <s v="OUI"/>
    <x v="1"/>
    <x v="1"/>
    <s v="CONGO"/>
    <s v="RALFF-CO4965"/>
    <s v="4.6"/>
    <m/>
  </r>
  <r>
    <d v="2023-09-01T00:00:00"/>
    <s v="Achat credit  teléphonique MTN/PALF/Prémière partie Septembre 2023/Investigation Volontaire"/>
    <x v="2"/>
    <s v="Investisgations"/>
    <m/>
    <n v="21000"/>
    <n v="19346576"/>
    <x v="1"/>
    <s v="OUI"/>
    <x v="2"/>
    <x v="2"/>
    <s v="CONGO"/>
    <m/>
    <m/>
    <m/>
  </r>
  <r>
    <d v="2023-09-01T00:00:00"/>
    <s v="Achat credit  teléphonique MTN/PALF/Prémière partie Septembre 2023/Media"/>
    <x v="2"/>
    <s v="Media"/>
    <m/>
    <n v="10000"/>
    <n v="19336576"/>
    <x v="1"/>
    <s v="OUI"/>
    <x v="1"/>
    <x v="1"/>
    <s v="CONGO"/>
    <s v="RALFF-CO4966"/>
    <s v="4.6"/>
    <m/>
  </r>
  <r>
    <d v="2023-09-01T00:00:00"/>
    <s v="Achat credit  teléphonique Airtel/PALF/Prémière partie Septembre 2023/Management"/>
    <x v="2"/>
    <s v="Management"/>
    <m/>
    <n v="10000"/>
    <n v="19326576"/>
    <x v="1"/>
    <s v="OUI"/>
    <x v="1"/>
    <x v="1"/>
    <s v="CONGO"/>
    <s v="RALFF-CO4967"/>
    <s v="4.6"/>
    <m/>
  </r>
  <r>
    <d v="2023-09-01T00:00:00"/>
    <s v="Achat credit  teléphonique Airtel/PALF/Prémière partie Septembre 2023/Legal"/>
    <x v="2"/>
    <s v="Legal"/>
    <m/>
    <n v="15000"/>
    <n v="19311576"/>
    <x v="1"/>
    <s v="OUI"/>
    <x v="1"/>
    <x v="1"/>
    <s v="CONGO"/>
    <s v="RALFF-CO4968"/>
    <s v="4.6"/>
    <m/>
  </r>
  <r>
    <d v="2023-09-01T00:00:00"/>
    <s v="Achat credit  teléphonique Airtel/PALF/Prémière partie Septembre 2023/Investigation"/>
    <x v="2"/>
    <s v="Investisgations"/>
    <m/>
    <n v="16000"/>
    <n v="19295576"/>
    <x v="1"/>
    <s v="OUI"/>
    <x v="1"/>
    <x v="1"/>
    <s v="CONGO"/>
    <s v="RALFF-CO4969"/>
    <s v="4.6"/>
    <m/>
  </r>
  <r>
    <d v="2023-09-01T00:00:00"/>
    <s v="Achat credit  teléphonique Airtel/PALF/Prémière partie Septembre 2023/Investigation Volontaire"/>
    <x v="2"/>
    <s v="Investisgations"/>
    <m/>
    <n v="5000"/>
    <n v="19290576"/>
    <x v="1"/>
    <s v="OUI"/>
    <x v="2"/>
    <x v="2"/>
    <s v="CONGO"/>
    <m/>
    <m/>
    <m/>
  </r>
  <r>
    <d v="2023-09-01T00:00:00"/>
    <s v="Achat credit  teléphonique Airtel/PALF/Prémière partie Septembre 2023/Media"/>
    <x v="2"/>
    <s v="Media"/>
    <m/>
    <n v="11000"/>
    <n v="19279576"/>
    <x v="1"/>
    <s v="OUI"/>
    <x v="1"/>
    <x v="1"/>
    <s v="CONGO"/>
    <s v="RALFF-CO4970"/>
    <s v="4.6"/>
    <m/>
  </r>
  <r>
    <d v="2023-09-01T00:00:00"/>
    <s v="Reçu de Caisse/ IT87"/>
    <x v="1"/>
    <m/>
    <n v="20000"/>
    <m/>
    <n v="19299576"/>
    <x v="2"/>
    <m/>
    <x v="0"/>
    <x v="0"/>
    <m/>
    <m/>
    <m/>
    <m/>
  </r>
  <r>
    <d v="2023-09-01T00:00:00"/>
    <s v="Agios du 31/07/2023 au 31/08/2023"/>
    <x v="3"/>
    <s v="Office"/>
    <m/>
    <n v="14701"/>
    <n v="19284875"/>
    <x v="3"/>
    <s v="Relevé"/>
    <x v="1"/>
    <x v="1"/>
    <s v="CONGO"/>
    <s v="RALFF-CO4971"/>
    <s v="5.6"/>
    <m/>
  </r>
  <r>
    <d v="2023-09-02T00:00:00"/>
    <s v="Remis à P29/Dovi"/>
    <x v="1"/>
    <m/>
    <m/>
    <n v="30000"/>
    <n v="19254875"/>
    <x v="4"/>
    <m/>
    <x v="0"/>
    <x v="0"/>
    <m/>
    <m/>
    <m/>
    <m/>
  </r>
  <r>
    <d v="2023-09-02T00:00:00"/>
    <s v="Remis à T73/Dovi"/>
    <x v="1"/>
    <m/>
    <m/>
    <n v="40000"/>
    <n v="19214875"/>
    <x v="4"/>
    <m/>
    <x v="0"/>
    <x v="0"/>
    <m/>
    <m/>
    <m/>
    <m/>
  </r>
  <r>
    <d v="2023-09-02T00:00:00"/>
    <s v="Reçu de caisse/P29"/>
    <x v="1"/>
    <m/>
    <n v="30000"/>
    <m/>
    <n v="19244875"/>
    <x v="5"/>
    <m/>
    <x v="0"/>
    <x v="0"/>
    <m/>
    <m/>
    <m/>
    <m/>
  </r>
  <r>
    <d v="2023-09-02T00:00:00"/>
    <s v="Reçu de DOVI/T73"/>
    <x v="1"/>
    <m/>
    <n v="40000"/>
    <m/>
    <n v="19284875"/>
    <x v="6"/>
    <m/>
    <x v="0"/>
    <x v="0"/>
    <m/>
    <m/>
    <m/>
    <m/>
  </r>
  <r>
    <d v="2023-09-02T00:00:00"/>
    <s v="Rafraîchissement et restauration offerts à l'équipe PALF après OP"/>
    <x v="4"/>
    <s v="Team building"/>
    <m/>
    <n v="13000"/>
    <n v="19271875"/>
    <x v="4"/>
    <s v="OUI"/>
    <x v="3"/>
    <x v="2"/>
    <s v="CONGO"/>
    <m/>
    <m/>
    <m/>
  </r>
  <r>
    <d v="2023-09-02T00:00:00"/>
    <s v="Rafraichissement et plats pendant l'attente ,OP pour Jules, 3 gendarmes, 1 agent EF et moi"/>
    <x v="5"/>
    <s v="Operation"/>
    <m/>
    <n v="22000"/>
    <n v="19249875"/>
    <x v="7"/>
    <s v="OUI"/>
    <x v="4"/>
    <x v="2"/>
    <s v="CONGO"/>
    <m/>
    <m/>
    <m/>
  </r>
  <r>
    <d v="2023-09-02T00:00:00"/>
    <s v="Bonus pour 1 agent EF après l'opération"/>
    <x v="6"/>
    <s v="Operation"/>
    <m/>
    <n v="10000"/>
    <n v="19239875"/>
    <x v="7"/>
    <s v="OUI"/>
    <x v="3"/>
    <x v="2"/>
    <s v="CONGO"/>
    <m/>
    <m/>
    <m/>
  </r>
  <r>
    <d v="2023-09-02T00:00:00"/>
    <s v="Bonus 2 OPJ (SRJ) après l'opération."/>
    <x v="6"/>
    <s v="Operation"/>
    <m/>
    <n v="20000"/>
    <n v="19219875"/>
    <x v="7"/>
    <s v="OUI"/>
    <x v="3"/>
    <x v="2"/>
    <s v="CONGO"/>
    <m/>
    <m/>
    <m/>
  </r>
  <r>
    <d v="2023-09-02T00:00:00"/>
    <s v="Raffraichissement op/ Oracle, deux gendarmes et moi( 4 plats de nourriture) "/>
    <x v="5"/>
    <s v="Operation"/>
    <m/>
    <n v="8750"/>
    <n v="19211125"/>
    <x v="8"/>
    <s v="OUI"/>
    <x v="4"/>
    <x v="2"/>
    <s v="CONGO"/>
    <m/>
    <m/>
    <m/>
  </r>
  <r>
    <d v="2023-09-02T00:00:00"/>
    <s v="Rafraichissement pour mon l'équipe de la BJ (opération du 02 septembre 2023 à Pointe Noire)"/>
    <x v="5"/>
    <s v="Operation"/>
    <m/>
    <n v="15000"/>
    <n v="19196125"/>
    <x v="9"/>
    <s v="Décharge"/>
    <x v="4"/>
    <x v="2"/>
    <s v="CONGO"/>
    <m/>
    <m/>
    <m/>
  </r>
  <r>
    <d v="2023-09-02T00:00:00"/>
    <s v="Achat du carburant pour la BJ (opération du 02 septembre 2023 à Pointe Noire)"/>
    <x v="7"/>
    <s v="Operation"/>
    <m/>
    <n v="25000"/>
    <n v="19171125"/>
    <x v="9"/>
    <s v="OUI"/>
    <x v="4"/>
    <x v="2"/>
    <s v="CONGO"/>
    <m/>
    <m/>
    <m/>
  </r>
  <r>
    <d v="2023-09-02T00:00:00"/>
    <s v="Rafraichissement lors de l'OP"/>
    <x v="5"/>
    <s v="Operation"/>
    <m/>
    <n v="10000"/>
    <n v="19161125"/>
    <x v="10"/>
    <s v="OUI"/>
    <x v="4"/>
    <x v="2"/>
    <s v="CONGO"/>
    <m/>
    <m/>
    <m/>
  </r>
  <r>
    <d v="2023-09-02T00:00:00"/>
    <s v="Achat billet Pointe Noire - Brazzaville/Hurielle"/>
    <x v="7"/>
    <s v="Legal"/>
    <m/>
    <n v="13000"/>
    <n v="19148125"/>
    <x v="10"/>
    <s v="OUI"/>
    <x v="1"/>
    <x v="1"/>
    <s v="CONGO"/>
    <s v="RALFF-CO4972"/>
    <s v="2.2"/>
    <m/>
  </r>
  <r>
    <d v="2023-09-02T00:00:00"/>
    <s v="MERVEILLE-CONGO Frais d'hôtel mission du 31 Août  au 02 Septembre 2023 ( 02 Nuitées) à Pointe-Noire "/>
    <x v="5"/>
    <s v="Office"/>
    <m/>
    <n v="30000"/>
    <n v="19118125"/>
    <x v="11"/>
    <s v="OUI"/>
    <x v="4"/>
    <x v="1"/>
    <s v="CONGO"/>
    <s v="RALFF-CO4973"/>
    <s v="1.3.2"/>
    <m/>
  </r>
  <r>
    <d v="2023-09-02T00:00:00"/>
    <s v="Location voiture Pointe Noire  - NKAYI/extraction  T73"/>
    <x v="7"/>
    <s v="Operation"/>
    <m/>
    <n v="60000"/>
    <n v="19058125"/>
    <x v="11"/>
    <s v="OUI"/>
    <x v="4"/>
    <x v="2"/>
    <s v="CONGO"/>
    <m/>
    <m/>
    <m/>
  </r>
  <r>
    <d v="2023-09-02T00:00:00"/>
    <s v="Raffraichissement attente OP"/>
    <x v="5"/>
    <s v="Operation"/>
    <m/>
    <n v="3500"/>
    <n v="19054625"/>
    <x v="11"/>
    <s v="OUI"/>
    <x v="4"/>
    <x v="2"/>
    <s v="CONGO"/>
    <m/>
    <m/>
    <m/>
  </r>
  <r>
    <d v="2023-09-02T00:00:00"/>
    <s v="Rafraichissement Op (Boissons équipe 3)"/>
    <x v="5"/>
    <s v="Operation"/>
    <m/>
    <n v="9000"/>
    <n v="19045625"/>
    <x v="12"/>
    <s v="OUI"/>
    <x v="4"/>
    <x v="2"/>
    <s v="CONGO"/>
    <m/>
    <m/>
    <m/>
  </r>
  <r>
    <d v="2023-09-02T00:00:00"/>
    <s v="Achat billet Pointe-Noire Brazzaville/P29"/>
    <x v="7"/>
    <s v="Investisgations"/>
    <m/>
    <n v="15000"/>
    <n v="19030625"/>
    <x v="5"/>
    <s v="OUI"/>
    <x v="1"/>
    <x v="1"/>
    <s v="CONGO"/>
    <s v="RALFF-CO4974"/>
    <s v="2.2"/>
    <m/>
  </r>
  <r>
    <d v="2023-09-02T00:00:00"/>
    <s v="T73 - CONGO Frais d'hotel du 31/08 au 02/09/2023 (02 nuitées) à Pointe-Noire"/>
    <x v="5"/>
    <s v="Investisgations"/>
    <m/>
    <n v="30000"/>
    <n v="19000625"/>
    <x v="6"/>
    <s v="OUI"/>
    <x v="2"/>
    <x v="1"/>
    <s v="CONGO"/>
    <s v="RALFF-CO4975"/>
    <s v="1.3.2"/>
    <m/>
  </r>
  <r>
    <d v="2023-09-04T00:00:00"/>
    <s v="Reçu de caisse /Crépin"/>
    <x v="1"/>
    <m/>
    <n v="58000"/>
    <m/>
    <n v="19058625"/>
    <x v="7"/>
    <m/>
    <x v="0"/>
    <x v="0"/>
    <m/>
    <m/>
    <m/>
    <m/>
  </r>
  <r>
    <d v="2023-09-03T00:00:00"/>
    <s v="Bonus pour 14 gendarmes de l'ESSIG qui ont participé à l'opération"/>
    <x v="6"/>
    <s v="Operation"/>
    <m/>
    <n v="140000"/>
    <n v="18918625"/>
    <x v="7"/>
    <s v="OUI"/>
    <x v="3"/>
    <x v="2"/>
    <s v="CONGO"/>
    <m/>
    <m/>
    <m/>
  </r>
  <r>
    <d v="2023-09-03T00:00:00"/>
    <s v="DONALD-ROMEO - CONGO Frais d'hôtel du 31/08 au 03/09/2023 à Pointe-Noire( 03 Nuitées )"/>
    <x v="5"/>
    <s v="Legal"/>
    <m/>
    <n v="45000"/>
    <n v="18873625"/>
    <x v="8"/>
    <s v="OUI"/>
    <x v="1"/>
    <x v="1"/>
    <s v="CONGO"/>
    <s v="RALFF-CO4976"/>
    <s v="1.3.2"/>
    <m/>
  </r>
  <r>
    <d v="2023-09-03T00:00:00"/>
    <s v="DOVI-CONGO Frais d'hôtel du 31 Août au 03 Septembre 2023 ( 03 nuitées) à Pointe Noire"/>
    <x v="5"/>
    <s v="Management"/>
    <m/>
    <n v="45000"/>
    <n v="18828625"/>
    <x v="4"/>
    <s v="OUI"/>
    <x v="4"/>
    <x v="1"/>
    <s v="CONGO"/>
    <s v="RALFF-CO4977"/>
    <s v="1.3.2"/>
    <m/>
  </r>
  <r>
    <d v="2023-09-03T00:00:00"/>
    <s v="Achat billet Pointe Noire - Brazzaville/DOVI"/>
    <x v="7"/>
    <s v="Management"/>
    <m/>
    <n v="13000"/>
    <n v="18815625"/>
    <x v="4"/>
    <s v="OUI"/>
    <x v="1"/>
    <x v="1"/>
    <s v="CONGO"/>
    <s v="RALFF-CO4978"/>
    <s v="2.2"/>
    <m/>
  </r>
  <r>
    <d v="2023-09-03T00:00:00"/>
    <s v="HURIELLE - CONGO Frais d'hôtel à Pointe-Noire du 31/08/ au 03/09/2023 (Hôtel PKN)"/>
    <x v="5"/>
    <s v="Legal"/>
    <m/>
    <n v="45000"/>
    <n v="18770625"/>
    <x v="10"/>
    <s v="OUI"/>
    <x v="4"/>
    <x v="1"/>
    <s v="CONGO"/>
    <s v="RALFF-CO4979"/>
    <s v="1.3.2"/>
    <m/>
  </r>
  <r>
    <d v="2023-09-03T00:00:00"/>
    <s v="MERVEILLE-CONGO Frais d'hôtel mission du 02 au 03 Septembre 2023 ( 01 Nuitée) à Nkayi "/>
    <x v="5"/>
    <s v="Office"/>
    <m/>
    <n v="15000"/>
    <n v="18755625"/>
    <x v="11"/>
    <s v="OUI"/>
    <x v="4"/>
    <x v="1"/>
    <s v="CONGO"/>
    <s v="RALFF-CO4980"/>
    <s v="1.3.2"/>
    <m/>
  </r>
  <r>
    <d v="2023-09-03T00:00:00"/>
    <s v="Achat billet Nkayi - Brazzaville / Merveille"/>
    <x v="7"/>
    <s v="Office"/>
    <m/>
    <n v="8000"/>
    <n v="18747625"/>
    <x v="11"/>
    <s v="OUI"/>
    <x v="1"/>
    <x v="1"/>
    <s v="CONGO"/>
    <s v="RALFF-CO4981"/>
    <s v="2.2"/>
    <m/>
  </r>
  <r>
    <d v="2023-09-03T00:00:00"/>
    <s v="Achat billet de bus Pointe-Noire  -  Brazzaville/Oracle"/>
    <x v="7"/>
    <s v="Legal"/>
    <m/>
    <n v="13000"/>
    <n v="18734625"/>
    <x v="12"/>
    <s v="OUI"/>
    <x v="4"/>
    <x v="1"/>
    <s v="CONGO"/>
    <s v="RALFF-CO4982"/>
    <s v="2.2"/>
    <m/>
  </r>
  <r>
    <d v="2023-09-03T00:00:00"/>
    <s v="ORACLE TALOULOU-CONGO Frais d'hôtel du 31 Août au 03 Septembre 2023 à Pointe-Noire/(03 Nuitées)"/>
    <x v="5"/>
    <s v="Legal"/>
    <m/>
    <n v="45000"/>
    <n v="18689625"/>
    <x v="12"/>
    <s v="OUI"/>
    <x v="4"/>
    <x v="1"/>
    <s v="CONGO"/>
    <s v="RALFF-CO4983"/>
    <s v="1.3.2"/>
    <m/>
  </r>
  <r>
    <d v="2023-09-03T00:00:00"/>
    <s v="P29 - CONGO Frais d'hotel du  31/08/2023 au 03/09/2023 à Pointe-Noire/(03 Nuitées)"/>
    <x v="5"/>
    <s v="Investisgations"/>
    <m/>
    <n v="45000"/>
    <n v="18644625"/>
    <x v="5"/>
    <s v="OUI"/>
    <x v="2"/>
    <x v="1"/>
    <s v="CONGO"/>
    <s v="RALFF-CO4984"/>
    <s v="1.3.2"/>
    <m/>
  </r>
  <r>
    <d v="2023-09-03T00:00:00"/>
    <s v="T73 - CONGO Frais d'Hotel du 02 au 03/09/2023 (01 nuitées) à Nkayi"/>
    <x v="5"/>
    <s v="Investisgations"/>
    <m/>
    <n v="15000"/>
    <n v="18629625"/>
    <x v="6"/>
    <s v="OUI"/>
    <x v="2"/>
    <x v="1"/>
    <s v="CONGO"/>
    <s v="RALFF-CO4985"/>
    <s v="1.3.2"/>
    <m/>
  </r>
  <r>
    <d v="2023-09-03T00:00:00"/>
    <s v="Achat billet : Nkayi - Brazzaville/T73"/>
    <x v="7"/>
    <s v="Investisgations"/>
    <m/>
    <n v="8000"/>
    <n v="18621625"/>
    <x v="6"/>
    <s v="OUI"/>
    <x v="4"/>
    <x v="1"/>
    <s v="CONGO"/>
    <s v="RALFF-CO4986"/>
    <s v="2.2"/>
    <m/>
  </r>
  <r>
    <d v="2023-09-04T00:00:00"/>
    <s v="Frais de transfert charden farell à Crépin Evariste et Donald"/>
    <x v="8"/>
    <s v="Office"/>
    <m/>
    <n v="6450"/>
    <n v="18615175"/>
    <x v="1"/>
    <s v="OUI"/>
    <x v="1"/>
    <x v="1"/>
    <s v="CONGO"/>
    <s v="RALFF-CO4987"/>
    <s v="5.6"/>
    <m/>
  </r>
  <r>
    <d v="2023-09-04T00:00:00"/>
    <s v="BCI-3667377"/>
    <x v="1"/>
    <m/>
    <n v="2000000"/>
    <m/>
    <n v="20615175"/>
    <x v="1"/>
    <m/>
    <x v="0"/>
    <x v="0"/>
    <m/>
    <m/>
    <m/>
    <m/>
  </r>
  <r>
    <d v="2023-09-04T00:00:00"/>
    <s v="Crepin"/>
    <x v="1"/>
    <m/>
    <m/>
    <n v="58000"/>
    <n v="20557175"/>
    <x v="1"/>
    <m/>
    <x v="0"/>
    <x v="0"/>
    <m/>
    <m/>
    <m/>
    <m/>
  </r>
  <r>
    <d v="2023-09-04T00:00:00"/>
    <s v="Bonus du mois d'Août 2023/Grace"/>
    <x v="6"/>
    <s v="Management"/>
    <m/>
    <n v="50000"/>
    <n v="20507175"/>
    <x v="1"/>
    <s v="Décharge"/>
    <x v="4"/>
    <x v="2"/>
    <s v="CONGO"/>
    <m/>
    <m/>
    <m/>
  </r>
  <r>
    <d v="2023-09-04T00:00:00"/>
    <s v="Bonus du mois d'Août 2023/Merveille"/>
    <x v="6"/>
    <s v="Office"/>
    <m/>
    <n v="20000"/>
    <n v="20487175"/>
    <x v="1"/>
    <s v="Décharge"/>
    <x v="4"/>
    <x v="2"/>
    <s v="CONGO"/>
    <m/>
    <m/>
    <m/>
  </r>
  <r>
    <d v="2023-09-04T00:00:00"/>
    <s v="Bonus du mois d'Août 2023/Hurielle"/>
    <x v="6"/>
    <s v="Legal"/>
    <m/>
    <n v="20000"/>
    <n v="20467175"/>
    <x v="1"/>
    <s v="Décharge"/>
    <x v="4"/>
    <x v="2"/>
    <s v="CONGO"/>
    <m/>
    <m/>
    <m/>
  </r>
  <r>
    <d v="2023-09-04T00:00:00"/>
    <s v="Achat 04 Bouteille d'eau minérale/Bureau PALF"/>
    <x v="9"/>
    <s v="Office"/>
    <m/>
    <n v="10000"/>
    <n v="20457175"/>
    <x v="1"/>
    <s v="OUI"/>
    <x v="1"/>
    <x v="1"/>
    <s v="CONGO"/>
    <s v="RALFF-CO4988"/>
    <s v="4.3"/>
    <m/>
  </r>
  <r>
    <d v="2023-09-04T00:00:00"/>
    <s v="Evariste"/>
    <x v="1"/>
    <m/>
    <m/>
    <n v="58000"/>
    <n v="20399175"/>
    <x v="1"/>
    <m/>
    <x v="0"/>
    <x v="0"/>
    <m/>
    <m/>
    <m/>
    <m/>
  </r>
  <r>
    <d v="2023-09-04T00:00:00"/>
    <s v="Donald-Roméro"/>
    <x v="1"/>
    <m/>
    <m/>
    <n v="99000"/>
    <n v="20300175"/>
    <x v="1"/>
    <m/>
    <x v="0"/>
    <x v="0"/>
    <m/>
    <m/>
    <m/>
    <m/>
  </r>
  <r>
    <d v="2023-09-04T00:00:00"/>
    <s v="Merveille/retour caisse"/>
    <x v="1"/>
    <m/>
    <n v="15000"/>
    <m/>
    <n v="20315175"/>
    <x v="1"/>
    <m/>
    <x v="0"/>
    <x v="0"/>
    <m/>
    <m/>
    <m/>
    <m/>
  </r>
  <r>
    <d v="2023-09-04T00:00:00"/>
    <s v="Homéfa/retour caisse"/>
    <x v="1"/>
    <m/>
    <n v="230000"/>
    <m/>
    <n v="20545175"/>
    <x v="1"/>
    <m/>
    <x v="0"/>
    <x v="0"/>
    <m/>
    <m/>
    <m/>
    <m/>
  </r>
  <r>
    <d v="2023-09-04T00:00:00"/>
    <s v="Hurielle/Retour caisse"/>
    <x v="1"/>
    <m/>
    <n v="20000"/>
    <m/>
    <n v="20565175"/>
    <x v="1"/>
    <m/>
    <x v="0"/>
    <x v="0"/>
    <m/>
    <m/>
    <m/>
    <m/>
  </r>
  <r>
    <d v="2023-09-04T00:00:00"/>
    <s v="Oracle/retour caisse"/>
    <x v="1"/>
    <m/>
    <n v="17000"/>
    <m/>
    <n v="20582175"/>
    <x v="1"/>
    <m/>
    <x v="0"/>
    <x v="0"/>
    <m/>
    <m/>
    <m/>
    <m/>
  </r>
  <r>
    <d v="2023-09-04T00:00:00"/>
    <s v="Retrait espèces chèque N°3667375"/>
    <x v="1"/>
    <m/>
    <m/>
    <n v="2000000"/>
    <n v="18565175"/>
    <x v="3"/>
    <n v="3667377"/>
    <x v="0"/>
    <x v="0"/>
    <m/>
    <m/>
    <m/>
    <m/>
  </r>
  <r>
    <d v="2023-09-04T00:00:00"/>
    <s v="Reçu caisse/Donald-Roméo"/>
    <x v="1"/>
    <m/>
    <n v="99000"/>
    <m/>
    <n v="18664175"/>
    <x v="8"/>
    <m/>
    <x v="0"/>
    <x v="0"/>
    <m/>
    <m/>
    <m/>
    <m/>
  </r>
  <r>
    <d v="2023-09-04T00:00:00"/>
    <s v="Reçu de la caisse/Evariste"/>
    <x v="1"/>
    <m/>
    <n v="58000"/>
    <m/>
    <n v="18722175"/>
    <x v="9"/>
    <m/>
    <x v="0"/>
    <x v="0"/>
    <m/>
    <m/>
    <m/>
    <m/>
  </r>
  <r>
    <d v="2023-09-04T00:00:00"/>
    <s v="Retour Caisse/Hurielle"/>
    <x v="1"/>
    <m/>
    <m/>
    <n v="20000"/>
    <n v="18702175"/>
    <x v="10"/>
    <m/>
    <x v="0"/>
    <x v="0"/>
    <m/>
    <m/>
    <m/>
    <m/>
  </r>
  <r>
    <d v="2023-09-04T00:00:00"/>
    <s v="Retour caisse/Merveille"/>
    <x v="1"/>
    <m/>
    <m/>
    <n v="15000"/>
    <n v="18687175"/>
    <x v="11"/>
    <m/>
    <x v="0"/>
    <x v="0"/>
    <m/>
    <m/>
    <m/>
    <m/>
  </r>
  <r>
    <d v="2023-09-04T00:00:00"/>
    <s v="Retour Caisse/Oracle"/>
    <x v="1"/>
    <m/>
    <m/>
    <n v="17000"/>
    <n v="18670175"/>
    <x v="12"/>
    <m/>
    <x v="0"/>
    <x v="0"/>
    <m/>
    <m/>
    <m/>
    <m/>
  </r>
  <r>
    <d v="2023-09-04T00:00:00"/>
    <s v="Reglement loyer mois de d'Août 2023/Pluriel solution ch N°3667387"/>
    <x v="10"/>
    <s v="Office"/>
    <m/>
    <n v="500000"/>
    <n v="18187175"/>
    <x v="3"/>
    <n v="3667387"/>
    <x v="1"/>
    <x v="1"/>
    <s v="CONGO"/>
    <s v="RALFF-CO4989"/>
    <s v="4.2"/>
    <m/>
  </r>
  <r>
    <d v="2023-09-04T00:00:00"/>
    <s v="Reglement Honoraire du mois d'Août 2023/P29/ch:3667388"/>
    <x v="4"/>
    <s v="Investisgations"/>
    <m/>
    <n v="320000"/>
    <n v="17867175"/>
    <x v="3"/>
    <n v="3667388"/>
    <x v="1"/>
    <x v="1"/>
    <s v="CONGO"/>
    <s v="RALFF-CO4990"/>
    <s v="1.1.1.9"/>
    <m/>
  </r>
  <r>
    <d v="2023-09-04T00:00:00"/>
    <s v="Reglement Honoraire du mois d'Août 2023/T73/ch:3667376"/>
    <x v="4"/>
    <s v="Investisgations"/>
    <m/>
    <n v="240000"/>
    <n v="17627175"/>
    <x v="3"/>
    <n v="3667376"/>
    <x v="1"/>
    <x v="1"/>
    <s v="CONGO"/>
    <s v="RALFF-CO4991"/>
    <s v="1.1.1.9"/>
    <m/>
  </r>
  <r>
    <d v="2023-09-05T00:00:00"/>
    <s v="Frais de mission maitre Marie Hélène NANITELAMIO à Pointe-Noire du 06 au 07 Septembre 2023"/>
    <x v="11"/>
    <s v="Legal"/>
    <m/>
    <n v="84000"/>
    <n v="17543175"/>
    <x v="1"/>
    <s v="OUI"/>
    <x v="3"/>
    <x v="2"/>
    <s v="CONGO"/>
    <m/>
    <m/>
    <m/>
  </r>
  <r>
    <d v="2023-09-05T00:00:00"/>
    <s v="Frais de transfert charden farell à Crépin Evariste et Donald"/>
    <x v="8"/>
    <s v="Office"/>
    <m/>
    <n v="3390"/>
    <n v="17539785"/>
    <x v="1"/>
    <s v="OUI"/>
    <x v="1"/>
    <x v="1"/>
    <s v="CONGO"/>
    <s v="RALFF-CO4992"/>
    <s v="5.6"/>
    <m/>
  </r>
  <r>
    <d v="2023-09-05T00:00:00"/>
    <s v="Achat agendas et registres /Bureau PALF"/>
    <x v="9"/>
    <s v="Office"/>
    <m/>
    <n v="32000"/>
    <n v="17507785"/>
    <x v="1"/>
    <s v="OUI"/>
    <x v="1"/>
    <x v="1"/>
    <s v="CONGO"/>
    <s v="RALFF-CO4993"/>
    <s v="4.3"/>
    <m/>
  </r>
  <r>
    <d v="2023-09-05T00:00:00"/>
    <s v="P29"/>
    <x v="1"/>
    <m/>
    <m/>
    <n v="40000"/>
    <n v="17467785"/>
    <x v="1"/>
    <m/>
    <x v="0"/>
    <x v="0"/>
    <m/>
    <m/>
    <m/>
    <m/>
  </r>
  <r>
    <d v="2023-09-05T00:00:00"/>
    <s v="T73"/>
    <x v="1"/>
    <m/>
    <m/>
    <n v="40000"/>
    <n v="17427785"/>
    <x v="1"/>
    <m/>
    <x v="0"/>
    <x v="0"/>
    <m/>
    <m/>
    <m/>
    <m/>
  </r>
  <r>
    <d v="2023-09-05T00:00:00"/>
    <s v="Crepin"/>
    <x v="1"/>
    <m/>
    <m/>
    <n v="54000"/>
    <n v="17373785"/>
    <x v="1"/>
    <m/>
    <x v="0"/>
    <x v="0"/>
    <m/>
    <m/>
    <m/>
    <m/>
  </r>
  <r>
    <d v="2023-09-05T00:00:00"/>
    <s v="Evariste"/>
    <x v="1"/>
    <m/>
    <m/>
    <n v="29000"/>
    <n v="17344785"/>
    <x v="1"/>
    <m/>
    <x v="0"/>
    <x v="0"/>
    <m/>
    <m/>
    <m/>
    <m/>
  </r>
  <r>
    <d v="2023-09-05T00:00:00"/>
    <s v="IT87"/>
    <x v="1"/>
    <m/>
    <m/>
    <n v="40000"/>
    <n v="17304785"/>
    <x v="1"/>
    <m/>
    <x v="0"/>
    <x v="0"/>
    <m/>
    <m/>
    <m/>
    <m/>
  </r>
  <r>
    <d v="2023-09-05T00:00:00"/>
    <s v="Reçu de caisse /Crépin"/>
    <x v="1"/>
    <m/>
    <n v="54000"/>
    <m/>
    <n v="17358785"/>
    <x v="7"/>
    <m/>
    <x v="0"/>
    <x v="0"/>
    <m/>
    <m/>
    <m/>
    <m/>
  </r>
  <r>
    <d v="2023-09-05T00:00:00"/>
    <s v="Reçu de la caisse/Evariste"/>
    <x v="1"/>
    <m/>
    <n v="29000"/>
    <m/>
    <n v="17387785"/>
    <x v="9"/>
    <m/>
    <x v="0"/>
    <x v="0"/>
    <m/>
    <m/>
    <m/>
    <m/>
  </r>
  <r>
    <d v="2023-09-05T00:00:00"/>
    <s v="Reçu de Caisse/ IT87"/>
    <x v="1"/>
    <m/>
    <n v="40000"/>
    <m/>
    <n v="17427785"/>
    <x v="2"/>
    <m/>
    <x v="0"/>
    <x v="0"/>
    <m/>
    <m/>
    <m/>
    <m/>
  </r>
  <r>
    <d v="2023-09-05T00:00:00"/>
    <s v="Reçu de caisse/P29"/>
    <x v="1"/>
    <m/>
    <n v="40000"/>
    <m/>
    <n v="17467785"/>
    <x v="5"/>
    <m/>
    <x v="0"/>
    <x v="0"/>
    <m/>
    <m/>
    <m/>
    <m/>
  </r>
  <r>
    <d v="2023-09-05T00:00:00"/>
    <s v="reçu de caisse/T73"/>
    <x v="1"/>
    <m/>
    <n v="40000"/>
    <m/>
    <n v="17507785"/>
    <x v="6"/>
    <m/>
    <x v="0"/>
    <x v="0"/>
    <m/>
    <m/>
    <m/>
    <m/>
  </r>
  <r>
    <d v="2023-09-05T00:00:00"/>
    <s v="Achat billet Brazzaville - Dolisie/IT87"/>
    <x v="7"/>
    <s v="Investisgations"/>
    <m/>
    <n v="10000"/>
    <n v="17497785"/>
    <x v="2"/>
    <s v="OUI"/>
    <x v="4"/>
    <x v="2"/>
    <s v="CONGO"/>
    <m/>
    <m/>
    <m/>
  </r>
  <r>
    <d v="2023-09-05T00:00:00"/>
    <s v="Achat billet Brazzaville-Owando/P29"/>
    <x v="7"/>
    <s v="Investisgations"/>
    <m/>
    <n v="8000"/>
    <n v="17489785"/>
    <x v="5"/>
    <s v="OUI"/>
    <x v="1"/>
    <x v="1"/>
    <s v="CONGO"/>
    <s v="RALFF-CO4994"/>
    <s v="2.2"/>
    <m/>
  </r>
  <r>
    <d v="2023-09-05T00:00:00"/>
    <s v="Achat billet : Brazzaville - Owando/T73"/>
    <x v="7"/>
    <s v="Investisgations"/>
    <m/>
    <n v="8000"/>
    <n v="17481785"/>
    <x v="6"/>
    <s v="OUI"/>
    <x v="4"/>
    <x v="1"/>
    <s v="CONGO"/>
    <s v="RALFF-CO4995"/>
    <s v="2.2"/>
    <m/>
  </r>
  <r>
    <d v="2023-09-06T00:00:00"/>
    <s v="Frais de transfert charden farell à Evariste et Donald"/>
    <x v="8"/>
    <s v="Office"/>
    <m/>
    <n v="1620"/>
    <n v="17480165"/>
    <x v="1"/>
    <s v="OUI"/>
    <x v="1"/>
    <x v="1"/>
    <s v="CONGO"/>
    <s v="RALFF-CO4996"/>
    <s v="5.6"/>
    <m/>
  </r>
  <r>
    <d v="2023-09-06T00:00:00"/>
    <s v="Frais Changement vitre de la chambre du Coordo/Bureau PALF"/>
    <x v="12"/>
    <s v="Office"/>
    <m/>
    <n v="11000"/>
    <n v="17469165"/>
    <x v="1"/>
    <s v="OUI"/>
    <x v="4"/>
    <x v="2"/>
    <s v="CONGO"/>
    <m/>
    <m/>
    <m/>
  </r>
  <r>
    <d v="2023-09-06T00:00:00"/>
    <s v="Frais de transfert charden farell à IT87"/>
    <x v="8"/>
    <s v="Office"/>
    <m/>
    <n v="7470"/>
    <n v="17461695"/>
    <x v="1"/>
    <s v="OUI"/>
    <x v="4"/>
    <x v="2"/>
    <s v="CONGO"/>
    <m/>
    <m/>
    <m/>
  </r>
  <r>
    <d v="2023-09-06T00:00:00"/>
    <s v="Evariste"/>
    <x v="1"/>
    <m/>
    <m/>
    <n v="25000"/>
    <n v="17436695"/>
    <x v="1"/>
    <m/>
    <x v="0"/>
    <x v="0"/>
    <m/>
    <m/>
    <m/>
    <m/>
  </r>
  <r>
    <d v="2023-09-06T00:00:00"/>
    <s v="Donald-Roméro"/>
    <x v="1"/>
    <m/>
    <m/>
    <n v="29000"/>
    <n v="17407695"/>
    <x v="1"/>
    <m/>
    <x v="0"/>
    <x v="0"/>
    <m/>
    <m/>
    <m/>
    <m/>
  </r>
  <r>
    <d v="2023-09-06T00:00:00"/>
    <s v="IT87"/>
    <x v="1"/>
    <m/>
    <m/>
    <n v="249000"/>
    <n v="17158695"/>
    <x v="1"/>
    <m/>
    <x v="0"/>
    <x v="0"/>
    <m/>
    <m/>
    <m/>
    <m/>
  </r>
  <r>
    <d v="2023-09-06T00:00:00"/>
    <s v="Reçu caisse/Donald-Roméo"/>
    <x v="1"/>
    <m/>
    <n v="29000"/>
    <m/>
    <n v="17187695"/>
    <x v="8"/>
    <m/>
    <x v="0"/>
    <x v="0"/>
    <m/>
    <m/>
    <m/>
    <m/>
  </r>
  <r>
    <d v="2023-09-06T00:00:00"/>
    <s v="Reçu de la caisse/Evariste"/>
    <x v="1"/>
    <m/>
    <n v="25000"/>
    <m/>
    <n v="17212695"/>
    <x v="9"/>
    <m/>
    <x v="0"/>
    <x v="0"/>
    <m/>
    <m/>
    <m/>
    <m/>
  </r>
  <r>
    <d v="2023-09-06T00:00:00"/>
    <s v="Reçu de caisse/P29"/>
    <x v="1"/>
    <m/>
    <n v="129000"/>
    <m/>
    <n v="17341695"/>
    <x v="5"/>
    <m/>
    <x v="0"/>
    <x v="0"/>
    <m/>
    <m/>
    <m/>
    <m/>
  </r>
  <r>
    <d v="2023-09-06T00:00:00"/>
    <s v="Billet: Pointe Noire-Brazzaville/Crépin"/>
    <x v="7"/>
    <s v="Management"/>
    <m/>
    <n v="15000"/>
    <n v="17326695"/>
    <x v="7"/>
    <s v="OUI"/>
    <x v="1"/>
    <x v="1"/>
    <s v="CONGO"/>
    <s v="RALFF-CO4997"/>
    <s v="2.2"/>
    <m/>
  </r>
  <r>
    <d v="2023-09-06T00:00:00"/>
    <s v="Frais de la procedure gendarmerie( Rame de papier,chemises cartonnées, sous chemises)"/>
    <x v="9"/>
    <s v="Legal"/>
    <m/>
    <n v="7000"/>
    <n v="17319695"/>
    <x v="8"/>
    <s v="OUI"/>
    <x v="4"/>
    <x v="2"/>
    <s v="CONGO"/>
    <m/>
    <m/>
    <m/>
  </r>
  <r>
    <d v="2023-09-06T00:00:00"/>
    <s v="Achat billet Pointe Noire -Brazzaville/Donald-Roméo"/>
    <x v="13"/>
    <s v="Legal"/>
    <m/>
    <n v="15000"/>
    <n v="17304695"/>
    <x v="8"/>
    <s v="OUI"/>
    <x v="1"/>
    <x v="1"/>
    <s v="CONGO"/>
    <s v="RALFF-CO4998"/>
    <s v="2.2"/>
    <m/>
  </r>
  <r>
    <d v="2023-09-06T00:00:00"/>
    <s v="Achat billet Pointe Noire-Brazzaville/Evariste"/>
    <x v="7"/>
    <s v="Media"/>
    <m/>
    <n v="15000"/>
    <n v="17289695"/>
    <x v="9"/>
    <s v="OUI"/>
    <x v="1"/>
    <x v="1"/>
    <s v="CONGO"/>
    <s v="RALFF-CO4999"/>
    <s v="2.2"/>
    <m/>
  </r>
  <r>
    <d v="2023-09-06T00:00:00"/>
    <s v="IT87 - CONGO Food Allowance mission du 06 au 14/09/2023 à Dolisie et Mbinda/ ( 08 nuitées )"/>
    <x v="5"/>
    <s v="Investisgations"/>
    <m/>
    <n v="80000"/>
    <n v="17209695"/>
    <x v="2"/>
    <s v="Décharge"/>
    <x v="2"/>
    <x v="2"/>
    <s v="CONGO"/>
    <m/>
    <m/>
    <m/>
  </r>
  <r>
    <d v="2023-09-06T00:00:00"/>
    <s v="P29 - CONGO Food allowance mission du 06 au  15/09/2023 à Pointe-Noire/(11 nuitées)"/>
    <x v="5"/>
    <s v="Investisgations"/>
    <m/>
    <n v="110000"/>
    <n v="17099695"/>
    <x v="5"/>
    <s v="Décharge"/>
    <x v="2"/>
    <x v="1"/>
    <s v="CONGO"/>
    <s v="RALFF-CO5000"/>
    <s v="1.3.2"/>
    <m/>
  </r>
  <r>
    <d v="2023-09-06T00:00:00"/>
    <s v="T73 - CONGO Food Allowance du 06 au 17/09/2023 (11 nuitées) à Owando et Oyo"/>
    <x v="5"/>
    <s v="Investisgations"/>
    <m/>
    <n v="110000"/>
    <n v="16989695"/>
    <x v="6"/>
    <s v="Décharge"/>
    <x v="2"/>
    <x v="1"/>
    <s v="CONGO"/>
    <s v="RALFF-CO5001"/>
    <s v="1.3.2"/>
    <m/>
  </r>
  <r>
    <d v="2023-09-07T00:00:00"/>
    <s v="Reglement électricité periode Juillet-Août 2023"/>
    <x v="10"/>
    <s v="Office"/>
    <m/>
    <n v="49436"/>
    <n v="16940259"/>
    <x v="1"/>
    <s v="OUI"/>
    <x v="1"/>
    <x v="1"/>
    <s v="CONGO"/>
    <s v="RALFF-CO5002"/>
    <s v="4.4"/>
    <m/>
  </r>
  <r>
    <d v="2023-09-07T00:00:00"/>
    <s v="Taxes sur Reglement électricité periode Juillet-Août 2023"/>
    <x v="10"/>
    <s v="Office"/>
    <m/>
    <n v="10392"/>
    <n v="16929867"/>
    <x v="1"/>
    <s v="OUI"/>
    <x v="4"/>
    <x v="2"/>
    <s v="CONGO"/>
    <m/>
    <m/>
    <m/>
  </r>
  <r>
    <d v="2023-09-07T00:00:00"/>
    <s v="Frais de transfert charden farell  à P29 et T73"/>
    <x v="8"/>
    <s v="Office"/>
    <m/>
    <n v="7740"/>
    <n v="16922127"/>
    <x v="1"/>
    <s v="OUI"/>
    <x v="1"/>
    <x v="1"/>
    <s v="CONGO"/>
    <s v="RALFF-CO5003"/>
    <s v="5.6"/>
    <m/>
  </r>
  <r>
    <d v="2023-09-07T00:00:00"/>
    <s v="P29"/>
    <x v="1"/>
    <m/>
    <m/>
    <n v="129000"/>
    <n v="16793127"/>
    <x v="1"/>
    <m/>
    <x v="0"/>
    <x v="0"/>
    <m/>
    <m/>
    <m/>
    <m/>
  </r>
  <r>
    <d v="2023-09-07T00:00:00"/>
    <s v="T73"/>
    <x v="1"/>
    <m/>
    <m/>
    <n v="129000"/>
    <n v="16664127"/>
    <x v="1"/>
    <m/>
    <x v="0"/>
    <x v="0"/>
    <m/>
    <m/>
    <m/>
    <m/>
  </r>
  <r>
    <d v="2023-09-07T00:00:00"/>
    <s v="Reçu de Caisse/ IT87"/>
    <x v="1"/>
    <m/>
    <n v="249000"/>
    <m/>
    <n v="16913127"/>
    <x v="2"/>
    <m/>
    <x v="0"/>
    <x v="0"/>
    <m/>
    <m/>
    <m/>
    <m/>
  </r>
  <r>
    <d v="2023-09-07T00:00:00"/>
    <s v="reçu de caisse/T73"/>
    <x v="1"/>
    <m/>
    <n v="129000"/>
    <m/>
    <n v="17042127"/>
    <x v="6"/>
    <m/>
    <x v="0"/>
    <x v="0"/>
    <m/>
    <m/>
    <m/>
    <m/>
  </r>
  <r>
    <d v="2023-09-07T00:00:00"/>
    <s v="Agios du 30/06/2023 au 31/07/2023"/>
    <x v="3"/>
    <s v="Office"/>
    <m/>
    <n v="23345"/>
    <n v="17018782"/>
    <x v="13"/>
    <s v="Relevé"/>
    <x v="4"/>
    <x v="2"/>
    <s v="CONGO"/>
    <m/>
    <m/>
    <m/>
  </r>
  <r>
    <d v="2023-09-07T00:00:00"/>
    <s v="CREPIN IBOUILI - CONGO Frais d'hôtel du 31/08/ au 07/09/2023  à Pointe-Noire/(7 Nuitées)"/>
    <x v="5"/>
    <s v="Management"/>
    <m/>
    <n v="105000"/>
    <n v="16913782"/>
    <x v="7"/>
    <s v="OUI"/>
    <x v="1"/>
    <x v="1"/>
    <s v="CONGO"/>
    <s v="RALFF-CO5004"/>
    <s v="1.3.2"/>
    <m/>
  </r>
  <r>
    <d v="2023-09-07T00:00:00"/>
    <s v="DONALD-ROMEO Frais d'hôtel du 03 au 07/09/2023 à Pointe-Noire (04 Nuitées )"/>
    <x v="5"/>
    <s v="Legal"/>
    <m/>
    <n v="60000"/>
    <n v="16853782"/>
    <x v="8"/>
    <s v="OUI"/>
    <x v="1"/>
    <x v="1"/>
    <s v="CONGO"/>
    <s v="RALFF-CO5005"/>
    <s v="1.3.2"/>
    <m/>
  </r>
  <r>
    <d v="2023-09-07T00:00:00"/>
    <s v="EVARISTE - CONG Frais d'hôtel du 31 août au 07 septembre 2023 (7 nuitées) à Pointe Noire  "/>
    <x v="5"/>
    <s v="Media"/>
    <m/>
    <n v="105000"/>
    <n v="16748782"/>
    <x v="9"/>
    <s v="OUI"/>
    <x v="4"/>
    <x v="1"/>
    <s v="CONGO"/>
    <s v="RALFF-CO5006"/>
    <s v="1.3.2"/>
    <m/>
  </r>
  <r>
    <d v="2023-09-07T00:00:00"/>
    <s v="IT87 - CONGO Frais d'hôtel  du 06 au 07/09/2023 à Dolisie (01 Nuitée)"/>
    <x v="5"/>
    <s v="Investisgations"/>
    <m/>
    <n v="15000"/>
    <n v="16733782"/>
    <x v="2"/>
    <s v="OUI"/>
    <x v="2"/>
    <x v="2"/>
    <s v="CONGO"/>
    <m/>
    <m/>
    <m/>
  </r>
  <r>
    <d v="2023-09-07T00:00:00"/>
    <s v="Achat billet  Dolisie-Mbinda/IT87"/>
    <x v="7"/>
    <s v="Investisgations"/>
    <m/>
    <n v="15000"/>
    <n v="16718782"/>
    <x v="2"/>
    <s v="OUI"/>
    <x v="4"/>
    <x v="2"/>
    <s v="CONGO"/>
    <m/>
    <m/>
    <m/>
  </r>
  <r>
    <d v="2023-09-08T00:00:00"/>
    <s v="Bonus du mois d'Août 2023/Crépin"/>
    <x v="6"/>
    <s v="Legal"/>
    <m/>
    <n v="50000"/>
    <n v="16668782"/>
    <x v="1"/>
    <s v="Décharge"/>
    <x v="4"/>
    <x v="2"/>
    <s v="CONGO"/>
    <m/>
    <m/>
    <m/>
  </r>
  <r>
    <d v="2023-09-08T00:00:00"/>
    <s v="Bonus du mois d'Août 2023/Donald-Roméo"/>
    <x v="6"/>
    <s v="Legal"/>
    <m/>
    <n v="20000"/>
    <n v="16648782"/>
    <x v="1"/>
    <s v="Décharge"/>
    <x v="4"/>
    <x v="2"/>
    <s v="CONGO"/>
    <m/>
    <m/>
    <m/>
  </r>
  <r>
    <d v="2023-09-08T00:00:00"/>
    <s v="Bonus du mois d'Août 2023/Evariste"/>
    <x v="6"/>
    <s v="Media"/>
    <m/>
    <n v="20000"/>
    <n v="16628782"/>
    <x v="1"/>
    <s v="Décharge"/>
    <x v="4"/>
    <x v="2"/>
    <s v="CONGO"/>
    <m/>
    <m/>
    <m/>
  </r>
  <r>
    <d v="2023-09-08T00:00:00"/>
    <s v="Frais de mission maitre Marie Hélène  NANITELAMIO du 11 au 13/09/2023 à Pointe-Noire /Cas OKEMBA et Consorts"/>
    <x v="11"/>
    <s v="Legal"/>
    <m/>
    <n v="86000"/>
    <n v="16542782"/>
    <x v="1"/>
    <s v="OUI"/>
    <x v="3"/>
    <x v="2"/>
    <s v="CONGO"/>
    <m/>
    <m/>
    <m/>
  </r>
  <r>
    <d v="2023-09-08T00:00:00"/>
    <s v="Bonus média/télécongo"/>
    <x v="6"/>
    <s v="Media"/>
    <m/>
    <n v="150000"/>
    <n v="16392782"/>
    <x v="1"/>
    <s v="Décharge"/>
    <x v="4"/>
    <x v="2"/>
    <s v="CONGO"/>
    <m/>
    <m/>
    <m/>
  </r>
  <r>
    <d v="2023-09-08T00:00:00"/>
    <s v="BCI3654568-34"/>
    <x v="1"/>
    <m/>
    <n v="2000000"/>
    <m/>
    <n v="18392782"/>
    <x v="1"/>
    <m/>
    <x v="0"/>
    <x v="0"/>
    <m/>
    <m/>
    <m/>
    <m/>
  </r>
  <r>
    <d v="2023-09-08T00:00:00"/>
    <s v="Hurielle"/>
    <x v="1"/>
    <m/>
    <m/>
    <n v="97000"/>
    <n v="18295782"/>
    <x v="1"/>
    <m/>
    <x v="0"/>
    <x v="0"/>
    <m/>
    <m/>
    <m/>
    <m/>
  </r>
  <r>
    <d v="2023-09-08T00:00:00"/>
    <s v="Retrait especes/appro caisse/bord n°3654568"/>
    <x v="1"/>
    <m/>
    <m/>
    <n v="2000000"/>
    <n v="16295782"/>
    <x v="13"/>
    <n v="3654568"/>
    <x v="0"/>
    <x v="0"/>
    <m/>
    <m/>
    <m/>
    <m/>
  </r>
  <r>
    <d v="2023-09-08T00:00:00"/>
    <s v="Reçu caisse/Hurielle"/>
    <x v="1"/>
    <m/>
    <n v="97000"/>
    <m/>
    <n v="16392782"/>
    <x v="10"/>
    <m/>
    <x v="0"/>
    <x v="0"/>
    <m/>
    <m/>
    <m/>
    <m/>
  </r>
  <r>
    <d v="2023-09-08T00:00:00"/>
    <s v="Achat billet Brazzaville - Pointe Noire/Hurielle"/>
    <x v="7"/>
    <s v="Legal"/>
    <m/>
    <n v="15000"/>
    <n v="16377782"/>
    <x v="10"/>
    <s v="OUI"/>
    <x v="1"/>
    <x v="1"/>
    <s v="CONGO"/>
    <s v="RALFF-CO5007"/>
    <s v="2.2"/>
    <m/>
  </r>
  <r>
    <d v="2023-09-09T00:00:00"/>
    <s v="Reçu caisse/Oracle"/>
    <x v="1"/>
    <m/>
    <n v="155000"/>
    <m/>
    <n v="16532782"/>
    <x v="12"/>
    <m/>
    <x v="0"/>
    <x v="0"/>
    <m/>
    <m/>
    <m/>
    <m/>
  </r>
  <r>
    <d v="2023-09-09T00:00:00"/>
    <s v="Achat billet Brazzaville - Owando/Oracle"/>
    <x v="7"/>
    <s v="Legal"/>
    <m/>
    <n v="8000"/>
    <n v="16524782"/>
    <x v="12"/>
    <s v="OUI"/>
    <x v="4"/>
    <x v="1"/>
    <s v="CONGO"/>
    <s v="RALFF-CO5008"/>
    <s v="2.2"/>
    <m/>
  </r>
  <r>
    <d v="2023-09-10T00:00:00"/>
    <s v="Bonus opération du 02 Septembre 2023 / Crépin "/>
    <x v="6"/>
    <s v="Operation"/>
    <m/>
    <n v="50000"/>
    <n v="16474782"/>
    <x v="1"/>
    <s v="Décharge"/>
    <x v="4"/>
    <x v="2"/>
    <s v="CONGO"/>
    <m/>
    <m/>
    <m/>
  </r>
  <r>
    <d v="2023-09-10T00:00:00"/>
    <s v="Bonus opération du 02 Septembre 2023 / Merveille"/>
    <x v="6"/>
    <s v="Operation"/>
    <m/>
    <n v="20000"/>
    <n v="16454782"/>
    <x v="1"/>
    <s v="Décharge"/>
    <x v="4"/>
    <x v="2"/>
    <s v="CONGO"/>
    <m/>
    <m/>
    <m/>
  </r>
  <r>
    <d v="2023-09-10T00:00:00"/>
    <s v="Bonus opération du 02 Septembre 2023 / Oracle"/>
    <x v="6"/>
    <s v="Operation"/>
    <m/>
    <n v="20000"/>
    <n v="16434782"/>
    <x v="1"/>
    <s v="Décharge"/>
    <x v="4"/>
    <x v="2"/>
    <s v="CONGO"/>
    <m/>
    <m/>
    <m/>
  </r>
  <r>
    <d v="2023-09-10T00:00:00"/>
    <s v="Bonus opération du 02 Septembre 2023 / Evariste"/>
    <x v="6"/>
    <s v="Operation"/>
    <m/>
    <n v="25000"/>
    <n v="16409782"/>
    <x v="1"/>
    <s v="Décharge"/>
    <x v="4"/>
    <x v="2"/>
    <s v="CONGO"/>
    <m/>
    <m/>
    <m/>
  </r>
  <r>
    <d v="2023-09-10T00:00:00"/>
    <s v="Bonus opération du 02 Septembre 2023 / Donald- Roméo"/>
    <x v="6"/>
    <s v="Operation"/>
    <m/>
    <n v="30000"/>
    <n v="16379782"/>
    <x v="1"/>
    <s v="Décharge"/>
    <x v="4"/>
    <x v="2"/>
    <s v="CONGO"/>
    <m/>
    <m/>
    <m/>
  </r>
  <r>
    <d v="2023-09-10T00:00:00"/>
    <s v="Crepin"/>
    <x v="1"/>
    <m/>
    <m/>
    <n v="570000"/>
    <n v="15809782"/>
    <x v="1"/>
    <m/>
    <x v="0"/>
    <x v="0"/>
    <m/>
    <m/>
    <m/>
    <m/>
  </r>
  <r>
    <d v="2023-09-10T00:00:00"/>
    <s v="Donald-Roméro"/>
    <x v="1"/>
    <m/>
    <m/>
    <n v="135000"/>
    <n v="15674782"/>
    <x v="1"/>
    <m/>
    <x v="0"/>
    <x v="0"/>
    <m/>
    <m/>
    <m/>
    <m/>
  </r>
  <r>
    <d v="2023-09-10T00:00:00"/>
    <s v="Evariste"/>
    <x v="1"/>
    <m/>
    <m/>
    <n v="175000"/>
    <n v="15499782"/>
    <x v="1"/>
    <m/>
    <x v="0"/>
    <x v="0"/>
    <m/>
    <m/>
    <m/>
    <m/>
  </r>
  <r>
    <d v="2023-09-10T00:00:00"/>
    <s v="Oracle "/>
    <x v="1"/>
    <m/>
    <m/>
    <n v="155000"/>
    <n v="15344782"/>
    <x v="1"/>
    <m/>
    <x v="0"/>
    <x v="0"/>
    <m/>
    <m/>
    <m/>
    <m/>
  </r>
  <r>
    <d v="2023-09-10T00:00:00"/>
    <s v="Homefa"/>
    <x v="1"/>
    <m/>
    <m/>
    <n v="450000"/>
    <n v="14894782"/>
    <x v="1"/>
    <m/>
    <x v="0"/>
    <x v="0"/>
    <m/>
    <m/>
    <m/>
    <m/>
  </r>
  <r>
    <d v="2023-09-10T00:00:00"/>
    <s v="Merveille "/>
    <x v="1"/>
    <m/>
    <m/>
    <n v="180000"/>
    <n v="14714782"/>
    <x v="1"/>
    <m/>
    <x v="0"/>
    <x v="0"/>
    <m/>
    <m/>
    <m/>
    <m/>
  </r>
  <r>
    <d v="2023-09-10T00:00:00"/>
    <s v="Reçu de caisse /Crépin"/>
    <x v="1"/>
    <m/>
    <n v="570000"/>
    <m/>
    <n v="15284782"/>
    <x v="7"/>
    <m/>
    <x v="0"/>
    <x v="0"/>
    <m/>
    <m/>
    <m/>
    <m/>
  </r>
  <r>
    <d v="2023-09-10T00:00:00"/>
    <s v="Reçu caisse/Donald-Roméo"/>
    <x v="1"/>
    <m/>
    <n v="135000"/>
    <m/>
    <n v="15419782"/>
    <x v="8"/>
    <m/>
    <x v="0"/>
    <x v="0"/>
    <m/>
    <m/>
    <m/>
    <m/>
  </r>
  <r>
    <d v="2023-09-10T00:00:00"/>
    <s v="Retour caisse/Dovi"/>
    <x v="1"/>
    <m/>
    <m/>
    <n v="230000"/>
    <n v="15189782"/>
    <x v="4"/>
    <m/>
    <x v="0"/>
    <x v="0"/>
    <m/>
    <m/>
    <m/>
    <m/>
  </r>
  <r>
    <d v="2023-09-10T00:00:00"/>
    <s v="Reçu caisse/Dovi"/>
    <x v="1"/>
    <m/>
    <n v="450000"/>
    <m/>
    <n v="15639782"/>
    <x v="4"/>
    <m/>
    <x v="0"/>
    <x v="0"/>
    <m/>
    <m/>
    <m/>
    <m/>
  </r>
  <r>
    <d v="2023-09-10T00:00:00"/>
    <s v="Reçu de la caisse/Evariste"/>
    <x v="1"/>
    <m/>
    <n v="175000"/>
    <m/>
    <n v="15814782"/>
    <x v="9"/>
    <m/>
    <x v="0"/>
    <x v="0"/>
    <m/>
    <m/>
    <m/>
    <m/>
  </r>
  <r>
    <d v="2023-09-10T00:00:00"/>
    <s v="Reçu caisse/Merveille"/>
    <x v="1"/>
    <m/>
    <n v="180000"/>
    <m/>
    <n v="15994782"/>
    <x v="11"/>
    <m/>
    <x v="0"/>
    <x v="0"/>
    <m/>
    <m/>
    <m/>
    <m/>
  </r>
  <r>
    <d v="2023-09-10T00:00:00"/>
    <s v="Billet: Brazzaville-Owando/Crépin"/>
    <x v="7"/>
    <s v="Management"/>
    <m/>
    <n v="8000"/>
    <n v="15986782"/>
    <x v="7"/>
    <s v="OUI"/>
    <x v="1"/>
    <x v="1"/>
    <s v="CONGO"/>
    <s v="RALFF-CO5009"/>
    <s v="2.2"/>
    <m/>
  </r>
  <r>
    <d v="2023-09-10T00:00:00"/>
    <s v="Achat billet Brazzaville - Owando/Donald-Roméo"/>
    <x v="13"/>
    <s v="Legal"/>
    <m/>
    <n v="8000"/>
    <n v="15978782"/>
    <x v="8"/>
    <s v="OUI"/>
    <x v="1"/>
    <x v="1"/>
    <s v="CONGO"/>
    <s v="RALFF-CO5010"/>
    <s v="2.2"/>
    <m/>
  </r>
  <r>
    <d v="2023-09-10T00:00:00"/>
    <s v="Achat billet Brazzaville -Owando/DOVI"/>
    <x v="7"/>
    <s v="Management"/>
    <m/>
    <n v="8000"/>
    <n v="15970782"/>
    <x v="4"/>
    <s v="OUI"/>
    <x v="1"/>
    <x v="1"/>
    <s v="CONGO"/>
    <s v="RALFF-CO5011"/>
    <s v="2.2"/>
    <m/>
  </r>
  <r>
    <d v="2023-09-10T00:00:00"/>
    <s v="Achat billet Brazzaville-Owando/Evariste"/>
    <x v="7"/>
    <s v="Media"/>
    <m/>
    <n v="8000"/>
    <n v="15962782"/>
    <x v="9"/>
    <s v="OUI"/>
    <x v="1"/>
    <x v="1"/>
    <s v="CONGO"/>
    <s v="RALFF-CO5012"/>
    <s v="2.2"/>
    <m/>
  </r>
  <r>
    <d v="2023-09-10T00:00:00"/>
    <s v="Achat billet Brazzaville - Owando/Merveille"/>
    <x v="7"/>
    <s v="Office"/>
    <m/>
    <n v="8000"/>
    <n v="15954782"/>
    <x v="11"/>
    <s v="OUI"/>
    <x v="1"/>
    <x v="1"/>
    <s v="CONGO"/>
    <s v="RALFF-CO5013"/>
    <s v="2.2"/>
    <m/>
  </r>
  <r>
    <d v="2023-09-10T00:00:00"/>
    <s v="ORACLE TALOULOU- CONGO Food allowance du 11 au 17 Septembre 2023 à Owando/(06 Nuitées)"/>
    <x v="5"/>
    <s v="Legal"/>
    <m/>
    <n v="60000"/>
    <n v="15894782"/>
    <x v="12"/>
    <s v="Décharge"/>
    <x v="4"/>
    <x v="1"/>
    <s v="CONGO"/>
    <s v="RALFF-CO5014"/>
    <s v="1.3.2"/>
    <m/>
  </r>
  <r>
    <d v="2023-09-11T00:00:00"/>
    <s v="Frais de transfert charden farell  à P29 et T73"/>
    <x v="8"/>
    <s v="Office"/>
    <m/>
    <n v="9000"/>
    <n v="15885782"/>
    <x v="1"/>
    <s v="OUI"/>
    <x v="1"/>
    <x v="1"/>
    <s v="CONGO"/>
    <s v="RALFF-CO5015"/>
    <s v="5.6"/>
    <m/>
  </r>
  <r>
    <d v="2023-09-11T00:00:00"/>
    <s v="Achat credit  teléphonique MNT/PALF/Management/Homéfa Dovi"/>
    <x v="2"/>
    <s v="Management"/>
    <m/>
    <n v="10000"/>
    <n v="15875782"/>
    <x v="1"/>
    <s v="OUI"/>
    <x v="1"/>
    <x v="1"/>
    <s v="CONGO"/>
    <s v="RALFF-CO5016"/>
    <s v="4.6"/>
    <m/>
  </r>
  <r>
    <d v="2023-09-11T00:00:00"/>
    <s v="P29"/>
    <x v="1"/>
    <m/>
    <m/>
    <n v="150000"/>
    <n v="15725782"/>
    <x v="1"/>
    <m/>
    <x v="0"/>
    <x v="0"/>
    <m/>
    <m/>
    <m/>
    <m/>
  </r>
  <r>
    <d v="2023-09-11T00:00:00"/>
    <s v="T73"/>
    <x v="1"/>
    <m/>
    <m/>
    <n v="150000"/>
    <n v="15575782"/>
    <x v="1"/>
    <m/>
    <x v="0"/>
    <x v="0"/>
    <m/>
    <m/>
    <m/>
    <m/>
  </r>
  <r>
    <d v="2023-09-11T00:00:00"/>
    <s v="Reçu de caisse/P29"/>
    <x v="1"/>
    <m/>
    <n v="150000"/>
    <m/>
    <n v="15725782"/>
    <x v="5"/>
    <m/>
    <x v="0"/>
    <x v="0"/>
    <m/>
    <m/>
    <m/>
    <m/>
  </r>
  <r>
    <d v="2023-09-11T00:00:00"/>
    <s v="reçu de caisse/T73"/>
    <x v="1"/>
    <m/>
    <n v="150000"/>
    <m/>
    <n v="15875782"/>
    <x v="6"/>
    <m/>
    <x v="0"/>
    <x v="0"/>
    <m/>
    <m/>
    <m/>
    <m/>
  </r>
  <r>
    <d v="2023-09-11T00:00:00"/>
    <s v="CREPIN IBOUILI - CONGO Food-Allowance du 11 au 29/09/2023 à 0wando/(18 nuitées)"/>
    <x v="5"/>
    <s v="Management"/>
    <m/>
    <n v="180000"/>
    <n v="15695782"/>
    <x v="7"/>
    <s v="Décharge"/>
    <x v="1"/>
    <x v="1"/>
    <s v="CONGO"/>
    <s v="RALFF-CO5017"/>
    <s v="1.3.2"/>
    <m/>
  </r>
  <r>
    <d v="2023-09-13T00:00:00"/>
    <s v="CREPIN IBOUILI - CONGO frais d'hôtel du 11 au 13/09/2023  à Owando/(02 Nuitées)"/>
    <x v="5"/>
    <s v="Management"/>
    <m/>
    <n v="30000"/>
    <n v="15665782"/>
    <x v="7"/>
    <s v="OUI"/>
    <x v="1"/>
    <x v="1"/>
    <s v="CONGO"/>
    <s v="RALFF-CO5018"/>
    <s v="1.3.2"/>
    <m/>
  </r>
  <r>
    <d v="2023-09-11T00:00:00"/>
    <s v="DONALD-ROMEO - CONGO Food Allowance Mission du 11 /09/2023 au 29/09/2023 à Owando/(18nuitées)"/>
    <x v="5"/>
    <s v="Legal"/>
    <m/>
    <n v="180000"/>
    <n v="15485782"/>
    <x v="8"/>
    <s v="OUI"/>
    <x v="1"/>
    <x v="1"/>
    <s v="CONGO"/>
    <s v="RALFF-CO5019"/>
    <s v="1.3.2"/>
    <m/>
  </r>
  <r>
    <d v="2023-09-11T00:00:00"/>
    <s v="DOVI - CONGO Food allowance du 11 au 17 Septembre 2023 à Owando/(06 nuitées)"/>
    <x v="5"/>
    <s v="Management"/>
    <m/>
    <n v="60000"/>
    <n v="15425782"/>
    <x v="4"/>
    <s v="Décharge"/>
    <x v="4"/>
    <x v="1"/>
    <s v="CONGO"/>
    <s v="RALFF-CO5020"/>
    <s v="1.3.2"/>
    <m/>
  </r>
  <r>
    <d v="2023-09-11T00:00:00"/>
    <s v="EVARISTE-CONGO Food allowance du 11 au 26 septembre 2023 à Owando/(15 nuitées)"/>
    <x v="5"/>
    <s v="Media"/>
    <m/>
    <n v="150000"/>
    <n v="15275782"/>
    <x v="9"/>
    <s v="Décharge"/>
    <x v="4"/>
    <x v="1"/>
    <s v="CONGO"/>
    <s v="RALFF-CO5021"/>
    <s v="1.3.2"/>
    <m/>
  </r>
  <r>
    <d v="2023-09-11T00:00:00"/>
    <s v="HURIELLE - CONGO FoodAllowance du 11 au 13/09/2023 à Pointe-Noire"/>
    <x v="5"/>
    <s v="Legal"/>
    <m/>
    <n v="20000"/>
    <n v="15255782"/>
    <x v="10"/>
    <s v="Décharge"/>
    <x v="4"/>
    <x v="1"/>
    <s v="CONGO"/>
    <s v="RALFF-CO5022"/>
    <s v="1.3.2"/>
    <m/>
  </r>
  <r>
    <d v="2023-09-11T00:00:00"/>
    <s v="MERVEILLE-CONGO Food allowance mission du 11 au 17 Septembre 2023 ( 06 Nuitées) à Owando et Oyo"/>
    <x v="5"/>
    <s v="Office"/>
    <m/>
    <n v="60000"/>
    <n v="15195782"/>
    <x v="11"/>
    <s v="Décharge"/>
    <x v="4"/>
    <x v="1"/>
    <s v="CONGO"/>
    <s v="RALFF-CO5023"/>
    <s v="1.3.2"/>
    <m/>
  </r>
  <r>
    <d v="2023-09-12T00:00:00"/>
    <s v="Bonus média/Sur Interpellation de 02 trafs à PNR le 02/09/23 avec la Peau de panthere"/>
    <x v="6"/>
    <s v="Media"/>
    <m/>
    <n v="86000"/>
    <n v="15109782"/>
    <x v="1"/>
    <s v="Décharge"/>
    <x v="4"/>
    <x v="2"/>
    <s v="CONGO"/>
    <m/>
    <m/>
    <m/>
  </r>
  <r>
    <d v="2023-09-12T00:00:00"/>
    <s v="Reçu de Crépin/T73"/>
    <x v="1"/>
    <m/>
    <n v="80000"/>
    <m/>
    <n v="15189782"/>
    <x v="6"/>
    <m/>
    <x v="0"/>
    <x v="0"/>
    <m/>
    <m/>
    <m/>
    <m/>
  </r>
  <r>
    <d v="2023-09-12T00:00:00"/>
    <s v="Achat billet de retour Pointe Noire - Brazzaville/Hurielle"/>
    <x v="7"/>
    <s v="Legal"/>
    <m/>
    <n v="15000"/>
    <n v="15174782"/>
    <x v="10"/>
    <s v="OUI"/>
    <x v="1"/>
    <x v="1"/>
    <s v="CONGO"/>
    <s v="RALFF-CO5024"/>
    <s v="2.2"/>
    <m/>
  </r>
  <r>
    <d v="2023-09-12T00:00:00"/>
    <s v="IT87 - CONGO Frais d'hôtel  du 07 au 12/09/2023 à Mbinda (05 Nuitées)"/>
    <x v="5"/>
    <s v="Investisgations"/>
    <m/>
    <n v="75000"/>
    <n v="15099782"/>
    <x v="2"/>
    <s v="OUI"/>
    <x v="2"/>
    <x v="2"/>
    <s v="CONGO"/>
    <m/>
    <m/>
    <m/>
  </r>
  <r>
    <d v="2023-09-12T00:00:00"/>
    <s v="Achat billet Mbinda - Dolisie/IT87"/>
    <x v="7"/>
    <s v="Investisgations"/>
    <m/>
    <n v="15000"/>
    <n v="15084782"/>
    <x v="2"/>
    <s v="OUI"/>
    <x v="4"/>
    <x v="2"/>
    <s v="CONGO"/>
    <m/>
    <m/>
    <m/>
  </r>
  <r>
    <d v="2023-09-13T00:00:00"/>
    <s v="Remis à DOVI /Crépin"/>
    <x v="1"/>
    <m/>
    <m/>
    <n v="50000"/>
    <n v="15034782"/>
    <x v="7"/>
    <m/>
    <x v="0"/>
    <x v="0"/>
    <m/>
    <m/>
    <m/>
    <m/>
  </r>
  <r>
    <d v="2023-09-13T00:00:00"/>
    <s v="Remis à Evariste /Crépin"/>
    <x v="1"/>
    <m/>
    <m/>
    <n v="50000"/>
    <n v="14984782"/>
    <x v="7"/>
    <m/>
    <x v="0"/>
    <x v="0"/>
    <m/>
    <m/>
    <m/>
    <m/>
  </r>
  <r>
    <d v="2023-09-13T00:00:00"/>
    <s v="Remis à Donald-Roméo /Crépin"/>
    <x v="1"/>
    <m/>
    <m/>
    <n v="50000"/>
    <n v="14934782"/>
    <x v="7"/>
    <m/>
    <x v="0"/>
    <x v="0"/>
    <m/>
    <m/>
    <m/>
    <m/>
  </r>
  <r>
    <d v="2023-09-13T00:00:00"/>
    <s v="Remis à Merveille /Crépin"/>
    <x v="1"/>
    <m/>
    <m/>
    <n v="50000"/>
    <n v="14884782"/>
    <x v="7"/>
    <m/>
    <x v="0"/>
    <x v="0"/>
    <m/>
    <m/>
    <m/>
    <m/>
  </r>
  <r>
    <d v="2023-09-13T00:00:00"/>
    <s v="Remis à T73 (Frais de location de la suite pour opération) /Crépin"/>
    <x v="1"/>
    <m/>
    <m/>
    <n v="80000"/>
    <n v="14804782"/>
    <x v="7"/>
    <m/>
    <x v="0"/>
    <x v="0"/>
    <m/>
    <m/>
    <m/>
    <m/>
  </r>
  <r>
    <d v="2023-09-13T00:00:00"/>
    <s v="Reçu de Crépin//Dovi"/>
    <x v="1"/>
    <m/>
    <n v="50000"/>
    <m/>
    <n v="14854782"/>
    <x v="4"/>
    <m/>
    <x v="0"/>
    <x v="0"/>
    <m/>
    <m/>
    <m/>
    <m/>
  </r>
  <r>
    <d v="2023-09-13T00:00:00"/>
    <s v="HURIELLE - CONGO Frais d'Hôtel du 11 au 13/09/2023 à Pointe-Noire/(02 nuitées)"/>
    <x v="5"/>
    <s v="Legal"/>
    <m/>
    <n v="30000"/>
    <n v="14824782"/>
    <x v="10"/>
    <s v="Décharge"/>
    <x v="4"/>
    <x v="1"/>
    <s v="CONGO"/>
    <s v="RALFF-CO5025"/>
    <s v="1.3.2"/>
    <m/>
  </r>
  <r>
    <d v="2023-09-13T00:00:00"/>
    <s v="T73 - CONGO Frais d'hotel du 06 au 13/09/2023 (07 nuitées) à Owando"/>
    <x v="5"/>
    <s v="Investisgations"/>
    <m/>
    <n v="105000"/>
    <n v="14719782"/>
    <x v="6"/>
    <s v="OUI"/>
    <x v="2"/>
    <x v="1"/>
    <s v="CONGO"/>
    <s v="RALFF-CO5026"/>
    <s v="1.3.2"/>
    <m/>
  </r>
  <r>
    <d v="2023-09-14T00:00:00"/>
    <s v="IT87 - CONGO Frais d'hôtel du 12 au 14/09/2023 à Dolisie (02 Nuitées)"/>
    <x v="5"/>
    <s v="Investisgations"/>
    <m/>
    <n v="30000"/>
    <n v="14689782"/>
    <x v="2"/>
    <s v="OUI"/>
    <x v="2"/>
    <x v="2"/>
    <s v="CONGO"/>
    <m/>
    <m/>
    <m/>
  </r>
  <r>
    <d v="2023-09-14T00:00:00"/>
    <s v="Achat billet Dolisie-Brazzaville/IT87"/>
    <x v="7"/>
    <s v="Investisgations"/>
    <m/>
    <n v="10000"/>
    <n v="14679782"/>
    <x v="2"/>
    <s v="OUI"/>
    <x v="4"/>
    <x v="2"/>
    <s v="CONGO"/>
    <m/>
    <m/>
    <m/>
  </r>
  <r>
    <d v="2023-09-15T00:00:00"/>
    <s v="Frais de mission maitre Marie Hélène  NANITELAMIO du 18 au 22/09/2023 à Pointe-Noire et Dolisie"/>
    <x v="11"/>
    <s v="Legal"/>
    <m/>
    <n v="140000"/>
    <n v="14539782"/>
    <x v="1"/>
    <s v="OUI"/>
    <x v="3"/>
    <x v="2"/>
    <s v="CONGO"/>
    <m/>
    <m/>
    <m/>
  </r>
  <r>
    <d v="2023-09-15T00:00:00"/>
    <s v="Frais de transfert charden farell à P29,Oracle et T73"/>
    <x v="8"/>
    <s v="Office"/>
    <m/>
    <n v="4620"/>
    <n v="14535162"/>
    <x v="1"/>
    <s v="OUI"/>
    <x v="1"/>
    <x v="1"/>
    <s v="CONGO"/>
    <s v="RALFF-CO5027"/>
    <s v="5.6"/>
    <m/>
  </r>
  <r>
    <d v="2023-09-15T00:00:00"/>
    <s v="Achat credit  teléphonique MTN/PALF/deuxième partie Septembre 2023/Management"/>
    <x v="2"/>
    <s v="Management"/>
    <m/>
    <n v="20000"/>
    <n v="14515162"/>
    <x v="1"/>
    <s v="OUI"/>
    <x v="1"/>
    <x v="1"/>
    <s v="CONGO"/>
    <s v="RALFF-CO5028"/>
    <s v="4.6"/>
    <m/>
  </r>
  <r>
    <d v="2023-09-15T00:00:00"/>
    <s v="Achat credit  teléphonique MTN/PALF/deuxième partie Septembre 2023/Legal"/>
    <x v="2"/>
    <s v="Legal"/>
    <m/>
    <n v="25000"/>
    <n v="14490162"/>
    <x v="1"/>
    <s v="OUI"/>
    <x v="1"/>
    <x v="1"/>
    <s v="CONGO"/>
    <s v="RALFF-CO5029"/>
    <s v="4.6"/>
    <m/>
  </r>
  <r>
    <d v="2023-09-15T00:00:00"/>
    <s v="Achat credit  teléphonique MTN/PALF/deuxième partie Septembre 2023/Investigation"/>
    <x v="2"/>
    <s v="Investisgations"/>
    <m/>
    <n v="25000"/>
    <n v="14465162"/>
    <x v="1"/>
    <s v="OUI"/>
    <x v="1"/>
    <x v="1"/>
    <s v="CONGO"/>
    <s v="RALFF-CO5030"/>
    <s v="4.6"/>
    <m/>
  </r>
  <r>
    <d v="2023-09-15T00:00:00"/>
    <s v="Achat credit  teléphonique MTN/PALF/deuxième partie Septembre 2023/Investigation Volontaire"/>
    <x v="2"/>
    <s v="Investisgations"/>
    <m/>
    <n v="10000"/>
    <n v="14455162"/>
    <x v="1"/>
    <s v="OUI"/>
    <x v="4"/>
    <x v="2"/>
    <s v="CONGO"/>
    <m/>
    <m/>
    <m/>
  </r>
  <r>
    <d v="2023-09-15T00:00:00"/>
    <s v="Achat credit  teléphonique MTN/PALF/deuxième partie Septembre 2023/Media"/>
    <x v="2"/>
    <s v="Media"/>
    <m/>
    <n v="10000"/>
    <n v="14445162"/>
    <x v="1"/>
    <s v="OUI"/>
    <x v="1"/>
    <x v="1"/>
    <s v="CONGO"/>
    <s v="RALFF-CO5031"/>
    <s v="4.6"/>
    <m/>
  </r>
  <r>
    <d v="2023-09-15T00:00:00"/>
    <s v="Achat credit  teléphonique Airtel/PALF/deuxième partie Septembre 2023/Management"/>
    <x v="2"/>
    <s v="Management"/>
    <m/>
    <n v="10000"/>
    <n v="14435162"/>
    <x v="1"/>
    <s v="OUI"/>
    <x v="1"/>
    <x v="1"/>
    <s v="CONGO"/>
    <s v="RALFF-CO5032"/>
    <s v="4.6"/>
    <m/>
  </r>
  <r>
    <d v="2023-09-15T00:00:00"/>
    <s v="Achat credit  teléphonique Airtel/PALF/deuxième partie Septembre 2023/Legal"/>
    <x v="2"/>
    <s v="Legal"/>
    <m/>
    <n v="15000"/>
    <n v="14420162"/>
    <x v="1"/>
    <s v="OUI"/>
    <x v="1"/>
    <x v="1"/>
    <s v="CONGO"/>
    <s v="RALFF-CO5033"/>
    <s v="4.6"/>
    <m/>
  </r>
  <r>
    <d v="2023-09-15T00:00:00"/>
    <s v="Achat credit  teléphonique Airtel/PALF/deuxième partie Septembre 2023/Investigation"/>
    <x v="2"/>
    <s v="Investisgations"/>
    <m/>
    <n v="5000"/>
    <n v="14415162"/>
    <x v="1"/>
    <s v="OUI"/>
    <x v="1"/>
    <x v="1"/>
    <s v="CONGO"/>
    <s v="RALFF-CO5034"/>
    <s v="4.6"/>
    <m/>
  </r>
  <r>
    <d v="2023-09-15T00:00:00"/>
    <s v="Achat credit  teléphonique Airtel/PALF/deuxième partie Septembre 2023/Investigation Volontaire"/>
    <x v="2"/>
    <s v="Investisgations"/>
    <m/>
    <n v="5000"/>
    <n v="14410162"/>
    <x v="1"/>
    <s v="OUI"/>
    <x v="4"/>
    <x v="2"/>
    <s v="CONGO"/>
    <m/>
    <m/>
    <m/>
  </r>
  <r>
    <d v="2023-09-15T00:00:00"/>
    <s v="Hurielle"/>
    <x v="1"/>
    <m/>
    <m/>
    <n v="40000"/>
    <n v="14370162"/>
    <x v="1"/>
    <m/>
    <x v="0"/>
    <x v="0"/>
    <m/>
    <m/>
    <m/>
    <m/>
  </r>
  <r>
    <d v="2023-09-15T00:00:00"/>
    <s v="P29"/>
    <x v="1"/>
    <m/>
    <m/>
    <n v="25000"/>
    <n v="14345162"/>
    <x v="1"/>
    <m/>
    <x v="0"/>
    <x v="0"/>
    <m/>
    <m/>
    <m/>
    <m/>
  </r>
  <r>
    <d v="2023-09-15T00:00:00"/>
    <s v="T73"/>
    <x v="1"/>
    <m/>
    <m/>
    <n v="79000"/>
    <n v="14266162"/>
    <x v="1"/>
    <m/>
    <x v="0"/>
    <x v="0"/>
    <m/>
    <m/>
    <m/>
    <m/>
  </r>
  <r>
    <d v="2023-09-15T00:00:00"/>
    <s v="Oracle"/>
    <x v="1"/>
    <m/>
    <m/>
    <n v="50000"/>
    <n v="14216162"/>
    <x v="1"/>
    <m/>
    <x v="0"/>
    <x v="0"/>
    <m/>
    <m/>
    <m/>
    <m/>
  </r>
  <r>
    <d v="2023-09-15T00:00:00"/>
    <s v="Reçu de Crépin/Donald-Roméo"/>
    <x v="1"/>
    <m/>
    <n v="50000"/>
    <m/>
    <n v="14266162"/>
    <x v="8"/>
    <m/>
    <x v="0"/>
    <x v="0"/>
    <m/>
    <m/>
    <m/>
    <m/>
  </r>
  <r>
    <d v="2023-09-15T00:00:00"/>
    <s v="Reçu de la caisse/Evariste"/>
    <x v="1"/>
    <m/>
    <n v="50000"/>
    <m/>
    <n v="14316162"/>
    <x v="9"/>
    <m/>
    <x v="0"/>
    <x v="0"/>
    <m/>
    <m/>
    <m/>
    <m/>
  </r>
  <r>
    <d v="2023-09-15T00:00:00"/>
    <s v="Reçu caisse/Hurielle"/>
    <x v="1"/>
    <m/>
    <n v="40000"/>
    <m/>
    <n v="14356162"/>
    <x v="10"/>
    <m/>
    <x v="0"/>
    <x v="0"/>
    <m/>
    <m/>
    <m/>
    <m/>
  </r>
  <r>
    <d v="2023-09-15T00:00:00"/>
    <s v="Reçu de Crepin/Merveille"/>
    <x v="1"/>
    <m/>
    <n v="50000"/>
    <m/>
    <n v="14406162"/>
    <x v="11"/>
    <m/>
    <x v="0"/>
    <x v="0"/>
    <m/>
    <m/>
    <m/>
    <m/>
  </r>
  <r>
    <d v="2023-09-15T00:00:00"/>
    <s v="Reçu caisse/Oracle"/>
    <x v="1"/>
    <m/>
    <n v="50000"/>
    <m/>
    <n v="14456162"/>
    <x v="12"/>
    <m/>
    <x v="0"/>
    <x v="0"/>
    <m/>
    <m/>
    <m/>
    <m/>
  </r>
  <r>
    <d v="2023-09-15T00:00:00"/>
    <s v="Reçu de caisse/P29"/>
    <x v="1"/>
    <m/>
    <n v="25000"/>
    <m/>
    <n v="14481162"/>
    <x v="5"/>
    <m/>
    <x v="0"/>
    <x v="0"/>
    <m/>
    <m/>
    <m/>
    <m/>
  </r>
  <r>
    <d v="2023-09-15T00:00:00"/>
    <s v="reçu de caisse/T73"/>
    <x v="1"/>
    <m/>
    <n v="79000"/>
    <m/>
    <n v="14560162"/>
    <x v="6"/>
    <m/>
    <x v="0"/>
    <x v="0"/>
    <m/>
    <m/>
    <m/>
    <m/>
  </r>
  <r>
    <d v="2023-09-15T00:00:00"/>
    <s v="Achat billet Brazzaville-Pointe Noire/Hurielle"/>
    <x v="7"/>
    <s v="Legal"/>
    <m/>
    <n v="15000"/>
    <n v="14545162"/>
    <x v="10"/>
    <s v="OUI"/>
    <x v="1"/>
    <x v="1"/>
    <s v="CONGO"/>
    <s v="RALFF-CO5035"/>
    <s v="2.2"/>
    <m/>
  </r>
  <r>
    <d v="2023-09-16T00:00:00"/>
    <s v="CREPIN IBOUILI - CONGO Location suite pour l'opération du 13 au 17/09/2023 à Owando/(04 Nuitées)"/>
    <x v="5"/>
    <s v="Operation"/>
    <m/>
    <n v="160000"/>
    <n v="14385162"/>
    <x v="7"/>
    <s v="OUI"/>
    <x v="4"/>
    <x v="2"/>
    <s v="CONGO"/>
    <m/>
    <m/>
    <m/>
  </r>
  <r>
    <d v="2023-09-16T00:00:00"/>
    <s v="Raffraichissements et Plats pour 03 gendarmes, 02 EF et moi pendant l'attente de l'opération"/>
    <x v="5"/>
    <s v="Operation"/>
    <m/>
    <n v="9700"/>
    <n v="14375462"/>
    <x v="7"/>
    <s v="OUI"/>
    <x v="4"/>
    <x v="2"/>
    <s v="CONGO"/>
    <m/>
    <m/>
    <m/>
  </r>
  <r>
    <d v="2023-09-16T00:00:00"/>
    <s v="Reçu de DOVI /Crépin"/>
    <x v="1"/>
    <m/>
    <n v="200000"/>
    <m/>
    <n v="14575462"/>
    <x v="7"/>
    <m/>
    <x v="0"/>
    <x v="0"/>
    <m/>
    <m/>
    <m/>
    <m/>
  </r>
  <r>
    <d v="2023-09-16T00:00:00"/>
    <s v="Remis à Crepin/Dovi"/>
    <x v="1"/>
    <m/>
    <m/>
    <n v="200000"/>
    <n v="14375462"/>
    <x v="4"/>
    <m/>
    <x v="0"/>
    <x v="0"/>
    <m/>
    <m/>
    <m/>
    <m/>
  </r>
  <r>
    <d v="2023-09-16T00:00:00"/>
    <s v="Raffraichissement op à Awando/ Oracle, un gendarme et moi( 3 plats de nourriture) "/>
    <x v="5"/>
    <s v="Operation"/>
    <m/>
    <n v="6500"/>
    <n v="14368962"/>
    <x v="8"/>
    <s v="OUI"/>
    <x v="4"/>
    <x v="2"/>
    <s v="CONGO"/>
    <m/>
    <m/>
    <m/>
  </r>
  <r>
    <d v="2023-09-16T00:00:00"/>
    <s v="Achat carburant pour la BJ de la Gendarmerie"/>
    <x v="7"/>
    <s v="Operation"/>
    <m/>
    <n v="25000"/>
    <n v="14343962"/>
    <x v="9"/>
    <s v="OUI"/>
    <x v="4"/>
    <x v="2"/>
    <s v="CONGO"/>
    <m/>
    <m/>
    <m/>
  </r>
  <r>
    <d v="2023-09-16T00:00:00"/>
    <s v="Rafraichissement pour mon l'équipe de la BJ (opération du 16 septembre 2023 à Owando)"/>
    <x v="5"/>
    <s v="Operation"/>
    <m/>
    <n v="12500"/>
    <n v="14331462"/>
    <x v="9"/>
    <s v="OUI"/>
    <x v="4"/>
    <x v="2"/>
    <s v="CONGO"/>
    <m/>
    <m/>
    <m/>
  </r>
  <r>
    <d v="2023-09-16T00:00:00"/>
    <s v="MERVEILLE-CONGO Frais d'hôtel mission du 11 au 16 Septembre 2023 ( 05 Nuitées) à Owando"/>
    <x v="5"/>
    <s v="Office"/>
    <m/>
    <n v="75000"/>
    <n v="14256462"/>
    <x v="11"/>
    <s v="OUI"/>
    <x v="4"/>
    <x v="1"/>
    <s v="CONGO"/>
    <s v="RALFF-CO5036"/>
    <s v="1.3.2"/>
    <m/>
  </r>
  <r>
    <d v="2023-09-16T00:00:00"/>
    <s v="Location voiture Owando - Oyo/Extraction T73 après opération"/>
    <x v="7"/>
    <s v="Operation"/>
    <m/>
    <n v="70000"/>
    <n v="14186462"/>
    <x v="11"/>
    <s v="OUI"/>
    <x v="4"/>
    <x v="2"/>
    <s v="CONGO"/>
    <m/>
    <m/>
    <m/>
  </r>
  <r>
    <d v="2023-09-16T00:00:00"/>
    <s v="Achat rafraîchissement en attente Opération"/>
    <x v="5"/>
    <s v="Operation"/>
    <m/>
    <n v="7600"/>
    <n v="14178862"/>
    <x v="11"/>
    <s v="OUI"/>
    <x v="4"/>
    <x v="2"/>
    <s v="CONGO"/>
    <m/>
    <m/>
    <m/>
  </r>
  <r>
    <d v="2023-09-16T00:00:00"/>
    <s v="Rafraichissement OP"/>
    <x v="5"/>
    <s v="Operation"/>
    <m/>
    <n v="5500"/>
    <n v="14173362"/>
    <x v="12"/>
    <s v="OUI"/>
    <x v="4"/>
    <x v="2"/>
    <s v="CONGO"/>
    <m/>
    <m/>
    <m/>
  </r>
  <r>
    <d v="2023-09-16T00:00:00"/>
    <s v="P29 - CONGO Frais d'hotel du 06 au 16/09/2023 à owando/(10 nuitées)"/>
    <x v="5"/>
    <s v="Investisgations"/>
    <m/>
    <n v="150000"/>
    <n v="14023362"/>
    <x v="5"/>
    <s v="OUI"/>
    <x v="2"/>
    <x v="1"/>
    <s v="CONGO"/>
    <s v="RALFF-CO5037"/>
    <s v="1.3.2"/>
    <m/>
  </r>
  <r>
    <d v="2023-09-17T00:00:00"/>
    <s v="Achat billet Owando - Brazzaville/DOVI"/>
    <x v="7"/>
    <s v="Management"/>
    <m/>
    <n v="8000"/>
    <n v="14015362"/>
    <x v="4"/>
    <s v="OUI"/>
    <x v="1"/>
    <x v="1"/>
    <s v="CONGO"/>
    <s v="RALFF-CO5038"/>
    <s v="2.2"/>
    <m/>
  </r>
  <r>
    <d v="2023-09-17T00:00:00"/>
    <s v="DOVI - CONGO Frais d'hôtel du 11 au 17 Septembre 2023  à Owando/ (06 nuitées )"/>
    <x v="5"/>
    <s v="Management"/>
    <m/>
    <n v="90000"/>
    <n v="13925362"/>
    <x v="4"/>
    <s v="OUI"/>
    <x v="4"/>
    <x v="1"/>
    <s v="CONGO"/>
    <s v="RALFF-CO5039"/>
    <s v="1.3.2"/>
    <m/>
  </r>
  <r>
    <d v="2023-09-17T00:00:00"/>
    <s v="MERVEILLE-CONGO Frais d'hôtel du 16 au 17 Septembre 2023 ( 01 Nuitée) à Oyo"/>
    <x v="5"/>
    <s v="Office"/>
    <m/>
    <n v="15000"/>
    <n v="13910362"/>
    <x v="11"/>
    <s v="OUI"/>
    <x v="4"/>
    <x v="1"/>
    <s v="CONGO"/>
    <s v="RALFF-CO5040"/>
    <s v="1.3.2"/>
    <m/>
  </r>
  <r>
    <d v="2023-09-17T00:00:00"/>
    <s v="Achat billet Oyo - Brazzaville/Merveille"/>
    <x v="7"/>
    <s v="Office"/>
    <m/>
    <n v="5000"/>
    <n v="13905362"/>
    <x v="11"/>
    <s v="OUI"/>
    <x v="1"/>
    <x v="1"/>
    <s v="CONGO"/>
    <s v="RALFF-CO5041"/>
    <s v="2.2"/>
    <m/>
  </r>
  <r>
    <d v="2023-09-17T00:00:00"/>
    <s v="Achat billet Owando - Brazzaville/Oracle"/>
    <x v="7"/>
    <s v="Legal"/>
    <m/>
    <n v="8000"/>
    <n v="13897362"/>
    <x v="12"/>
    <s v="OUI"/>
    <x v="4"/>
    <x v="1"/>
    <s v="CONGO"/>
    <s v="RALFF-CO5042"/>
    <s v="2.2"/>
    <m/>
  </r>
  <r>
    <d v="2023-09-17T00:00:00"/>
    <s v="ORACLE TALOULOU - CONGO Frais d'hôtel du 11 au 17 Septembre 2023 à Owando/(06 Nuitées)"/>
    <x v="5"/>
    <s v="Legal"/>
    <m/>
    <n v="90000"/>
    <n v="13807362"/>
    <x v="12"/>
    <s v="OUI"/>
    <x v="4"/>
    <x v="1"/>
    <s v="CONGO"/>
    <s v="RALFF-CO5043"/>
    <s v="1.3.2"/>
    <m/>
  </r>
  <r>
    <d v="2023-09-17T00:00:00"/>
    <s v="P29 - CONGO Frais d'hotel du 16 au 17/09/2023 à oyo/(01 nuitée)"/>
    <x v="5"/>
    <s v="Investisgations"/>
    <m/>
    <n v="15000"/>
    <n v="13792362"/>
    <x v="5"/>
    <s v="OUI"/>
    <x v="2"/>
    <x v="1"/>
    <s v="CONGO"/>
    <s v="RALFF-CO5044"/>
    <s v="1.3.2"/>
    <m/>
  </r>
  <r>
    <d v="2023-09-17T00:00:00"/>
    <s v="Achat billet Oyo - Brazzaville/P29"/>
    <x v="7"/>
    <s v="Investisgations"/>
    <m/>
    <n v="5000"/>
    <n v="13787362"/>
    <x v="5"/>
    <s v="OUI"/>
    <x v="1"/>
    <x v="1"/>
    <s v="CONGO"/>
    <s v="RALFF-CO5045"/>
    <s v="2.2"/>
    <m/>
  </r>
  <r>
    <d v="2023-09-17T00:00:00"/>
    <s v="T73 - CONGO Frais d'hotel du 16 au 17/09/2023 (01 nuitées ) à OYO"/>
    <x v="5"/>
    <s v="Investisgations"/>
    <m/>
    <n v="15000"/>
    <n v="13772362"/>
    <x v="6"/>
    <s v="OUI"/>
    <x v="2"/>
    <x v="1"/>
    <s v="CONGO"/>
    <s v="RALFF-CO5046"/>
    <s v="1.3.2"/>
    <m/>
  </r>
  <r>
    <d v="2023-09-17T00:00:00"/>
    <s v="T73 - CONGO Frais d'hotel du 13 au 17/09/2023 (04 nuitées pour l'OP) à Owando"/>
    <x v="5"/>
    <s v="Investisgations"/>
    <m/>
    <n v="160000"/>
    <n v="13612362"/>
    <x v="6"/>
    <s v="OUI"/>
    <x v="2"/>
    <x v="1"/>
    <s v="CONGO"/>
    <s v="RALFF-CO5047"/>
    <s v="1.3.2"/>
    <m/>
  </r>
  <r>
    <d v="2023-09-17T00:00:00"/>
    <s v="Achat billet : Oyo - Brazzaville/T73"/>
    <x v="7"/>
    <s v="Investisgations"/>
    <m/>
    <n v="5000"/>
    <n v="13607362"/>
    <x v="6"/>
    <s v="OUI"/>
    <x v="4"/>
    <x v="1"/>
    <s v="CONGO"/>
    <s v="RALFF-CO5048"/>
    <s v="2.2"/>
    <m/>
  </r>
  <r>
    <d v="2023-09-18T00:00:00"/>
    <s v="Frais de transfert charden farell à Crépin Evariste et Donald"/>
    <x v="8"/>
    <s v="Office"/>
    <m/>
    <n v="8250"/>
    <n v="13599112"/>
    <x v="1"/>
    <s v="OUI"/>
    <x v="1"/>
    <x v="1"/>
    <s v="CONGO"/>
    <s v="RALFF-CO5049"/>
    <s v="5.6"/>
    <m/>
  </r>
  <r>
    <d v="2023-09-18T00:00:00"/>
    <s v="Bonus opération pour 16 gendarmes ayant participé à l'opération du 16/09/2023 à Owando"/>
    <x v="6"/>
    <s v="Management"/>
    <m/>
    <n v="160000"/>
    <n v="13439112"/>
    <x v="7"/>
    <s v="OUI"/>
    <x v="4"/>
    <x v="2"/>
    <s v="CONGO"/>
    <m/>
    <m/>
    <m/>
  </r>
  <r>
    <d v="2023-09-18T00:00:00"/>
    <s v="Bonus opération pour 02  EF ayant participé à l'opération du 16/09/2023 à Owando"/>
    <x v="6"/>
    <s v="Management"/>
    <m/>
    <n v="20000"/>
    <n v="13419112"/>
    <x v="7"/>
    <s v="OUI"/>
    <x v="4"/>
    <x v="2"/>
    <s v="CONGO"/>
    <m/>
    <m/>
    <m/>
  </r>
  <r>
    <d v="2023-09-18T00:00:00"/>
    <s v="Homefa/retour caisse"/>
    <x v="1"/>
    <m/>
    <n v="129250"/>
    <m/>
    <n v="13548362"/>
    <x v="1"/>
    <m/>
    <x v="0"/>
    <x v="0"/>
    <m/>
    <m/>
    <m/>
    <m/>
  </r>
  <r>
    <d v="2023-09-18T00:00:00"/>
    <s v="BCI-3654566"/>
    <x v="1"/>
    <m/>
    <n v="2000000"/>
    <m/>
    <n v="15548362"/>
    <x v="1"/>
    <m/>
    <x v="0"/>
    <x v="0"/>
    <m/>
    <m/>
    <m/>
    <m/>
  </r>
  <r>
    <d v="2023-09-18T00:00:00"/>
    <s v="Donald-Roméro"/>
    <x v="1"/>
    <m/>
    <m/>
    <n v="100000"/>
    <n v="15448362"/>
    <x v="1"/>
    <m/>
    <x v="0"/>
    <x v="0"/>
    <m/>
    <m/>
    <m/>
    <m/>
  </r>
  <r>
    <d v="2023-09-18T00:00:00"/>
    <s v="Crepin"/>
    <x v="1"/>
    <m/>
    <m/>
    <n v="75000"/>
    <n v="15373362"/>
    <x v="1"/>
    <m/>
    <x v="0"/>
    <x v="0"/>
    <m/>
    <m/>
    <m/>
    <m/>
  </r>
  <r>
    <d v="2023-09-18T00:00:00"/>
    <s v="Evariste"/>
    <x v="1"/>
    <m/>
    <m/>
    <n v="100000"/>
    <n v="15273362"/>
    <x v="1"/>
    <m/>
    <x v="0"/>
    <x v="0"/>
    <m/>
    <m/>
    <m/>
    <m/>
  </r>
  <r>
    <d v="2023-09-18T00:00:00"/>
    <s v="Retrait especes/appro caisse/bord n°3654566"/>
    <x v="1"/>
    <m/>
    <m/>
    <n v="2000000"/>
    <n v="13273362"/>
    <x v="13"/>
    <n v="3654566"/>
    <x v="0"/>
    <x v="0"/>
    <m/>
    <m/>
    <m/>
    <m/>
  </r>
  <r>
    <d v="2023-09-18T00:00:00"/>
    <s v="Reçu de caisse /Crépin"/>
    <x v="1"/>
    <m/>
    <n v="75000"/>
    <m/>
    <n v="13348362"/>
    <x v="7"/>
    <m/>
    <x v="0"/>
    <x v="0"/>
    <m/>
    <m/>
    <m/>
    <m/>
  </r>
  <r>
    <d v="2023-09-18T00:00:00"/>
    <s v="Reçu caisse/Donald-Roméo"/>
    <x v="1"/>
    <m/>
    <n v="100000"/>
    <m/>
    <n v="13448362"/>
    <x v="8"/>
    <m/>
    <x v="0"/>
    <x v="0"/>
    <m/>
    <m/>
    <m/>
    <m/>
  </r>
  <r>
    <d v="2023-09-18T00:00:00"/>
    <s v="Retour caisse/Dovi"/>
    <x v="1"/>
    <m/>
    <m/>
    <n v="129250"/>
    <n v="13319112"/>
    <x v="4"/>
    <m/>
    <x v="0"/>
    <x v="0"/>
    <m/>
    <m/>
    <m/>
    <m/>
  </r>
  <r>
    <d v="2023-09-18T00:00:00"/>
    <s v="Reçu de la caisse/Evariste"/>
    <x v="1"/>
    <m/>
    <n v="100000"/>
    <m/>
    <n v="13419112"/>
    <x v="9"/>
    <m/>
    <x v="0"/>
    <x v="0"/>
    <m/>
    <m/>
    <m/>
    <m/>
  </r>
  <r>
    <d v="2023-09-18T00:00:00"/>
    <s v="HURIELLE-CONGO Food allowance du 18 au 22/09/2023 à Ponte Noire et Dolisie/(04nuitées)"/>
    <x v="5"/>
    <s v="Legal"/>
    <m/>
    <n v="40000"/>
    <n v="13379112"/>
    <x v="10"/>
    <s v="Décharge"/>
    <x v="4"/>
    <x v="1"/>
    <s v="CONGO"/>
    <s v="RALFF-CO5050"/>
    <s v="1.3.2"/>
    <m/>
  </r>
  <r>
    <d v="2023-09-19T00:00:00"/>
    <s v="Frais de transfert charden farell à Hurielle"/>
    <x v="8"/>
    <s v="Office"/>
    <m/>
    <n v="5400"/>
    <n v="13373712"/>
    <x v="1"/>
    <s v="OUI"/>
    <x v="1"/>
    <x v="1"/>
    <s v="CONGO"/>
    <s v="RALFF-CO5051"/>
    <s v="5.6"/>
    <m/>
  </r>
  <r>
    <d v="2023-09-19T00:00:00"/>
    <s v="Paiement Honoraire Me LOCKO Christian/Mois d'Août 2023/3654569"/>
    <x v="11"/>
    <s v="Legal"/>
    <m/>
    <n v="150000"/>
    <n v="13223712"/>
    <x v="13"/>
    <n v="3654569"/>
    <x v="3"/>
    <x v="2"/>
    <s v="CONGO"/>
    <m/>
    <m/>
    <m/>
  </r>
  <r>
    <d v="2023-09-19T00:00:00"/>
    <s v="Hurielle"/>
    <x v="1"/>
    <m/>
    <m/>
    <n v="125000"/>
    <n v="13098712"/>
    <x v="1"/>
    <m/>
    <x v="0"/>
    <x v="0"/>
    <m/>
    <m/>
    <m/>
    <m/>
  </r>
  <r>
    <d v="2023-09-19T00:00:00"/>
    <s v="Merveille"/>
    <x v="1"/>
    <m/>
    <m/>
    <n v="20000"/>
    <n v="13078712"/>
    <x v="1"/>
    <m/>
    <x v="0"/>
    <x v="0"/>
    <m/>
    <m/>
    <m/>
    <m/>
  </r>
  <r>
    <d v="2023-09-19T00:00:00"/>
    <s v="P29"/>
    <x v="1"/>
    <m/>
    <m/>
    <n v="45000"/>
    <n v="13033712"/>
    <x v="1"/>
    <m/>
    <x v="0"/>
    <x v="0"/>
    <m/>
    <m/>
    <m/>
    <m/>
  </r>
  <r>
    <d v="2023-09-19T00:00:00"/>
    <s v="T73"/>
    <x v="1"/>
    <m/>
    <m/>
    <n v="45000"/>
    <n v="12988712"/>
    <x v="1"/>
    <m/>
    <x v="0"/>
    <x v="0"/>
    <m/>
    <m/>
    <m/>
    <m/>
  </r>
  <r>
    <d v="2023-09-19T00:00:00"/>
    <s v="IT87"/>
    <x v="1"/>
    <m/>
    <m/>
    <n v="45000"/>
    <n v="12943712"/>
    <x v="1"/>
    <m/>
    <x v="0"/>
    <x v="0"/>
    <m/>
    <m/>
    <m/>
    <m/>
  </r>
  <r>
    <d v="2023-09-19T00:00:00"/>
    <s v="Reçu caisse/Hurielle"/>
    <x v="1"/>
    <m/>
    <n v="125000"/>
    <m/>
    <n v="13068712"/>
    <x v="10"/>
    <m/>
    <x v="0"/>
    <x v="0"/>
    <m/>
    <m/>
    <m/>
    <m/>
  </r>
  <r>
    <d v="2023-09-19T00:00:00"/>
    <s v="Reçu caisse/Merveille"/>
    <x v="1"/>
    <m/>
    <n v="20000"/>
    <m/>
    <n v="13088712"/>
    <x v="11"/>
    <m/>
    <x v="0"/>
    <x v="0"/>
    <m/>
    <m/>
    <m/>
    <m/>
  </r>
  <r>
    <d v="2023-09-19T00:00:00"/>
    <s v="Reçu de Caisse/ IT87"/>
    <x v="1"/>
    <m/>
    <n v="45000"/>
    <m/>
    <n v="13133712"/>
    <x v="2"/>
    <m/>
    <x v="0"/>
    <x v="0"/>
    <m/>
    <m/>
    <m/>
    <m/>
  </r>
  <r>
    <d v="2023-09-19T00:00:00"/>
    <s v="Reçu de caisse/P29"/>
    <x v="1"/>
    <m/>
    <n v="45000"/>
    <m/>
    <n v="13178712"/>
    <x v="5"/>
    <m/>
    <x v="0"/>
    <x v="0"/>
    <m/>
    <m/>
    <m/>
    <m/>
  </r>
  <r>
    <d v="2023-09-19T00:00:00"/>
    <s v="reçu de caisse/T73"/>
    <x v="1"/>
    <m/>
    <n v="45000"/>
    <m/>
    <n v="13223712"/>
    <x v="6"/>
    <m/>
    <x v="0"/>
    <x v="0"/>
    <m/>
    <m/>
    <m/>
    <m/>
  </r>
  <r>
    <d v="2023-09-19T00:00:00"/>
    <s v="Achat billet  Pointe Noire - Dolisie/Hurielle"/>
    <x v="7"/>
    <s v="Legal"/>
    <m/>
    <n v="5000"/>
    <n v="13218712"/>
    <x v="10"/>
    <s v="OUI"/>
    <x v="1"/>
    <x v="1"/>
    <s v="CONGO"/>
    <s v="RALFF-CO5052"/>
    <s v="2.2"/>
    <m/>
  </r>
  <r>
    <d v="2023-09-19T00:00:00"/>
    <s v="Achat billet Brazzaville - Pointe Noire/IT87"/>
    <x v="7"/>
    <s v="Investisgations"/>
    <m/>
    <n v="15000"/>
    <n v="13203712"/>
    <x v="2"/>
    <s v="OUI"/>
    <x v="4"/>
    <x v="2"/>
    <s v="CONGO"/>
    <m/>
    <m/>
    <m/>
  </r>
  <r>
    <d v="2023-09-19T00:00:00"/>
    <s v="Achat billet : Brazzaville - Loudima/T73"/>
    <x v="7"/>
    <s v="Investisgations"/>
    <m/>
    <n v="9000"/>
    <n v="13194712"/>
    <x v="6"/>
    <s v="OUI"/>
    <x v="4"/>
    <x v="1"/>
    <s v="CONGO"/>
    <s v="RALFF-CO5053"/>
    <s v="2.2"/>
    <m/>
  </r>
  <r>
    <d v="2023-09-20T00:00:00"/>
    <s v="Achat Cartouches d'encre noire et couleur et Enveloppe A5/Bureau PALF"/>
    <x v="9"/>
    <s v="Office"/>
    <m/>
    <n v="97500"/>
    <n v="13097212"/>
    <x v="1"/>
    <s v="OUI"/>
    <x v="1"/>
    <x v="1"/>
    <s v="CONGO"/>
    <s v="RALFF-CO5054"/>
    <s v="4.3"/>
    <m/>
  </r>
  <r>
    <d v="2023-09-20T00:00:00"/>
    <s v="Frais de transfert charden à Crepin"/>
    <x v="8"/>
    <s v="Office"/>
    <m/>
    <n v="14850"/>
    <n v="13082362"/>
    <x v="1"/>
    <s v="OUI"/>
    <x v="1"/>
    <x v="1"/>
    <s v="CONGO"/>
    <s v="RALFF-CO5055"/>
    <s v="5.6"/>
    <m/>
  </r>
  <r>
    <d v="2023-09-20T00:00:00"/>
    <s v="Achat 50 Litres de gazoil pour le groupe electrogène/Bureau PALF"/>
    <x v="9"/>
    <s v="Office"/>
    <m/>
    <n v="25000"/>
    <n v="13057362"/>
    <x v="1"/>
    <s v="OUI"/>
    <x v="1"/>
    <x v="1"/>
    <s v="CONGO"/>
    <s v="RALFF-CO5056"/>
    <s v="4.4"/>
    <m/>
  </r>
  <r>
    <d v="2023-09-20T00:00:00"/>
    <s v="Achat credit  teléphonique MNT/PALF/Management/Homéfa Dovi"/>
    <x v="2"/>
    <s v="Management"/>
    <m/>
    <n v="10000"/>
    <n v="13047362"/>
    <x v="1"/>
    <s v="OUI"/>
    <x v="1"/>
    <x v="1"/>
    <s v="CONGO"/>
    <s v="RALFF-CO5057"/>
    <s v="4.6"/>
    <m/>
  </r>
  <r>
    <d v="2023-09-20T00:00:00"/>
    <s v="Crepin"/>
    <x v="1"/>
    <m/>
    <m/>
    <n v="495000"/>
    <n v="12552362"/>
    <x v="1"/>
    <m/>
    <x v="0"/>
    <x v="0"/>
    <m/>
    <m/>
    <m/>
    <m/>
  </r>
  <r>
    <d v="2023-09-20T00:00:00"/>
    <s v="HURIELLE - CONGO Frais d'Hôtel du 18 au 20/09/2023 à Pointe Noire/(02 nuitées)"/>
    <x v="5"/>
    <s v="Legal"/>
    <m/>
    <n v="30000"/>
    <n v="12522362"/>
    <x v="10"/>
    <s v="OUI"/>
    <x v="4"/>
    <x v="1"/>
    <s v="CONGO"/>
    <s v="RALFF-CO5058"/>
    <s v="1.3.2"/>
    <m/>
  </r>
  <r>
    <d v="2023-09-20T00:00:00"/>
    <s v="IT87 - CONGO Food Allowance mission du 20 au 27/09/2023 à Pointe-Noire/( 07 nuitées)"/>
    <x v="5"/>
    <s v="Investisgations"/>
    <m/>
    <n v="70000"/>
    <n v="12452362"/>
    <x v="2"/>
    <s v="Décharge"/>
    <x v="2"/>
    <x v="2"/>
    <s v="CONGO"/>
    <m/>
    <m/>
    <m/>
  </r>
  <r>
    <d v="2023-09-20T00:00:00"/>
    <s v="Achat billet brazzaville - Pointe Noire/P29"/>
    <x v="7"/>
    <s v="Investisgations"/>
    <m/>
    <n v="15000"/>
    <n v="12437362"/>
    <x v="5"/>
    <s v="OUI"/>
    <x v="1"/>
    <x v="1"/>
    <s v="CONGO"/>
    <s v="RALFF-CO5059"/>
    <s v="2.2"/>
    <m/>
  </r>
  <r>
    <d v="2023-09-20T00:00:00"/>
    <s v="P29 - CONGO Food allowance mission du 20 au 27/09/2023 à Pointe-Noire/(07nuitées)"/>
    <x v="5"/>
    <s v="Investisgations"/>
    <m/>
    <n v="70000"/>
    <n v="12367362"/>
    <x v="5"/>
    <s v="Décharge"/>
    <x v="2"/>
    <x v="1"/>
    <s v="CONGO"/>
    <s v="RALFF-CO5060"/>
    <s v="1.3.2"/>
    <m/>
  </r>
  <r>
    <d v="2023-09-20T00:00:00"/>
    <s v="T73 - CONGO Food Allowance du 20 au 27/09/2023 (07 nuitées) à sibiti,zanaga et Loudima"/>
    <x v="5"/>
    <s v="Investisgations"/>
    <m/>
    <n v="70000"/>
    <n v="12297362"/>
    <x v="6"/>
    <s v="Décharge"/>
    <x v="2"/>
    <x v="1"/>
    <s v="CONGO"/>
    <s v="RALFF-CO5061"/>
    <s v="1.3.2"/>
    <m/>
  </r>
  <r>
    <d v="2023-09-20T00:00:00"/>
    <s v="Achat billet: Loudima - Sibiti/T73"/>
    <x v="7"/>
    <s v="Investisgations"/>
    <m/>
    <n v="3500"/>
    <n v="12293862"/>
    <x v="6"/>
    <s v="OUI"/>
    <x v="4"/>
    <x v="1"/>
    <s v="CONGO"/>
    <s v="RALFF-CO5062"/>
    <s v="2.2"/>
    <m/>
  </r>
  <r>
    <d v="2023-09-21T00:00:00"/>
    <s v="Frais de transfert charden farell à P29,T73,Evariste,Donald-Roméo et Crépin"/>
    <x v="8"/>
    <s v="Office"/>
    <m/>
    <n v="19440"/>
    <n v="12274422"/>
    <x v="1"/>
    <s v="OUI"/>
    <x v="1"/>
    <x v="1"/>
    <s v="CONGO"/>
    <s v="RALFF-CO5063"/>
    <s v="5.6"/>
    <m/>
  </r>
  <r>
    <d v="2023-09-21T00:00:00"/>
    <s v="Frais de transfert charden farell à IT87"/>
    <x v="8"/>
    <s v="Office"/>
    <m/>
    <n v="6300"/>
    <n v="12268122"/>
    <x v="1"/>
    <s v="OUI"/>
    <x v="4"/>
    <x v="2"/>
    <s v="CONGO"/>
    <m/>
    <m/>
    <m/>
  </r>
  <r>
    <d v="2023-09-21T00:00:00"/>
    <s v="Carburant BJ pour la mission de la gendarmerie d'Owando pour MBOMO aller et retour "/>
    <x v="7"/>
    <s v="Operation"/>
    <m/>
    <n v="131250"/>
    <n v="12136872"/>
    <x v="7"/>
    <s v="OUI"/>
    <x v="4"/>
    <x v="2"/>
    <s v="CONGO"/>
    <m/>
    <m/>
    <m/>
  </r>
  <r>
    <d v="2023-09-21T00:00:00"/>
    <s v="IT87"/>
    <x v="1"/>
    <m/>
    <m/>
    <n v="210000"/>
    <n v="11926872"/>
    <x v="1"/>
    <m/>
    <x v="0"/>
    <x v="0"/>
    <m/>
    <m/>
    <m/>
    <m/>
  </r>
  <r>
    <d v="2023-09-21T00:00:00"/>
    <s v="T73"/>
    <x v="1"/>
    <m/>
    <m/>
    <n v="211000"/>
    <n v="11715872"/>
    <x v="1"/>
    <m/>
    <x v="0"/>
    <x v="0"/>
    <m/>
    <m/>
    <m/>
    <m/>
  </r>
  <r>
    <d v="2023-09-21T00:00:00"/>
    <s v="P29"/>
    <x v="1"/>
    <m/>
    <m/>
    <n v="212000"/>
    <n v="11503872"/>
    <x v="1"/>
    <m/>
    <x v="0"/>
    <x v="0"/>
    <m/>
    <m/>
    <m/>
    <m/>
  </r>
  <r>
    <d v="2023-09-21T00:00:00"/>
    <s v="Crepin"/>
    <x v="1"/>
    <m/>
    <m/>
    <n v="75000"/>
    <n v="11428872"/>
    <x v="1"/>
    <m/>
    <x v="0"/>
    <x v="0"/>
    <m/>
    <m/>
    <m/>
    <m/>
  </r>
  <r>
    <d v="2023-09-21T00:00:00"/>
    <s v="Evariste"/>
    <x v="1"/>
    <m/>
    <m/>
    <n v="75000"/>
    <n v="11353872"/>
    <x v="1"/>
    <m/>
    <x v="0"/>
    <x v="0"/>
    <m/>
    <m/>
    <m/>
    <m/>
  </r>
  <r>
    <d v="2023-09-21T00:00:00"/>
    <s v="Donald-Roméro"/>
    <x v="1"/>
    <m/>
    <m/>
    <n v="75000"/>
    <n v="11278872"/>
    <x v="1"/>
    <m/>
    <x v="0"/>
    <x v="0"/>
    <m/>
    <m/>
    <m/>
    <m/>
  </r>
  <r>
    <d v="2023-09-21T00:00:00"/>
    <s v="Reçu de caisse /Crépin"/>
    <x v="1"/>
    <m/>
    <n v="75000"/>
    <m/>
    <n v="11353872"/>
    <x v="7"/>
    <m/>
    <x v="0"/>
    <x v="0"/>
    <m/>
    <m/>
    <m/>
    <m/>
  </r>
  <r>
    <d v="2023-09-21T00:00:00"/>
    <s v="Cumul frais de Jail visit du mois de Septembre 2023/Hurielle"/>
    <x v="14"/>
    <s v="Legal"/>
    <m/>
    <n v="20000"/>
    <n v="11333872"/>
    <x v="10"/>
    <s v="Décharge"/>
    <x v="4"/>
    <x v="2"/>
    <s v="CONGO"/>
    <m/>
    <m/>
    <m/>
  </r>
  <r>
    <d v="2023-09-21T00:00:00"/>
    <s v="Reçu de caisse /Crépin"/>
    <x v="1"/>
    <m/>
    <n v="495000"/>
    <m/>
    <n v="11828872"/>
    <x v="7"/>
    <m/>
    <x v="0"/>
    <x v="0"/>
    <m/>
    <m/>
    <m/>
    <m/>
  </r>
  <r>
    <d v="2023-09-21T00:00:00"/>
    <s v="Reçu caisse/Donald-Roméo"/>
    <x v="1"/>
    <m/>
    <n v="75000"/>
    <m/>
    <n v="11903872"/>
    <x v="8"/>
    <m/>
    <x v="0"/>
    <x v="0"/>
    <m/>
    <m/>
    <m/>
    <m/>
  </r>
  <r>
    <d v="2023-09-21T00:00:00"/>
    <s v="Reçu de la caisse/Evariste"/>
    <x v="1"/>
    <m/>
    <n v="75000"/>
    <m/>
    <n v="11978872"/>
    <x v="9"/>
    <m/>
    <x v="0"/>
    <x v="0"/>
    <m/>
    <m/>
    <m/>
    <m/>
  </r>
  <r>
    <d v="2023-09-21T00:00:00"/>
    <s v="Reçu de Caisse/ IT87"/>
    <x v="1"/>
    <m/>
    <n v="210000"/>
    <m/>
    <n v="12188872"/>
    <x v="2"/>
    <m/>
    <x v="0"/>
    <x v="0"/>
    <m/>
    <m/>
    <m/>
    <m/>
  </r>
  <r>
    <d v="2023-09-21T00:00:00"/>
    <s v="Reçu de caisse/P29"/>
    <x v="1"/>
    <m/>
    <n v="212000"/>
    <m/>
    <n v="12400872"/>
    <x v="5"/>
    <m/>
    <x v="0"/>
    <x v="0"/>
    <m/>
    <m/>
    <m/>
    <m/>
  </r>
  <r>
    <d v="2023-09-21T00:00:00"/>
    <s v="reçu de caisse/T73"/>
    <x v="1"/>
    <m/>
    <n v="211000"/>
    <m/>
    <n v="12611872"/>
    <x v="6"/>
    <m/>
    <x v="0"/>
    <x v="0"/>
    <m/>
    <m/>
    <m/>
    <m/>
  </r>
  <r>
    <d v="2023-09-22T00:00:00"/>
    <s v="Frais de transfert charden farell à Donald,Crepin et Evariste"/>
    <x v="8"/>
    <s v="Office"/>
    <m/>
    <n v="5970"/>
    <n v="12605902"/>
    <x v="1"/>
    <s v="OUI"/>
    <x v="1"/>
    <x v="1"/>
    <s v="CONGO"/>
    <s v="RALFF-CO5064"/>
    <s v="5.6"/>
    <m/>
  </r>
  <r>
    <d v="2023-09-22T00:00:00"/>
    <s v="Frais de réparation de la roue de la BJ à Makoua"/>
    <x v="9"/>
    <s v="Operation"/>
    <m/>
    <n v="7000"/>
    <n v="12598902"/>
    <x v="7"/>
    <s v="OUI"/>
    <x v="4"/>
    <x v="2"/>
    <s v="CONGO"/>
    <m/>
    <m/>
    <m/>
  </r>
  <r>
    <d v="2023-09-22T00:00:00"/>
    <s v="Restauration et raffraichissement pour 15 gendarmes et moi à Mbomo"/>
    <x v="5"/>
    <s v="Operation"/>
    <m/>
    <n v="29800"/>
    <n v="12569102"/>
    <x v="7"/>
    <s v="OUI"/>
    <x v="4"/>
    <x v="2"/>
    <s v="CONGO"/>
    <m/>
    <m/>
    <m/>
  </r>
  <r>
    <d v="2023-09-22T00:00:00"/>
    <s v="Bonus des 10 gendarmes de mbomo ayant interpellés les personnes dénoncées dans ladite localité"/>
    <x v="6"/>
    <s v="Operation"/>
    <m/>
    <n v="100000"/>
    <n v="12469102"/>
    <x v="7"/>
    <s v="OUI"/>
    <x v="4"/>
    <x v="2"/>
    <s v="CONGO"/>
    <m/>
    <m/>
    <m/>
  </r>
  <r>
    <d v="2023-09-22T00:00:00"/>
    <s v="HURIELLE - CONGO Frais d'Hôtel du 20 au 22/09/2023 à Dolisie/(02 nuitées)"/>
    <x v="5"/>
    <s v="Legal"/>
    <m/>
    <n v="30000"/>
    <n v="12439102"/>
    <x v="10"/>
    <s v="OUI"/>
    <x v="4"/>
    <x v="1"/>
    <s v="CONGO"/>
    <s v="RALFF-CO5065"/>
    <s v="1.3.2"/>
    <m/>
  </r>
  <r>
    <d v="2023-09-22T00:00:00"/>
    <s v="Achat billet Dolisie-Brazzaville/Hurielle"/>
    <x v="7"/>
    <s v="Legal"/>
    <m/>
    <n v="10000"/>
    <n v="12429102"/>
    <x v="10"/>
    <s v="OUI"/>
    <x v="1"/>
    <x v="1"/>
    <s v="CONGO"/>
    <s v="RALFF-CO5066"/>
    <s v="2.2"/>
    <m/>
  </r>
  <r>
    <d v="2023-09-22T00:00:00"/>
    <s v="BCI3654570-34"/>
    <x v="1"/>
    <m/>
    <n v="2000000"/>
    <m/>
    <n v="14429102"/>
    <x v="1"/>
    <m/>
    <x v="0"/>
    <x v="0"/>
    <m/>
    <m/>
    <m/>
    <m/>
  </r>
  <r>
    <d v="2023-09-22T00:00:00"/>
    <s v="Crepin"/>
    <x v="1"/>
    <m/>
    <m/>
    <n v="75000"/>
    <n v="14354102"/>
    <x v="1"/>
    <m/>
    <x v="0"/>
    <x v="0"/>
    <m/>
    <m/>
    <m/>
    <m/>
  </r>
  <r>
    <d v="2023-09-22T00:00:00"/>
    <s v="Evariste"/>
    <x v="1"/>
    <m/>
    <m/>
    <n v="25000"/>
    <n v="14329102"/>
    <x v="1"/>
    <m/>
    <x v="0"/>
    <x v="0"/>
    <m/>
    <m/>
    <m/>
    <m/>
  </r>
  <r>
    <d v="2023-09-22T00:00:00"/>
    <s v="Donald-Roméro"/>
    <x v="1"/>
    <m/>
    <m/>
    <n v="99000"/>
    <n v="14230102"/>
    <x v="1"/>
    <m/>
    <x v="0"/>
    <x v="0"/>
    <m/>
    <m/>
    <m/>
    <m/>
  </r>
  <r>
    <d v="2023-09-22T00:00:00"/>
    <s v="Retrait especes/appro caisse/bord n°3654570"/>
    <x v="1"/>
    <m/>
    <m/>
    <n v="2000000"/>
    <n v="12230102"/>
    <x v="13"/>
    <n v="3654570"/>
    <x v="0"/>
    <x v="0"/>
    <m/>
    <m/>
    <m/>
    <m/>
  </r>
  <r>
    <d v="2023-09-22T00:00:00"/>
    <s v="Achat billet Pointe Noire - Madingou/IT87"/>
    <x v="7"/>
    <s v="Investisgations"/>
    <m/>
    <n v="8000"/>
    <n v="12222102"/>
    <x v="2"/>
    <s v="OUI"/>
    <x v="4"/>
    <x v="2"/>
    <s v="CONGO"/>
    <m/>
    <m/>
    <m/>
  </r>
  <r>
    <d v="2023-09-22T00:00:00"/>
    <s v="Reçu caisse/Donald-Roméo"/>
    <x v="1"/>
    <m/>
    <n v="99000"/>
    <m/>
    <n v="12321102"/>
    <x v="8"/>
    <m/>
    <x v="0"/>
    <x v="0"/>
    <m/>
    <m/>
    <m/>
    <m/>
  </r>
  <r>
    <d v="2023-09-22T00:00:00"/>
    <s v="Reçu de la caisse/Evariste"/>
    <x v="1"/>
    <m/>
    <n v="25000"/>
    <m/>
    <n v="12346102"/>
    <x v="9"/>
    <m/>
    <x v="0"/>
    <x v="0"/>
    <m/>
    <m/>
    <m/>
    <m/>
  </r>
  <r>
    <d v="2023-09-23T00:00:00"/>
    <s v="Frais d'hotel du Commandant de compagnie de la gendarmerie d'Etoumbi à Owando du 22 au 23/09/2023/(01 Nuitée)"/>
    <x v="5"/>
    <s v="Operation"/>
    <m/>
    <n v="15000"/>
    <n v="12331102"/>
    <x v="7"/>
    <s v="OUI"/>
    <x v="4"/>
    <x v="2"/>
    <s v="CONGO"/>
    <m/>
    <m/>
    <m/>
  </r>
  <r>
    <d v="2023-09-23T00:00:00"/>
    <s v="Ration mission Mbomo-Owando et transport retour du commandant de compagnie de gendarmerie d'Etoumbi"/>
    <x v="5"/>
    <s v="Operation"/>
    <m/>
    <n v="20000"/>
    <n v="12311102"/>
    <x v="7"/>
    <s v="OUI"/>
    <x v="4"/>
    <x v="2"/>
    <s v="CONGO"/>
    <m/>
    <m/>
    <m/>
  </r>
  <r>
    <d v="2023-09-23T00:00:00"/>
    <s v="Carburant BJ Kéllé ayant effectué les opérations d'interpellation dans la Cuvette Ouest "/>
    <x v="7"/>
    <s v="Operation"/>
    <m/>
    <n v="50000"/>
    <n v="12261102"/>
    <x v="7"/>
    <s v="OUI"/>
    <x v="4"/>
    <x v="2"/>
    <s v="CONGO"/>
    <m/>
    <m/>
    <m/>
  </r>
  <r>
    <d v="2023-09-23T00:00:00"/>
    <s v="Bonus 15 gendarmes ayant effectué la mission de tranferment des personnes interpellées à Mbomo sur Owando"/>
    <x v="6"/>
    <s v="Operation"/>
    <m/>
    <n v="150000"/>
    <n v="12111102"/>
    <x v="7"/>
    <s v="OUI"/>
    <x v="4"/>
    <x v="2"/>
    <s v="CONGO"/>
    <m/>
    <m/>
    <m/>
  </r>
  <r>
    <d v="2023-09-23T00:00:00"/>
    <s v="IT87 - CONGO Frais d'hôtel du 20 au 23/09/2023 à Pointe Noire (03 Nuitées)"/>
    <x v="5"/>
    <s v="Investisgations"/>
    <m/>
    <n v="45000"/>
    <n v="12066102"/>
    <x v="2"/>
    <s v="OUI"/>
    <x v="2"/>
    <x v="2"/>
    <s v="CONGO"/>
    <m/>
    <m/>
    <m/>
  </r>
  <r>
    <d v="2023-09-23T00:00:00"/>
    <s v="T73 - CONGO Frais d'hotel du 20 au 23/09/2023 (03 nuitées pour ) à Sibiti"/>
    <x v="5"/>
    <s v="Investisgations"/>
    <m/>
    <n v="45000"/>
    <n v="12021102"/>
    <x v="6"/>
    <s v="OUI"/>
    <x v="2"/>
    <x v="1"/>
    <s v="CONGO"/>
    <s v="RALFF-CO5067"/>
    <s v="1.3.2"/>
    <m/>
  </r>
  <r>
    <d v="2023-09-23T00:00:00"/>
    <s v="Achat billet Sibiti - Zanaga/T73"/>
    <x v="7"/>
    <s v="Investisgations"/>
    <m/>
    <n v="8000"/>
    <n v="12013102"/>
    <x v="6"/>
    <s v="OUI"/>
    <x v="4"/>
    <x v="1"/>
    <s v="CONGO"/>
    <s v="RALFF-CO5068"/>
    <s v="2.2"/>
    <m/>
  </r>
  <r>
    <d v="2023-09-25T00:00:00"/>
    <s v="Frais de transfert à Evariste"/>
    <x v="8"/>
    <s v="Office"/>
    <m/>
    <n v="750"/>
    <n v="12012352"/>
    <x v="1"/>
    <s v="OUI"/>
    <x v="1"/>
    <x v="1"/>
    <s v="CONGO"/>
    <s v="RALFF-CO5069"/>
    <s v="5.6"/>
    <m/>
  </r>
  <r>
    <d v="2023-09-25T00:00:00"/>
    <s v="Frais de mission maitre Marie Hélène  NANITELAMIO à Owando du 26 au 29/09/2023 à OWANDO"/>
    <x v="11"/>
    <s v="Legal"/>
    <m/>
    <n v="99000"/>
    <n v="11913352"/>
    <x v="1"/>
    <s v="OUI"/>
    <x v="3"/>
    <x v="2"/>
    <s v="CONGO"/>
    <m/>
    <m/>
    <m/>
  </r>
  <r>
    <d v="2023-09-25T00:00:00"/>
    <s v="IT87 - CONGO Frais d'hôtel du 23 au 25/09/2023 à Madingou (02 Nuitées)"/>
    <x v="5"/>
    <s v="Investisgations"/>
    <m/>
    <n v="30000"/>
    <n v="11883352"/>
    <x v="2"/>
    <s v="OUI"/>
    <x v="2"/>
    <x v="2"/>
    <s v="CONGO"/>
    <m/>
    <m/>
    <m/>
  </r>
  <r>
    <d v="2023-09-25T00:00:00"/>
    <s v="Achat billet Madingou - Bouansa/IT87"/>
    <x v="7"/>
    <s v="Investisgations"/>
    <m/>
    <n v="3000"/>
    <n v="11880352"/>
    <x v="2"/>
    <s v="OUI"/>
    <x v="4"/>
    <x v="2"/>
    <s v="CONGO"/>
    <m/>
    <m/>
    <m/>
  </r>
  <r>
    <d v="2023-09-25T00:00:00"/>
    <s v="Evariste"/>
    <x v="1"/>
    <m/>
    <m/>
    <n v="25000"/>
    <n v="11855352"/>
    <x v="1"/>
    <m/>
    <x v="0"/>
    <x v="0"/>
    <m/>
    <m/>
    <m/>
    <m/>
  </r>
  <r>
    <d v="2023-09-25T00:00:00"/>
    <s v="Reçu de caisse /Crépin"/>
    <x v="1"/>
    <m/>
    <n v="75000"/>
    <m/>
    <n v="11930352"/>
    <x v="7"/>
    <m/>
    <x v="0"/>
    <x v="0"/>
    <m/>
    <m/>
    <m/>
    <m/>
  </r>
  <r>
    <d v="2023-09-25T00:00:00"/>
    <s v="Reçu de la caisse/Evariste"/>
    <x v="1"/>
    <m/>
    <n v="25000"/>
    <m/>
    <n v="11955352"/>
    <x v="9"/>
    <m/>
    <x v="0"/>
    <x v="0"/>
    <m/>
    <m/>
    <m/>
    <m/>
  </r>
  <r>
    <d v="2023-09-25T00:00:00"/>
    <s v="P29 -CONGO Frais d'hotel du 20 au 25/09/2023 à Pointe-Noire/(05 nuitées)"/>
    <x v="5"/>
    <s v="Investisgations"/>
    <m/>
    <n v="75000"/>
    <n v="11880352"/>
    <x v="5"/>
    <s v="OUI"/>
    <x v="2"/>
    <x v="1"/>
    <s v="CONGO"/>
    <s v="RALFF-CO5070"/>
    <s v="1.3.2"/>
    <m/>
  </r>
  <r>
    <d v="2023-09-25T00:00:00"/>
    <s v="Achat billet Pointe-Noire - Dolisie/P29"/>
    <x v="7"/>
    <s v="Investisgations"/>
    <m/>
    <n v="5000"/>
    <n v="11875352"/>
    <x v="5"/>
    <s v="OUI"/>
    <x v="1"/>
    <x v="1"/>
    <s v="CONGO"/>
    <s v="RALFF-CO5071"/>
    <s v="2.2"/>
    <m/>
  </r>
  <r>
    <d v="2023-09-25T00:00:00"/>
    <s v="T73 - CONGO Frais d'hotel du 23 au 25/09/2023 (02 nuitées) à Zanaga"/>
    <x v="5"/>
    <s v="Investisgations"/>
    <m/>
    <n v="30000"/>
    <n v="11845352"/>
    <x v="6"/>
    <s v="OUI"/>
    <x v="2"/>
    <x v="1"/>
    <s v="CONGO"/>
    <s v="RALFF-CO5072"/>
    <s v="1.3.2"/>
    <m/>
  </r>
  <r>
    <d v="2023-09-25T00:00:00"/>
    <s v="Achat billet: Zanaga - Sibiti /T73"/>
    <x v="7"/>
    <s v="Investisgations"/>
    <m/>
    <n v="8000"/>
    <n v="11837352"/>
    <x v="6"/>
    <s v="OUI"/>
    <x v="4"/>
    <x v="1"/>
    <s v="CONGO"/>
    <s v="RALFF-CO5073"/>
    <s v="2.2"/>
    <m/>
  </r>
  <r>
    <d v="2023-09-26T00:00:00"/>
    <s v="Frais de transfert charden farell à Donald-Roméo"/>
    <x v="8"/>
    <s v="Office"/>
    <m/>
    <n v="1140"/>
    <n v="11836212"/>
    <x v="1"/>
    <s v="OUI"/>
    <x v="1"/>
    <x v="1"/>
    <s v="CONGO"/>
    <s v="RALFF-CO5074"/>
    <s v="5.6"/>
    <m/>
  </r>
  <r>
    <d v="2023-09-26T00:00:00"/>
    <s v="Achat credit  teléphonique MNT/PALF/Management/Homéfa Dovi"/>
    <x v="2"/>
    <s v="Management"/>
    <m/>
    <n v="10000"/>
    <n v="11826212"/>
    <x v="1"/>
    <s v="OUI"/>
    <x v="1"/>
    <x v="1"/>
    <s v="CONGO"/>
    <s v="RALFF-CO5075"/>
    <s v="4.6"/>
    <m/>
  </r>
  <r>
    <d v="2023-09-26T00:00:00"/>
    <s v="Bonus opération du 02 Septembre 2023/Hurielle"/>
    <x v="6"/>
    <s v="Operation"/>
    <m/>
    <n v="20000"/>
    <n v="11806212"/>
    <x v="1"/>
    <s v="Décharge"/>
    <x v="4"/>
    <x v="2"/>
    <s v="CONGO"/>
    <m/>
    <m/>
    <m/>
  </r>
  <r>
    <d v="2023-09-26T00:00:00"/>
    <s v="Frais d'impression des photos pour planche photographique (12 photos)"/>
    <x v="9"/>
    <s v="Legal"/>
    <m/>
    <n v="7200"/>
    <n v="11799012"/>
    <x v="8"/>
    <s v="OUI"/>
    <x v="4"/>
    <x v="2"/>
    <s v="CONGO"/>
    <m/>
    <m/>
    <m/>
  </r>
  <r>
    <d v="2023-09-26T00:00:00"/>
    <s v="Frais d'impression de la procédure de la gendarmerie"/>
    <x v="9"/>
    <s v="Legal"/>
    <m/>
    <n v="29600"/>
    <n v="11769412"/>
    <x v="8"/>
    <s v="OUI"/>
    <x v="4"/>
    <x v="2"/>
    <s v="CONGO"/>
    <m/>
    <m/>
    <m/>
  </r>
  <r>
    <d v="2023-09-26T00:00:00"/>
    <s v="Achat billet, Owando-Brazzaville/Evariste"/>
    <x v="7"/>
    <s v="Media"/>
    <m/>
    <n v="8000"/>
    <n v="11761412"/>
    <x v="9"/>
    <s v="OUI"/>
    <x v="1"/>
    <x v="1"/>
    <s v="CONGO"/>
    <s v="RALFF-CO5076"/>
    <s v="2.2"/>
    <m/>
  </r>
  <r>
    <d v="2023-09-26T00:00:00"/>
    <s v="EVARISTE - CONGO Frais d'hôtel, du 11 au 26 septembre 2023 à Owando (15 nuitées)"/>
    <x v="5"/>
    <s v="Media"/>
    <m/>
    <n v="225000"/>
    <n v="11536412"/>
    <x v="9"/>
    <s v="OUI"/>
    <x v="4"/>
    <x v="1"/>
    <s v="CONGO"/>
    <s v="RALFF-CO5077"/>
    <s v="1.3.2"/>
    <m/>
  </r>
  <r>
    <d v="2023-09-26T00:00:00"/>
    <s v="Cumul frais de Trust building du mois de Septembre 2023/P29"/>
    <x v="15"/>
    <s v="Investisgations"/>
    <m/>
    <n v="20000"/>
    <n v="11516412"/>
    <x v="5"/>
    <s v="Décharge"/>
    <x v="4"/>
    <x v="2"/>
    <s v="CONGO"/>
    <m/>
    <m/>
    <m/>
  </r>
  <r>
    <d v="2023-09-26T00:00:00"/>
    <s v="T73 - CONGO Frais d'hotel du 25 au 26/09/2023 (01 nuitées ) à Sibiti"/>
    <x v="5"/>
    <s v="Investisgations"/>
    <m/>
    <n v="15000"/>
    <n v="11501412"/>
    <x v="6"/>
    <s v="OUI"/>
    <x v="2"/>
    <x v="1"/>
    <s v="CONGO"/>
    <s v="RALFF-CO5078"/>
    <s v="1.3.2"/>
    <m/>
  </r>
  <r>
    <d v="2023-09-26T00:00:00"/>
    <s v="Achat billet : Sibiti - Loudima/T73"/>
    <x v="7"/>
    <s v="Investisgations"/>
    <m/>
    <n v="3500"/>
    <n v="11497912"/>
    <x v="6"/>
    <s v="OUI"/>
    <x v="4"/>
    <x v="1"/>
    <s v="CONGO"/>
    <s v="RALFF-CO5079"/>
    <s v="2.2"/>
    <m/>
  </r>
  <r>
    <d v="2023-09-26T00:00:00"/>
    <s v="Cumul frais de trust building du mois de Septembre 2023/T73"/>
    <x v="15"/>
    <s v="Investisgations"/>
    <m/>
    <n v="57700"/>
    <n v="11440212"/>
    <x v="6"/>
    <s v="Décharge"/>
    <x v="4"/>
    <x v="2"/>
    <s v="CONGO"/>
    <m/>
    <m/>
    <m/>
  </r>
  <r>
    <d v="2023-09-27T00:00:00"/>
    <s v="Achat 06 Bouteille d'eau minérale/Bureau PALF"/>
    <x v="9"/>
    <s v="Office"/>
    <m/>
    <n v="15000"/>
    <n v="11425212"/>
    <x v="1"/>
    <s v="OUI"/>
    <x v="1"/>
    <x v="1"/>
    <s v="CONGO"/>
    <s v="RALFF-CO5080"/>
    <s v="4.3"/>
    <m/>
  </r>
  <r>
    <d v="2023-09-27T00:00:00"/>
    <s v="Achat produit d'entretien bureau/ajax ,javel,lait sucre,café/Bureau PALF"/>
    <x v="9"/>
    <s v="Office"/>
    <m/>
    <n v="45150"/>
    <n v="11380062"/>
    <x v="1"/>
    <s v="OUI"/>
    <x v="1"/>
    <x v="1"/>
    <s v="CONGO"/>
    <s v="RALFF-CO5081"/>
    <s v="4.3"/>
    <m/>
  </r>
  <r>
    <d v="2023-09-27T00:00:00"/>
    <s v="Entretretien général Jardin, Bureau PALF Mois de Septembre 2023/Bureau PALF"/>
    <x v="16"/>
    <s v="Office"/>
    <m/>
    <n v="20000"/>
    <n v="11360062"/>
    <x v="1"/>
    <s v="OUI"/>
    <x v="4"/>
    <x v="2"/>
    <s v="CONGO"/>
    <m/>
    <m/>
    <m/>
  </r>
  <r>
    <d v="2023-09-27T00:00:00"/>
    <s v="Bonus media portant sur l'interpellation des présumés trafiquant d'ivoire,les 16 et 18/09/2023 à Owando et Mbomo"/>
    <x v="6"/>
    <s v="Media"/>
    <m/>
    <n v="86000"/>
    <n v="11274062"/>
    <x v="1"/>
    <s v="Décharge"/>
    <x v="4"/>
    <x v="2"/>
    <s v="CONGO"/>
    <m/>
    <m/>
    <m/>
  </r>
  <r>
    <d v="2023-09-27T00:00:00"/>
    <s v="Frais d'Impression 30 t-shirt et Casquettes/Participation Forum UE-Congo"/>
    <x v="17"/>
    <s v="Office"/>
    <m/>
    <n v="258000"/>
    <n v="11016062"/>
    <x v="1"/>
    <s v="OUI"/>
    <x v="1"/>
    <x v="1"/>
    <s v="CONGO"/>
    <s v="RALFF-CO5082"/>
    <s v="5.8"/>
    <m/>
  </r>
  <r>
    <d v="2023-09-27T00:00:00"/>
    <s v="Frais de transfert charden farell à Crépin Evariste et Donald"/>
    <x v="8"/>
    <s v="Office"/>
    <m/>
    <n v="6294"/>
    <n v="11009768"/>
    <x v="1"/>
    <s v="OUI"/>
    <x v="1"/>
    <x v="1"/>
    <s v="CONGO"/>
    <s v="RALFF-CO5083"/>
    <s v="5.6"/>
    <m/>
  </r>
  <r>
    <d v="2023-09-27T00:00:00"/>
    <s v="Bonus media portant sur l'interpellation des présumés trafiquant d'ivoire,les 16 et 18/09/2023 à Owando et Mbomo/telecongo"/>
    <x v="6"/>
    <s v="Media"/>
    <m/>
    <n v="150000"/>
    <n v="10859768"/>
    <x v="1"/>
    <s v="Décharge"/>
    <x v="4"/>
    <x v="2"/>
    <s v="CONGO"/>
    <m/>
    <m/>
    <m/>
  </r>
  <r>
    <d v="2023-09-27T00:00:00"/>
    <s v="Cumul frais de transport Jails visits du mois de Septembre 2023/Donald-Roméo"/>
    <x v="14"/>
    <s v="Legal"/>
    <m/>
    <n v="79000"/>
    <n v="10780768"/>
    <x v="8"/>
    <s v="Décharge"/>
    <x v="4"/>
    <x v="2"/>
    <s v="CONGO"/>
    <m/>
    <m/>
    <m/>
  </r>
  <r>
    <d v="2023-09-27T00:00:00"/>
    <s v="Cumul frais de transport local mois de Septembre 2023/DOVI"/>
    <x v="7"/>
    <s v="Management"/>
    <m/>
    <n v="10750"/>
    <n v="10770018"/>
    <x v="4"/>
    <s v="Décharge"/>
    <x v="1"/>
    <x v="1"/>
    <s v="CONGO"/>
    <s v="RALFF-CO5084"/>
    <s v="2.2"/>
    <m/>
  </r>
  <r>
    <d v="2023-09-27T00:00:00"/>
    <s v="IT87 - CONGO Frais d'hôtel du 25 au 27/09/2023 à Bouansa (02 Nuitées)"/>
    <x v="5"/>
    <s v="Investisgations"/>
    <m/>
    <n v="30000"/>
    <n v="10740018"/>
    <x v="2"/>
    <s v="OUI"/>
    <x v="2"/>
    <x v="2"/>
    <s v="CONGO"/>
    <m/>
    <m/>
    <m/>
  </r>
  <r>
    <d v="2023-09-27T00:00:00"/>
    <s v="Achat billet Bouansa - Brazzaville/IT87"/>
    <x v="7"/>
    <s v="Investisgations"/>
    <m/>
    <n v="7000"/>
    <n v="10733018"/>
    <x v="2"/>
    <s v="OUI"/>
    <x v="4"/>
    <x v="2"/>
    <s v="CONGO"/>
    <m/>
    <m/>
    <m/>
  </r>
  <r>
    <d v="2023-09-27T00:00:00"/>
    <s v="Oracle"/>
    <x v="1"/>
    <m/>
    <m/>
    <n v="85000"/>
    <n v="10648018"/>
    <x v="1"/>
    <m/>
    <x v="0"/>
    <x v="0"/>
    <m/>
    <m/>
    <m/>
    <m/>
  </r>
  <r>
    <d v="2023-09-27T00:00:00"/>
    <s v="Homéfa"/>
    <x v="1"/>
    <m/>
    <m/>
    <n v="20000"/>
    <n v="10628018"/>
    <x v="1"/>
    <m/>
    <x v="0"/>
    <x v="0"/>
    <m/>
    <m/>
    <m/>
    <m/>
  </r>
  <r>
    <d v="2023-09-27T00:00:00"/>
    <s v="Donald-Roméro"/>
    <x v="1"/>
    <m/>
    <m/>
    <n v="132800"/>
    <n v="10495218"/>
    <x v="1"/>
    <m/>
    <x v="0"/>
    <x v="0"/>
    <m/>
    <m/>
    <m/>
    <m/>
  </r>
  <r>
    <d v="2023-09-27T00:00:00"/>
    <s v="Crepin"/>
    <x v="1"/>
    <m/>
    <m/>
    <n v="50000"/>
    <n v="10445218"/>
    <x v="1"/>
    <m/>
    <x v="0"/>
    <x v="0"/>
    <m/>
    <m/>
    <m/>
    <m/>
  </r>
  <r>
    <d v="2023-09-27T00:00:00"/>
    <s v="Merveille"/>
    <x v="1"/>
    <m/>
    <m/>
    <n v="20000"/>
    <n v="10425218"/>
    <x v="1"/>
    <m/>
    <x v="0"/>
    <x v="0"/>
    <m/>
    <m/>
    <m/>
    <m/>
  </r>
  <r>
    <d v="2023-09-27T00:00:00"/>
    <s v="Reçu de caisse /Crépin"/>
    <x v="1"/>
    <m/>
    <n v="50000"/>
    <m/>
    <n v="10475218"/>
    <x v="7"/>
    <m/>
    <x v="0"/>
    <x v="0"/>
    <m/>
    <m/>
    <m/>
    <m/>
  </r>
  <r>
    <d v="2023-09-27T00:00:00"/>
    <s v="P29 - CONGO Frais d'hotel du 25 au 27/09/2023 à Dolisie/(02 nuitées)"/>
    <x v="5"/>
    <s v="Investisgations"/>
    <m/>
    <n v="30000"/>
    <n v="10445218"/>
    <x v="5"/>
    <s v="OUI"/>
    <x v="2"/>
    <x v="1"/>
    <s v="CONGO"/>
    <s v="RALFF-CO5085"/>
    <s v="1.3.2"/>
    <m/>
  </r>
  <r>
    <d v="2023-09-27T00:00:00"/>
    <s v="Achat billet dolisie-brazzaville/P29"/>
    <x v="7"/>
    <s v="Investisgations"/>
    <m/>
    <n v="10000"/>
    <n v="10435218"/>
    <x v="5"/>
    <s v="OUI"/>
    <x v="1"/>
    <x v="1"/>
    <s v="CONGO"/>
    <s v="RALFF-CO5086"/>
    <s v="2.2"/>
    <m/>
  </r>
  <r>
    <d v="2023-09-27T00:00:00"/>
    <s v="Cumul frais de transport local mois de Septembre 2023/P29"/>
    <x v="7"/>
    <s v="Investisgations"/>
    <m/>
    <n v="96200"/>
    <n v="10339018"/>
    <x v="5"/>
    <s v="Décharge"/>
    <x v="1"/>
    <x v="1"/>
    <s v="CONGO"/>
    <s v="RALFF-CO5087"/>
    <s v="2.2"/>
    <m/>
  </r>
  <r>
    <d v="2023-09-27T00:00:00"/>
    <s v="Reçu caisse/Donald-Roméo"/>
    <x v="1"/>
    <m/>
    <n v="132800"/>
    <m/>
    <n v="10471818"/>
    <x v="8"/>
    <m/>
    <x v="0"/>
    <x v="0"/>
    <m/>
    <m/>
    <m/>
    <m/>
  </r>
  <r>
    <d v="2023-09-27T00:00:00"/>
    <s v="Reçu caisse/Dovi"/>
    <x v="1"/>
    <m/>
    <n v="20000"/>
    <m/>
    <n v="10491818"/>
    <x v="4"/>
    <m/>
    <x v="0"/>
    <x v="0"/>
    <m/>
    <m/>
    <m/>
    <m/>
  </r>
  <r>
    <d v="2023-09-27T00:00:00"/>
    <s v="Reçu caisse/Merveille"/>
    <x v="1"/>
    <m/>
    <n v="20000"/>
    <m/>
    <n v="10511818"/>
    <x v="11"/>
    <m/>
    <x v="0"/>
    <x v="0"/>
    <m/>
    <m/>
    <m/>
    <m/>
  </r>
  <r>
    <d v="2023-09-27T00:00:00"/>
    <s v="Reçu caisse/Oracle"/>
    <x v="1"/>
    <m/>
    <n v="85000"/>
    <m/>
    <n v="10596818"/>
    <x v="12"/>
    <m/>
    <x v="0"/>
    <x v="0"/>
    <m/>
    <m/>
    <m/>
    <m/>
  </r>
  <r>
    <d v="2023-09-27T00:00:00"/>
    <s v="T73 - CONGO Frais d'hotel du 25 au 26/09/2023 (01 nuitées ) à Loudima"/>
    <x v="5"/>
    <s v="Investisgations"/>
    <m/>
    <n v="15000"/>
    <n v="10581818"/>
    <x v="6"/>
    <s v="OUI"/>
    <x v="2"/>
    <x v="1"/>
    <s v="CONGO"/>
    <s v="RALFF-CO5088"/>
    <s v="1.3.2"/>
    <m/>
  </r>
  <r>
    <d v="2023-09-27T00:00:00"/>
    <s v="Achat billet : Loudima - Brazzaville/T73"/>
    <x v="7"/>
    <s v="Investisgations"/>
    <m/>
    <n v="7000"/>
    <n v="10574818"/>
    <x v="6"/>
    <s v="OUI"/>
    <x v="4"/>
    <x v="1"/>
    <s v="CONGO"/>
    <s v="RALFF-CO5089"/>
    <s v="2.2"/>
    <m/>
  </r>
  <r>
    <d v="2023-09-27T00:00:00"/>
    <s v="Cumul frais de transport local du mois de Septembre 2023/T73"/>
    <x v="7"/>
    <s v="Investisgations"/>
    <m/>
    <n v="62000"/>
    <n v="10512818"/>
    <x v="6"/>
    <s v="Décharge"/>
    <x v="4"/>
    <x v="1"/>
    <s v="CONGO"/>
    <s v="RALFF-CO5090"/>
    <s v="2.2"/>
    <m/>
  </r>
  <r>
    <d v="2023-09-28T00:00:00"/>
    <s v="Achat carte sim enqueteur/T73"/>
    <x v="2"/>
    <s v="Investisgations"/>
    <m/>
    <n v="10500"/>
    <n v="10502318"/>
    <x v="1"/>
    <s v="OUI"/>
    <x v="4"/>
    <x v="2"/>
    <s v="CONGO"/>
    <m/>
    <m/>
    <m/>
  </r>
  <r>
    <d v="2023-09-28T00:00:00"/>
    <s v="Achat rallonges et adaptateur/Bureau PALF pour forum UE"/>
    <x v="9"/>
    <s v="Office"/>
    <m/>
    <n v="19500"/>
    <n v="10482818"/>
    <x v="1"/>
    <s v="OUI"/>
    <x v="1"/>
    <x v="1"/>
    <s v="CONGO"/>
    <s v="RALFF-CO5091"/>
    <s v="4.3"/>
    <m/>
  </r>
  <r>
    <d v="2023-09-28T00:00:00"/>
    <s v="Cumul frais de transport local mois de Septembre 2023/Evariste"/>
    <x v="7"/>
    <s v="Media"/>
    <m/>
    <n v="47000"/>
    <n v="10435818"/>
    <x v="9"/>
    <s v="Décharge"/>
    <x v="1"/>
    <x v="1"/>
    <s v="CONGO"/>
    <s v="RALFF-CO5092"/>
    <s v="2.2"/>
    <m/>
  </r>
  <r>
    <d v="2023-09-28T00:00:00"/>
    <s v="Achat billet Brazzaville - Loudima/Oracle"/>
    <x v="7"/>
    <s v="Legal"/>
    <m/>
    <n v="9000"/>
    <n v="10426818"/>
    <x v="12"/>
    <s v="OUI"/>
    <x v="4"/>
    <x v="1"/>
    <s v="CONGO"/>
    <s v="RALFF-CO5093"/>
    <s v="2.2"/>
    <m/>
  </r>
  <r>
    <d v="2023-09-28T00:00:00"/>
    <s v="Billet Loudima - Sibiti/Oracle"/>
    <x v="7"/>
    <s v="Legal"/>
    <m/>
    <n v="3500"/>
    <n v="10423318"/>
    <x v="12"/>
    <s v="OUI"/>
    <x v="4"/>
    <x v="1"/>
    <s v="CONGO"/>
    <s v="RALFF-CO5094"/>
    <s v="2.2"/>
    <m/>
  </r>
  <r>
    <d v="2023-09-28T00:00:00"/>
    <s v="ORACLE- TALOULOU - CONGO Food allowance du  28 au 30 Septembre 2023 à Sibiti/(02 nuitées)"/>
    <x v="5"/>
    <s v="Legal"/>
    <m/>
    <n v="20000"/>
    <n v="10403318"/>
    <x v="12"/>
    <s v="Décharge"/>
    <x v="4"/>
    <x v="1"/>
    <s v="CONGO"/>
    <s v="RALFF-CO5095"/>
    <s v="1.3.2"/>
    <m/>
  </r>
  <r>
    <d v="2023-09-29T00:00:00"/>
    <s v="Reglemeent Facture Internet (Canal Box_Periode du 02/10 au 1/11/ 2023)"/>
    <x v="18"/>
    <s v="Office"/>
    <m/>
    <n v="37897"/>
    <n v="10365421"/>
    <x v="1"/>
    <s v="OUI"/>
    <x v="1"/>
    <x v="1"/>
    <s v="CONGO"/>
    <s v="RALFF-CO5096"/>
    <s v="4.5"/>
    <m/>
  </r>
  <r>
    <d v="2023-09-29T00:00:00"/>
    <s v="Taxe/Reglemeent Facture Internet (Canal Box_Periode du 02/10 au 1/11/ 2023)"/>
    <x v="18"/>
    <s v="Office"/>
    <m/>
    <n v="7153"/>
    <n v="10358268"/>
    <x v="1"/>
    <s v="OUI"/>
    <x v="4"/>
    <x v="2"/>
    <s v="CONGO"/>
    <m/>
    <m/>
    <m/>
  </r>
  <r>
    <d v="2023-09-29T00:00:00"/>
    <s v="Règlement prestation technicienne de surface (mois de Septembre  2023)/Bureau PALF"/>
    <x v="16"/>
    <s v="Office"/>
    <m/>
    <n v="75625"/>
    <n v="10282643"/>
    <x v="1"/>
    <s v="OUI"/>
    <x v="4"/>
    <x v="2"/>
    <s v="CONGO"/>
    <m/>
    <m/>
    <m/>
  </r>
  <r>
    <d v="2023-09-29T00:00:00"/>
    <s v="Frais de mission maitre Marie Hélène  NANITELAMIO à Pointe-Noire et Dolisie du 02 au 06/10/2023"/>
    <x v="11"/>
    <s v="Legal"/>
    <m/>
    <n v="149000"/>
    <n v="10133643"/>
    <x v="1"/>
    <s v="OUI"/>
    <x v="3"/>
    <x v="2"/>
    <s v="CONGO"/>
    <m/>
    <m/>
    <m/>
  </r>
  <r>
    <d v="2023-09-29T00:00:00"/>
    <s v="Bonus du mois de Septembre 2023/Grace MOLENDE"/>
    <x v="6"/>
    <s v="Management"/>
    <m/>
    <n v="50000"/>
    <n v="10083643"/>
    <x v="1"/>
    <s v="Décharge"/>
    <x v="4"/>
    <x v="2"/>
    <s v="CONGO"/>
    <m/>
    <m/>
    <m/>
  </r>
  <r>
    <d v="2023-09-29T00:00:00"/>
    <s v="Paiement Prime de fin d'année /Fin Contrat CDD/Grace MOLENDE"/>
    <x v="4"/>
    <s v="Management"/>
    <m/>
    <n v="154370"/>
    <n v="9929273"/>
    <x v="1"/>
    <s v="Décharge"/>
    <x v="4"/>
    <x v="2"/>
    <s v="CONGO"/>
    <m/>
    <m/>
    <m/>
  </r>
  <r>
    <d v="2023-09-29T00:00:00"/>
    <s v="Paiement salaire mois de Septembre et Congés 2023/ Grace Molende/ CH N°3667386"/>
    <x v="4"/>
    <s v="Management"/>
    <m/>
    <n v="634000"/>
    <n v="9295273"/>
    <x v="3"/>
    <n v="3667386"/>
    <x v="1"/>
    <x v="1"/>
    <s v="CONGO"/>
    <s v="RALFF-CO5097"/>
    <s v="1.1.2.1"/>
    <m/>
  </r>
  <r>
    <d v="2023-09-29T00:00:00"/>
    <s v="Paiement salaire mois de Septembre 2023/ Crépin IBOUILI IBOUILI/ CH N°3667389"/>
    <x v="4"/>
    <s v="Legal"/>
    <m/>
    <n v="359500"/>
    <n v="8935773"/>
    <x v="3"/>
    <n v="3667389"/>
    <x v="1"/>
    <x v="1"/>
    <s v="CONGO"/>
    <s v="RALFF-CO5098"/>
    <s v="1.1.1.7"/>
    <m/>
  </r>
  <r>
    <d v="2023-09-29T00:00:00"/>
    <s v="Paiement salaire mois de Septembre 2023/MFOULOU Hurielle Gemmy/ CH N°3667390"/>
    <x v="4"/>
    <s v="Legal"/>
    <m/>
    <n v="200000"/>
    <n v="8735773"/>
    <x v="3"/>
    <n v="3667390"/>
    <x v="1"/>
    <x v="1"/>
    <s v="CONGO"/>
    <s v="RALFF-CO5099"/>
    <s v="1.1.1.7"/>
    <m/>
  </r>
  <r>
    <d v="2023-09-29T00:00:00"/>
    <s v="Paiement salaire mois de Septembre 2023/PINDI BINGA Donald-Romé/ CH N°3667391"/>
    <x v="4"/>
    <s v="Legal"/>
    <m/>
    <n v="200000"/>
    <n v="8535773"/>
    <x v="3"/>
    <n v="3667391"/>
    <x v="1"/>
    <x v="1"/>
    <s v="CONGO"/>
    <s v="RALFF-CO5100"/>
    <s v="1.1.1.7"/>
    <m/>
  </r>
  <r>
    <d v="2023-09-29T00:00:00"/>
    <s v="Paiement salaire mois de Septembre 2023/TALOULOU Oracle Ineffable/ CH N°3667394"/>
    <x v="4"/>
    <s v="Legal"/>
    <m/>
    <n v="200000"/>
    <n v="8335773"/>
    <x v="3"/>
    <n v="3667394"/>
    <x v="1"/>
    <x v="1"/>
    <s v="CONGO"/>
    <s v="RALFF-CO5101"/>
    <s v="1.1.1.7"/>
    <m/>
  </r>
  <r>
    <d v="2023-09-29T00:00:00"/>
    <s v="Paiement salaire mois de Septembre 2023/MAHANGA Merveille/ CH N°3667396"/>
    <x v="4"/>
    <s v="Office"/>
    <m/>
    <n v="300000"/>
    <n v="8035773"/>
    <x v="3"/>
    <n v="3667396"/>
    <x v="1"/>
    <x v="1"/>
    <s v="CONGO"/>
    <s v="RALFF-CO5102"/>
    <s v="1.1.2.1"/>
    <m/>
  </r>
  <r>
    <d v="2023-09-29T00:00:00"/>
    <s v="Paiement salaire mois de Septembre 2023/ Evariste LELOUSSI/ CH N°3667397"/>
    <x v="4"/>
    <s v="Media"/>
    <m/>
    <n v="235600"/>
    <n v="7800173"/>
    <x v="3"/>
    <n v="3667397"/>
    <x v="1"/>
    <x v="1"/>
    <s v="CONGO"/>
    <s v="RALFF-CO5103"/>
    <s v="1.1.1.4"/>
    <m/>
  </r>
  <r>
    <d v="2023-09-29T00:00:00"/>
    <s v="Paiement salaire mois de Septembre 2023/ DOVI ZENNAWOE Homéfa/ CH N°3667398"/>
    <x v="4"/>
    <s v="Management"/>
    <m/>
    <n v="918340"/>
    <n v="6881833"/>
    <x v="3"/>
    <n v="3667398"/>
    <x v="1"/>
    <x v="1"/>
    <s v="CONGO"/>
    <s v="RALFF-CO5104"/>
    <s v="1.1.1.1"/>
    <m/>
  </r>
  <r>
    <d v="2023-09-29T00:00:00"/>
    <s v="Reglement Honoraire du mois de Septembre 2023/T73/ch:3667399"/>
    <x v="4"/>
    <s v="Investisgations"/>
    <m/>
    <n v="465000"/>
    <n v="6416833"/>
    <x v="3"/>
    <n v="3667399"/>
    <x v="1"/>
    <x v="1"/>
    <s v="CONGO"/>
    <s v="RALFF-CO5105"/>
    <s v="1.1.1.9"/>
    <m/>
  </r>
  <r>
    <d v="2023-09-29T00:00:00"/>
    <s v="Reglement loyer mois de de Septembre 2023/Pluriel solution ch N°36673401"/>
    <x v="10"/>
    <s v="Office"/>
    <m/>
    <n v="500000"/>
    <n v="5916833"/>
    <x v="3"/>
    <n v="3667401"/>
    <x v="1"/>
    <x v="1"/>
    <s v="CONGO"/>
    <s v="RALFF-CO5106"/>
    <s v="4.2"/>
    <m/>
  </r>
  <r>
    <d v="2023-09-29T00:00:00"/>
    <s v="Cumul frais de transport du local mois de Septembre 2023/ Grace MOLENDE"/>
    <x v="7"/>
    <s v="Management"/>
    <m/>
    <n v="44500"/>
    <n v="5872333"/>
    <x v="14"/>
    <s v="Décharge"/>
    <x v="1"/>
    <x v="1"/>
    <s v="CONGO"/>
    <s v="RALFF-CO5107"/>
    <s v="2.2"/>
    <m/>
  </r>
  <r>
    <d v="2023-09-29T00:00:00"/>
    <s v="CREPIN IBOUILI - CONGO du 16 au 29/09/2023 à Owando/(13 Nuitées)"/>
    <x v="5"/>
    <s v="Management"/>
    <m/>
    <n v="195000"/>
    <n v="5677333"/>
    <x v="7"/>
    <s v="OUI"/>
    <x v="1"/>
    <x v="1"/>
    <s v="CONGO"/>
    <s v="RALFF-CO5108"/>
    <s v="1.3.2"/>
    <m/>
  </r>
  <r>
    <d v="2023-09-29T00:00:00"/>
    <s v="Billet: Owando-Brazzaville/Crepin"/>
    <x v="7"/>
    <s v="Management"/>
    <m/>
    <n v="8000"/>
    <n v="5669333"/>
    <x v="7"/>
    <s v="OUI"/>
    <x v="1"/>
    <x v="1"/>
    <s v="CONGO"/>
    <s v="RALFF-CO5109"/>
    <s v="2.2"/>
    <m/>
  </r>
  <r>
    <d v="2023-09-29T00:00:00"/>
    <s v="Cumul frais de transport Local du Mois de Septembre 2023/Crepin"/>
    <x v="7"/>
    <s v="Management"/>
    <m/>
    <n v="46000"/>
    <n v="5623333"/>
    <x v="7"/>
    <s v="Décharge"/>
    <x v="1"/>
    <x v="1"/>
    <s v="CONGO"/>
    <s v="RALFF-CO5110"/>
    <s v="2.2"/>
    <m/>
  </r>
  <r>
    <d v="2023-09-29T00:00:00"/>
    <s v="DONALD-ROMEO CONGO Frais d'hôtel du 11 au 29/09/2023 à Owando( 18 Nuitées)"/>
    <x v="5"/>
    <s v="Legal"/>
    <m/>
    <n v="270000"/>
    <n v="5353333"/>
    <x v="8"/>
    <s v="OUI"/>
    <x v="4"/>
    <x v="1"/>
    <s v="CONGO"/>
    <s v="RALFF-CO5111"/>
    <s v="1.3.2"/>
    <m/>
  </r>
  <r>
    <d v="2023-09-29T00:00:00"/>
    <s v="Achat billet Owando- Brazzaville/Donald-Roméo"/>
    <x v="13"/>
    <s v="Legal"/>
    <m/>
    <n v="8000"/>
    <n v="5345333"/>
    <x v="8"/>
    <s v="OUI"/>
    <x v="1"/>
    <x v="1"/>
    <s v="CONGO"/>
    <s v="RALFF-CO5112"/>
    <s v="2.2"/>
    <m/>
  </r>
  <r>
    <d v="2023-09-29T00:00:00"/>
    <s v="Reglement Honoraire du mois de Septembre 2023/P29/ch:36673400"/>
    <x v="4"/>
    <s v="Investisgations"/>
    <m/>
    <n v="360000"/>
    <n v="4985333"/>
    <x v="3"/>
    <n v="3667400"/>
    <x v="1"/>
    <x v="1"/>
    <s v="CONGO"/>
    <s v="RALFF-CO5113"/>
    <s v="1.1.1.9"/>
    <m/>
  </r>
  <r>
    <d v="2023-09-29T00:00:00"/>
    <s v="Achat billet Brazzaville  - Pointe Noire/Hurielle"/>
    <x v="7"/>
    <s v="Legal"/>
    <m/>
    <n v="15000"/>
    <n v="4970333"/>
    <x v="10"/>
    <s v="OUI"/>
    <x v="1"/>
    <x v="1"/>
    <s v="CONGO"/>
    <s v="RALFF-CO5114"/>
    <s v="2.2"/>
    <m/>
  </r>
  <r>
    <d v="2023-09-29T00:00:00"/>
    <s v="Cumul frais de transport local du mois de Septembre 2023/Hurielle"/>
    <x v="7"/>
    <s v="Legal"/>
    <m/>
    <n v="52800"/>
    <n v="4917533"/>
    <x v="10"/>
    <s v="Décharge"/>
    <x v="1"/>
    <x v="1"/>
    <s v="CONGO"/>
    <s v="RALFF-CO5115"/>
    <s v="2.2"/>
    <m/>
  </r>
  <r>
    <d v="2023-09-29T00:00:00"/>
    <s v="Cumul frais de transport local du mois de Septembre 2023/Merveille"/>
    <x v="7"/>
    <s v="Office"/>
    <m/>
    <n v="41100"/>
    <n v="4876433"/>
    <x v="11"/>
    <s v="Décharge"/>
    <x v="1"/>
    <x v="1"/>
    <s v="CONGO"/>
    <s v="RALFF-CO5116"/>
    <s v="2.2"/>
    <m/>
  </r>
  <r>
    <d v="2023-09-29T00:00:00"/>
    <s v="Cumul frais de ration du mois de Septembre 2023/IT87"/>
    <x v="5"/>
    <s v="Investisgations"/>
    <m/>
    <n v="8000"/>
    <n v="4868433"/>
    <x v="2"/>
    <s v="Décharge"/>
    <x v="4"/>
    <x v="2"/>
    <s v="CONGO"/>
    <m/>
    <m/>
    <m/>
  </r>
  <r>
    <d v="2023-09-29T00:00:00"/>
    <s v="Cumul frais de transport local mois de Septembre 2023/IT87"/>
    <x v="7"/>
    <s v="Investisgations"/>
    <m/>
    <n v="77600"/>
    <n v="4790833"/>
    <x v="2"/>
    <s v="Décharge"/>
    <x v="4"/>
    <x v="2"/>
    <s v="CONGO"/>
    <m/>
    <m/>
    <m/>
  </r>
  <r>
    <d v="2023-09-29T00:00:00"/>
    <s v="Cumul frais de jails visits du mois de Septembre 2023/Oracle "/>
    <x v="14"/>
    <s v="Legal"/>
    <m/>
    <n v="7000"/>
    <n v="4783833"/>
    <x v="12"/>
    <s v="Décharge"/>
    <x v="4"/>
    <x v="2"/>
    <s v="CONGO"/>
    <m/>
    <m/>
    <m/>
  </r>
  <r>
    <d v="2023-09-29T00:00:00"/>
    <s v="Hurielle"/>
    <x v="1"/>
    <m/>
    <m/>
    <n v="36000"/>
    <n v="4747833"/>
    <x v="1"/>
    <m/>
    <x v="0"/>
    <x v="0"/>
    <m/>
    <m/>
    <m/>
    <m/>
  </r>
  <r>
    <d v="2023-09-29T00:00:00"/>
    <s v="Grace /Retour Caisse_Solde Compta"/>
    <x v="1"/>
    <m/>
    <n v="91650"/>
    <m/>
    <n v="4839483"/>
    <x v="1"/>
    <m/>
    <x v="0"/>
    <x v="0"/>
    <m/>
    <m/>
    <m/>
    <m/>
  </r>
  <r>
    <d v="2023-09-29T00:00:00"/>
    <s v="Retour caisse/ solde compta /Grace MOLENDE"/>
    <x v="1"/>
    <m/>
    <m/>
    <n v="91650"/>
    <n v="4747833"/>
    <x v="14"/>
    <m/>
    <x v="0"/>
    <x v="0"/>
    <m/>
    <m/>
    <m/>
    <m/>
  </r>
  <r>
    <d v="2023-09-29T00:00:00"/>
    <s v="Reçu caisse/Hurielle"/>
    <x v="1"/>
    <m/>
    <n v="36000"/>
    <m/>
    <n v="4783833"/>
    <x v="10"/>
    <m/>
    <x v="0"/>
    <x v="0"/>
    <m/>
    <m/>
    <m/>
    <m/>
  </r>
  <r>
    <d v="2023-09-30T00:00:00"/>
    <s v="Cumul frais de transport local du mois de Septembre 2023/Donald-Roméo"/>
    <x v="13"/>
    <s v="Legal"/>
    <m/>
    <n v="83000"/>
    <n v="4700833"/>
    <x v="8"/>
    <s v="Décharge"/>
    <x v="1"/>
    <x v="1"/>
    <s v="CONGO"/>
    <s v="RALFF-CO5117"/>
    <s v="2.2"/>
    <m/>
  </r>
  <r>
    <d v="2023-09-30T00:00:00"/>
    <s v="ORACLE- TALOULOU - CONGO Frais d'hôtel du  28 au 30 Septembre 2023 à Sibiti/(02 nuitées)"/>
    <x v="5"/>
    <s v="Legal"/>
    <m/>
    <n v="30000"/>
    <n v="4670833"/>
    <x v="12"/>
    <s v="OUI"/>
    <x v="4"/>
    <x v="1"/>
    <s v="CONGO"/>
    <s v="RALFF-CO5118"/>
    <s v="1.3.2"/>
    <m/>
  </r>
  <r>
    <d v="2023-09-30T00:00:00"/>
    <s v="Billet Sibiti - Loudima/Oracle"/>
    <x v="7"/>
    <s v="Legal"/>
    <m/>
    <n v="3500"/>
    <n v="4667333"/>
    <x v="12"/>
    <s v="OUI"/>
    <x v="4"/>
    <x v="1"/>
    <s v="CONGO"/>
    <s v="RALFF-CO5119"/>
    <s v="2.2"/>
    <m/>
  </r>
  <r>
    <d v="2023-09-30T00:00:00"/>
    <s v="Achat billet Loudima - Brazzaville/Oracle"/>
    <x v="7"/>
    <s v="Legal"/>
    <m/>
    <n v="8000"/>
    <n v="4659333"/>
    <x v="12"/>
    <s v="OUI"/>
    <x v="4"/>
    <x v="1"/>
    <s v="CONGO"/>
    <s v="RALFF-CO5120"/>
    <s v="2.2"/>
    <m/>
  </r>
  <r>
    <d v="2023-09-30T00:00:00"/>
    <s v="Cumul frais de transport local mois de Septembre 2023/Oracle TALOULOU"/>
    <x v="7"/>
    <s v="Legal"/>
    <m/>
    <n v="34100"/>
    <n v="4625233"/>
    <x v="12"/>
    <s v="Décharge"/>
    <x v="4"/>
    <x v="1"/>
    <s v="CONGO"/>
    <s v="RALFF-CO5121"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6">
        <item x="3"/>
        <item x="1"/>
        <item x="4"/>
        <item h="1" x="0"/>
        <item h="1" x="2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Spent" fld="5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13:F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6">
        <item x="3"/>
        <item x="1"/>
        <item x="4"/>
        <item x="0"/>
        <item x="2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5">
    <i>
      <x/>
    </i>
    <i>
      <x v="1"/>
    </i>
    <i>
      <x v="2"/>
    </i>
    <i>
      <x v="4"/>
    </i>
    <i t="grand">
      <x/>
    </i>
  </colItems>
  <dataFields count="1">
    <dataField name="Somme de Spent" fld="5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AM20" firstHeaderRow="1" firstDataRow="3" firstDataCol="1"/>
  <pivotFields count="15">
    <pivotField showAll="0"/>
    <pivotField showAll="0"/>
    <pivotField axis="axisCol" showAll="0">
      <items count="20">
        <item x="3"/>
        <item x="6"/>
        <item x="18"/>
        <item x="14"/>
        <item x="11"/>
        <item x="9"/>
        <item x="4"/>
        <item x="17"/>
        <item x="10"/>
        <item x="16"/>
        <item x="12"/>
        <item x="2"/>
        <item x="8"/>
        <item x="7"/>
        <item x="13"/>
        <item x="5"/>
        <item x="15"/>
        <item x="1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6">
        <item x="13"/>
        <item x="3"/>
        <item x="1"/>
        <item x="7"/>
        <item x="8"/>
        <item x="4"/>
        <item x="9"/>
        <item x="14"/>
        <item x="10"/>
        <item x="2"/>
        <item x="11"/>
        <item x="12"/>
        <item x="5"/>
        <item x="6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Spent" fld="5" baseField="7" baseItem="0"/>
    <dataField name="Somme de Received" fld="4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8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6">
        <item x="2"/>
        <item x="3"/>
        <item x="1"/>
        <item x="4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pent" fld="5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3:F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6">
        <item x="2"/>
        <item x="3"/>
        <item x="1"/>
        <item x="4"/>
        <item x="0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Sum of Spent" fld="5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G8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6">
        <item x="2"/>
        <item x="3"/>
        <item x="1"/>
        <item x="4"/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pent" fld="5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U1515"/>
  <sheetViews>
    <sheetView zoomScale="73" zoomScaleNormal="73" workbookViewId="0">
      <pane xSplit="1" topLeftCell="B1" activePane="topRight" state="frozen"/>
      <selection pane="topRight" activeCell="G22" sqref="G22"/>
    </sheetView>
  </sheetViews>
  <sheetFormatPr baseColWidth="10" defaultColWidth="11.42578125" defaultRowHeight="15"/>
  <cols>
    <col min="1" max="1" width="46.140625" style="5" customWidth="1"/>
    <col min="2" max="2" width="25.85546875" style="5" customWidth="1"/>
    <col min="3" max="3" width="28.140625" style="5" customWidth="1"/>
    <col min="4" max="4" width="29.42578125" style="5" customWidth="1"/>
    <col min="5" max="5" width="19.5703125" style="5" customWidth="1"/>
    <col min="6" max="6" width="21" style="5" customWidth="1"/>
    <col min="7" max="7" width="36.140625" style="5" customWidth="1"/>
    <col min="8" max="8" width="20.5703125" style="5" customWidth="1"/>
    <col min="9" max="9" width="19.85546875" style="5" customWidth="1"/>
    <col min="10" max="10" width="22" style="5" customWidth="1"/>
    <col min="11" max="11" width="18.85546875" style="5" customWidth="1"/>
    <col min="12" max="12" width="16" style="46" customWidth="1"/>
    <col min="13" max="13" width="18.85546875" style="46" customWidth="1"/>
    <col min="14" max="14" width="14.140625" style="46" customWidth="1"/>
    <col min="15" max="15" width="14.85546875" style="46" customWidth="1"/>
    <col min="16" max="16" width="11.42578125" style="5"/>
    <col min="17" max="17" width="2.85546875" style="5" customWidth="1"/>
    <col min="18" max="16384" width="11.42578125" style="5"/>
  </cols>
  <sheetData>
    <row r="2" spans="1:21" ht="15.75">
      <c r="A2" s="6" t="s">
        <v>36</v>
      </c>
      <c r="B2" s="6" t="s">
        <v>1</v>
      </c>
      <c r="C2" s="6">
        <v>45170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45199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21" ht="16.5">
      <c r="A3" s="58" t="str">
        <f>K3</f>
        <v>BCI</v>
      </c>
      <c r="B3" s="59" t="s">
        <v>46</v>
      </c>
      <c r="C3" s="61">
        <v>7301705</v>
      </c>
      <c r="D3" s="61">
        <f>+L3</f>
        <v>0</v>
      </c>
      <c r="E3" s="61">
        <f>+N3</f>
        <v>173345</v>
      </c>
      <c r="F3" s="61">
        <f>+M3</f>
        <v>6000000</v>
      </c>
      <c r="G3" s="61">
        <f t="shared" ref="G3:G18" si="0">+O3</f>
        <v>0</v>
      </c>
      <c r="H3" s="61">
        <v>1128360</v>
      </c>
      <c r="I3" s="61">
        <f>+C3+D3-E3-F3+G3</f>
        <v>1128360</v>
      </c>
      <c r="J3" s="9">
        <f>I3-H3</f>
        <v>0</v>
      </c>
      <c r="K3" s="45" t="s">
        <v>24</v>
      </c>
      <c r="L3" s="181">
        <v>0</v>
      </c>
      <c r="M3" s="181">
        <v>6000000</v>
      </c>
      <c r="N3" s="181">
        <v>173345</v>
      </c>
      <c r="O3" s="181">
        <v>0</v>
      </c>
      <c r="R3"/>
      <c r="S3"/>
      <c r="T3"/>
      <c r="U3"/>
    </row>
    <row r="4" spans="1:21" ht="16.5">
      <c r="A4" s="58" t="str">
        <f t="shared" ref="A4:A18" si="1">K4</f>
        <v>BCI-Sous Compte</v>
      </c>
      <c r="B4" s="59" t="s">
        <v>46</v>
      </c>
      <c r="C4" s="61">
        <v>9607481</v>
      </c>
      <c r="D4" s="61">
        <f>+L4</f>
        <v>0</v>
      </c>
      <c r="E4" s="61">
        <f t="shared" ref="E4:E9" si="2">+N4</f>
        <v>5447141</v>
      </c>
      <c r="F4" s="61">
        <f t="shared" ref="F4:F11" si="3">+M4</f>
        <v>2000000</v>
      </c>
      <c r="G4" s="61">
        <f t="shared" si="0"/>
        <v>0</v>
      </c>
      <c r="H4" s="61">
        <v>2160340</v>
      </c>
      <c r="I4" s="61">
        <f t="shared" ref="I4:I9" si="4">+C4+D4-E4-F4+G4</f>
        <v>2160340</v>
      </c>
      <c r="J4" s="9">
        <f t="shared" ref="J4:J6" si="5">I4-H4</f>
        <v>0</v>
      </c>
      <c r="K4" s="45" t="s">
        <v>148</v>
      </c>
      <c r="L4" s="181">
        <v>0</v>
      </c>
      <c r="M4" s="181">
        <v>2000000</v>
      </c>
      <c r="N4" s="181">
        <v>5447141</v>
      </c>
      <c r="O4" s="181">
        <v>0</v>
      </c>
      <c r="R4"/>
      <c r="S4"/>
      <c r="T4"/>
      <c r="U4"/>
    </row>
    <row r="5" spans="1:21" ht="16.5">
      <c r="A5" s="58" t="str">
        <f t="shared" si="1"/>
        <v>Caisse</v>
      </c>
      <c r="B5" s="59" t="s">
        <v>25</v>
      </c>
      <c r="C5" s="61">
        <v>376082</v>
      </c>
      <c r="D5" s="61">
        <f t="shared" ref="D5:D18" si="6">+L5</f>
        <v>8502900</v>
      </c>
      <c r="E5" s="61">
        <f t="shared" si="2"/>
        <v>2813207</v>
      </c>
      <c r="F5" s="61">
        <f t="shared" si="3"/>
        <v>5730800</v>
      </c>
      <c r="G5" s="61">
        <f t="shared" si="0"/>
        <v>0</v>
      </c>
      <c r="H5" s="61">
        <v>334975</v>
      </c>
      <c r="I5" s="61">
        <f t="shared" si="4"/>
        <v>334975</v>
      </c>
      <c r="J5" s="9">
        <f t="shared" si="5"/>
        <v>0</v>
      </c>
      <c r="K5" s="45" t="s">
        <v>25</v>
      </c>
      <c r="L5" s="181">
        <v>8502900</v>
      </c>
      <c r="M5" s="181">
        <v>5730800</v>
      </c>
      <c r="N5" s="181">
        <v>2813207</v>
      </c>
      <c r="O5" s="181">
        <v>0</v>
      </c>
      <c r="R5"/>
      <c r="S5"/>
      <c r="T5"/>
      <c r="U5"/>
    </row>
    <row r="6" spans="1:21" ht="16.5">
      <c r="A6" s="58" t="str">
        <f t="shared" si="1"/>
        <v>Crépin</v>
      </c>
      <c r="B6" s="59" t="s">
        <v>2</v>
      </c>
      <c r="C6" s="61">
        <v>483120</v>
      </c>
      <c r="D6" s="61">
        <f t="shared" si="6"/>
        <v>1652000</v>
      </c>
      <c r="E6" s="61">
        <f t="shared" si="2"/>
        <v>1631750</v>
      </c>
      <c r="F6" s="61">
        <f t="shared" si="3"/>
        <v>280000</v>
      </c>
      <c r="G6" s="61">
        <f t="shared" si="0"/>
        <v>0</v>
      </c>
      <c r="H6" s="61">
        <v>223370</v>
      </c>
      <c r="I6" s="61">
        <f t="shared" si="4"/>
        <v>223370</v>
      </c>
      <c r="J6" s="9">
        <f t="shared" si="5"/>
        <v>0</v>
      </c>
      <c r="K6" s="45" t="s">
        <v>47</v>
      </c>
      <c r="L6" s="181">
        <v>1652000</v>
      </c>
      <c r="M6" s="181">
        <v>280000</v>
      </c>
      <c r="N6" s="181">
        <v>1631750</v>
      </c>
      <c r="O6" s="181">
        <v>0</v>
      </c>
      <c r="R6"/>
      <c r="S6"/>
      <c r="T6"/>
      <c r="U6"/>
    </row>
    <row r="7" spans="1:21" ht="16.5">
      <c r="A7" s="58" t="str">
        <f t="shared" si="1"/>
        <v>Donald-Roméo</v>
      </c>
      <c r="B7" s="59" t="s">
        <v>154</v>
      </c>
      <c r="C7" s="61">
        <v>88855</v>
      </c>
      <c r="D7" s="61">
        <f t="shared" si="6"/>
        <v>719800</v>
      </c>
      <c r="E7" s="61">
        <f t="shared" si="2"/>
        <v>807050</v>
      </c>
      <c r="F7" s="61">
        <f t="shared" si="3"/>
        <v>0</v>
      </c>
      <c r="G7" s="61">
        <f t="shared" si="0"/>
        <v>0</v>
      </c>
      <c r="H7" s="61">
        <v>1605</v>
      </c>
      <c r="I7" s="61">
        <f t="shared" si="4"/>
        <v>1605</v>
      </c>
      <c r="J7" s="9">
        <f t="shared" ref="J7:J18" si="7">I7-H7</f>
        <v>0</v>
      </c>
      <c r="K7" s="45" t="s">
        <v>299</v>
      </c>
      <c r="L7" s="181">
        <v>719800</v>
      </c>
      <c r="M7" s="181">
        <v>0</v>
      </c>
      <c r="N7" s="181">
        <v>807050</v>
      </c>
      <c r="O7" s="181">
        <v>0</v>
      </c>
      <c r="R7"/>
      <c r="S7"/>
      <c r="T7"/>
      <c r="U7"/>
    </row>
    <row r="8" spans="1:21" ht="16.5">
      <c r="A8" s="58" t="str">
        <f t="shared" si="1"/>
        <v>Dovi</v>
      </c>
      <c r="B8" s="59" t="s">
        <v>2</v>
      </c>
      <c r="C8" s="61">
        <v>415000</v>
      </c>
      <c r="D8" s="61">
        <f t="shared" si="6"/>
        <v>520000</v>
      </c>
      <c r="E8" s="61">
        <f t="shared" si="2"/>
        <v>247750</v>
      </c>
      <c r="F8" s="61">
        <f t="shared" si="3"/>
        <v>629250</v>
      </c>
      <c r="G8" s="61">
        <f t="shared" si="0"/>
        <v>0</v>
      </c>
      <c r="H8" s="61">
        <v>58000</v>
      </c>
      <c r="I8" s="61">
        <f t="shared" si="4"/>
        <v>58000</v>
      </c>
      <c r="J8" s="9">
        <f t="shared" si="7"/>
        <v>0</v>
      </c>
      <c r="K8" s="45" t="s">
        <v>307</v>
      </c>
      <c r="L8" s="181">
        <v>520000</v>
      </c>
      <c r="M8" s="181">
        <v>629250</v>
      </c>
      <c r="N8" s="181">
        <v>247750</v>
      </c>
      <c r="O8" s="181">
        <v>0</v>
      </c>
    </row>
    <row r="9" spans="1:21" ht="16.5">
      <c r="A9" s="58" t="str">
        <f t="shared" si="1"/>
        <v>Evariste</v>
      </c>
      <c r="B9" s="59" t="s">
        <v>155</v>
      </c>
      <c r="C9" s="61">
        <v>75975</v>
      </c>
      <c r="D9" s="61">
        <f t="shared" si="6"/>
        <v>562000</v>
      </c>
      <c r="E9" s="61">
        <f t="shared" si="2"/>
        <v>635500</v>
      </c>
      <c r="F9" s="61">
        <f t="shared" si="3"/>
        <v>0</v>
      </c>
      <c r="G9" s="61">
        <f t="shared" si="0"/>
        <v>0</v>
      </c>
      <c r="H9" s="61">
        <v>2475</v>
      </c>
      <c r="I9" s="61">
        <f t="shared" si="4"/>
        <v>2475</v>
      </c>
      <c r="J9" s="9">
        <f t="shared" si="7"/>
        <v>0</v>
      </c>
      <c r="K9" s="45" t="s">
        <v>31</v>
      </c>
      <c r="L9" s="181">
        <v>562000</v>
      </c>
      <c r="M9" s="181">
        <v>0</v>
      </c>
      <c r="N9" s="181">
        <v>635500</v>
      </c>
      <c r="O9" s="181">
        <v>0</v>
      </c>
      <c r="R9"/>
      <c r="S9"/>
      <c r="T9"/>
      <c r="U9"/>
    </row>
    <row r="10" spans="1:21" ht="16.5">
      <c r="A10" s="58" t="str">
        <f t="shared" si="1"/>
        <v>I55S</v>
      </c>
      <c r="B10" s="116" t="s">
        <v>4</v>
      </c>
      <c r="C10" s="118">
        <v>233614</v>
      </c>
      <c r="D10" s="118">
        <f t="shared" si="6"/>
        <v>0</v>
      </c>
      <c r="E10" s="118">
        <f>+N10</f>
        <v>0</v>
      </c>
      <c r="F10" s="118">
        <f t="shared" si="3"/>
        <v>0</v>
      </c>
      <c r="G10" s="118">
        <f t="shared" si="0"/>
        <v>0</v>
      </c>
      <c r="H10" s="118">
        <v>233614</v>
      </c>
      <c r="I10" s="118">
        <f>+C10+D10-E10-F10+G10</f>
        <v>233614</v>
      </c>
      <c r="J10" s="9">
        <f t="shared" si="7"/>
        <v>0</v>
      </c>
      <c r="K10" s="45" t="s">
        <v>84</v>
      </c>
      <c r="L10" s="181">
        <v>0</v>
      </c>
      <c r="M10" s="181">
        <v>0</v>
      </c>
      <c r="N10" s="181">
        <v>0</v>
      </c>
      <c r="O10" s="181">
        <v>0</v>
      </c>
      <c r="R10"/>
      <c r="S10"/>
      <c r="T10"/>
      <c r="U10"/>
    </row>
    <row r="11" spans="1:21" ht="16.5">
      <c r="A11" s="58" t="str">
        <f t="shared" si="1"/>
        <v>I73X</v>
      </c>
      <c r="B11" s="116" t="s">
        <v>4</v>
      </c>
      <c r="C11" s="118">
        <v>249769</v>
      </c>
      <c r="D11" s="118">
        <f t="shared" si="6"/>
        <v>0</v>
      </c>
      <c r="E11" s="118">
        <f>+N11</f>
        <v>0</v>
      </c>
      <c r="F11" s="118">
        <f t="shared" si="3"/>
        <v>0</v>
      </c>
      <c r="G11" s="118">
        <f t="shared" si="0"/>
        <v>0</v>
      </c>
      <c r="H11" s="118">
        <v>249769</v>
      </c>
      <c r="I11" s="118">
        <f t="shared" ref="I11:I18" si="8">+C11+D11-E11-F11+G11</f>
        <v>249769</v>
      </c>
      <c r="J11" s="9">
        <f t="shared" si="7"/>
        <v>0</v>
      </c>
      <c r="K11" s="45" t="s">
        <v>83</v>
      </c>
      <c r="L11" s="181">
        <v>0</v>
      </c>
      <c r="M11" s="181">
        <v>0</v>
      </c>
      <c r="N11" s="181">
        <v>0</v>
      </c>
      <c r="O11" s="181">
        <v>0</v>
      </c>
      <c r="R11"/>
      <c r="S11"/>
      <c r="T11"/>
      <c r="U11"/>
    </row>
    <row r="12" spans="1:21" s="188" customFormat="1" ht="16.5">
      <c r="A12" s="58" t="str">
        <f t="shared" si="1"/>
        <v>Grace</v>
      </c>
      <c r="B12" s="59" t="s">
        <v>2</v>
      </c>
      <c r="C12" s="184">
        <v>136150</v>
      </c>
      <c r="D12" s="61">
        <f t="shared" si="6"/>
        <v>0</v>
      </c>
      <c r="E12" s="61">
        <f t="shared" ref="E12:E18" si="9">+N12</f>
        <v>44500</v>
      </c>
      <c r="F12" s="61">
        <f>+M12</f>
        <v>91650</v>
      </c>
      <c r="G12" s="61">
        <f t="shared" si="0"/>
        <v>0</v>
      </c>
      <c r="H12" s="184">
        <v>0</v>
      </c>
      <c r="I12" s="184">
        <f t="shared" si="8"/>
        <v>0</v>
      </c>
      <c r="J12" s="9">
        <f t="shared" si="7"/>
        <v>0</v>
      </c>
      <c r="K12" s="186" t="s">
        <v>143</v>
      </c>
      <c r="L12" s="181">
        <v>0</v>
      </c>
      <c r="M12" s="181">
        <v>91650</v>
      </c>
      <c r="N12" s="181">
        <v>44500</v>
      </c>
      <c r="O12" s="181">
        <v>0</v>
      </c>
      <c r="R12"/>
      <c r="S12"/>
      <c r="T12"/>
      <c r="U12"/>
    </row>
    <row r="13" spans="1:21" ht="16.5">
      <c r="A13" s="58" t="str">
        <f t="shared" si="1"/>
        <v>Hurielle</v>
      </c>
      <c r="B13" s="98" t="s">
        <v>154</v>
      </c>
      <c r="C13" s="61">
        <v>114500</v>
      </c>
      <c r="D13" s="61">
        <f t="shared" si="6"/>
        <v>298000</v>
      </c>
      <c r="E13" s="61">
        <f t="shared" si="9"/>
        <v>365800</v>
      </c>
      <c r="F13" s="61">
        <f t="shared" ref="F13:F18" si="10">+M13</f>
        <v>20000</v>
      </c>
      <c r="G13" s="61">
        <f t="shared" si="0"/>
        <v>0</v>
      </c>
      <c r="H13" s="184">
        <v>26700</v>
      </c>
      <c r="I13" s="184">
        <f t="shared" si="8"/>
        <v>26700</v>
      </c>
      <c r="J13" s="9">
        <f t="shared" si="7"/>
        <v>0</v>
      </c>
      <c r="K13" s="45" t="s">
        <v>197</v>
      </c>
      <c r="L13" s="181">
        <v>298000</v>
      </c>
      <c r="M13" s="181">
        <v>20000</v>
      </c>
      <c r="N13" s="181">
        <v>365800</v>
      </c>
      <c r="O13" s="181">
        <v>0</v>
      </c>
      <c r="R13"/>
      <c r="S13"/>
      <c r="T13"/>
      <c r="U13"/>
    </row>
    <row r="14" spans="1:21" s="188" customFormat="1" ht="16.5">
      <c r="A14" s="58" t="str">
        <f t="shared" si="1"/>
        <v>IT87</v>
      </c>
      <c r="B14" s="59" t="s">
        <v>4</v>
      </c>
      <c r="C14" s="184">
        <v>6000</v>
      </c>
      <c r="D14" s="61">
        <f t="shared" si="6"/>
        <v>564000</v>
      </c>
      <c r="E14" s="61">
        <f t="shared" si="9"/>
        <v>543600</v>
      </c>
      <c r="F14" s="61">
        <f t="shared" si="10"/>
        <v>0</v>
      </c>
      <c r="G14" s="61">
        <f t="shared" si="0"/>
        <v>0</v>
      </c>
      <c r="H14" s="184">
        <v>26400</v>
      </c>
      <c r="I14" s="184">
        <f t="shared" si="8"/>
        <v>26400</v>
      </c>
      <c r="J14" s="9">
        <f t="shared" si="7"/>
        <v>0</v>
      </c>
      <c r="K14" s="186" t="s">
        <v>317</v>
      </c>
      <c r="L14" s="181">
        <v>564000</v>
      </c>
      <c r="M14" s="181">
        <v>0</v>
      </c>
      <c r="N14" s="181">
        <v>543600</v>
      </c>
      <c r="O14" s="181">
        <v>0</v>
      </c>
      <c r="R14"/>
      <c r="S14"/>
      <c r="T14"/>
      <c r="U14"/>
    </row>
    <row r="15" spans="1:21" ht="16.5">
      <c r="A15" s="58" t="str">
        <f t="shared" si="1"/>
        <v>Merveille</v>
      </c>
      <c r="B15" s="98" t="s">
        <v>326</v>
      </c>
      <c r="C15" s="61">
        <v>155600</v>
      </c>
      <c r="D15" s="61">
        <f t="shared" si="6"/>
        <v>270000</v>
      </c>
      <c r="E15" s="61">
        <f t="shared" si="9"/>
        <v>398200</v>
      </c>
      <c r="F15" s="61">
        <f t="shared" si="10"/>
        <v>15000</v>
      </c>
      <c r="G15" s="61">
        <f t="shared" si="0"/>
        <v>0</v>
      </c>
      <c r="H15" s="184">
        <v>12400</v>
      </c>
      <c r="I15" s="184">
        <f t="shared" si="8"/>
        <v>12400</v>
      </c>
      <c r="J15" s="9">
        <f t="shared" si="7"/>
        <v>0</v>
      </c>
      <c r="K15" s="45" t="s">
        <v>93</v>
      </c>
      <c r="L15" s="181">
        <v>270000</v>
      </c>
      <c r="M15" s="181">
        <v>15000</v>
      </c>
      <c r="N15" s="181">
        <v>398200</v>
      </c>
      <c r="O15" s="181">
        <v>0</v>
      </c>
      <c r="R15"/>
      <c r="S15"/>
      <c r="T15"/>
      <c r="U15"/>
    </row>
    <row r="16" spans="1:21" ht="16.5">
      <c r="A16" s="58" t="str">
        <f t="shared" si="1"/>
        <v>Oracle</v>
      </c>
      <c r="B16" s="98" t="s">
        <v>154</v>
      </c>
      <c r="C16" s="61">
        <v>117425</v>
      </c>
      <c r="D16" s="61">
        <f t="shared" si="6"/>
        <v>290000</v>
      </c>
      <c r="E16" s="61">
        <f t="shared" si="9"/>
        <v>353600</v>
      </c>
      <c r="F16" s="61">
        <f t="shared" si="10"/>
        <v>17000</v>
      </c>
      <c r="G16" s="61">
        <f t="shared" si="0"/>
        <v>0</v>
      </c>
      <c r="H16" s="184">
        <v>36825</v>
      </c>
      <c r="I16" s="184">
        <f t="shared" si="8"/>
        <v>36825</v>
      </c>
      <c r="J16" s="9">
        <f t="shared" si="7"/>
        <v>0</v>
      </c>
      <c r="K16" s="45" t="s">
        <v>300</v>
      </c>
      <c r="L16" s="181">
        <v>290000</v>
      </c>
      <c r="M16" s="181">
        <v>17000</v>
      </c>
      <c r="N16" s="181">
        <v>353600</v>
      </c>
      <c r="O16" s="181">
        <v>0</v>
      </c>
      <c r="R16"/>
      <c r="S16"/>
      <c r="T16"/>
      <c r="U16"/>
    </row>
    <row r="17" spans="1:15" ht="16.5">
      <c r="A17" s="58" t="str">
        <f t="shared" si="1"/>
        <v>P29</v>
      </c>
      <c r="B17" s="59" t="s">
        <v>4</v>
      </c>
      <c r="C17" s="61">
        <v>125100</v>
      </c>
      <c r="D17" s="61">
        <f t="shared" si="6"/>
        <v>631000</v>
      </c>
      <c r="E17" s="61">
        <f t="shared" si="9"/>
        <v>669200</v>
      </c>
      <c r="F17" s="61">
        <f t="shared" si="10"/>
        <v>0</v>
      </c>
      <c r="G17" s="61">
        <f t="shared" si="0"/>
        <v>0</v>
      </c>
      <c r="H17" s="184">
        <v>86900</v>
      </c>
      <c r="I17" s="184">
        <f t="shared" si="8"/>
        <v>86900</v>
      </c>
      <c r="J17" s="9">
        <f t="shared" si="7"/>
        <v>0</v>
      </c>
      <c r="K17" s="45" t="s">
        <v>29</v>
      </c>
      <c r="L17" s="181">
        <v>631000</v>
      </c>
      <c r="M17" s="181">
        <v>0</v>
      </c>
      <c r="N17" s="181">
        <v>669200</v>
      </c>
      <c r="O17" s="181">
        <v>0</v>
      </c>
    </row>
    <row r="18" spans="1:15" ht="16.5">
      <c r="A18" s="58" t="str">
        <f t="shared" si="1"/>
        <v>T73</v>
      </c>
      <c r="B18" s="59" t="s">
        <v>4</v>
      </c>
      <c r="C18" s="61">
        <v>59200</v>
      </c>
      <c r="D18" s="61">
        <f t="shared" si="6"/>
        <v>774000</v>
      </c>
      <c r="E18" s="61">
        <f t="shared" si="9"/>
        <v>789700</v>
      </c>
      <c r="F18" s="61">
        <f t="shared" si="10"/>
        <v>0</v>
      </c>
      <c r="G18" s="61">
        <f t="shared" si="0"/>
        <v>0</v>
      </c>
      <c r="H18" s="184">
        <v>43500</v>
      </c>
      <c r="I18" s="184">
        <f t="shared" si="8"/>
        <v>43500</v>
      </c>
      <c r="J18" s="9">
        <f t="shared" si="7"/>
        <v>0</v>
      </c>
      <c r="K18" s="45" t="s">
        <v>268</v>
      </c>
      <c r="L18" s="181">
        <v>774000</v>
      </c>
      <c r="M18" s="181">
        <v>0</v>
      </c>
      <c r="N18" s="181">
        <v>789700</v>
      </c>
      <c r="O18" s="181">
        <v>0</v>
      </c>
    </row>
    <row r="19" spans="1:15" ht="16.5">
      <c r="A19" s="10" t="s">
        <v>50</v>
      </c>
      <c r="B19" s="11"/>
      <c r="C19" s="12">
        <f t="shared" ref="C19:I19" si="11">SUM(C3:C18)</f>
        <v>19545576</v>
      </c>
      <c r="D19" s="57">
        <f t="shared" si="11"/>
        <v>14783700</v>
      </c>
      <c r="E19" s="57">
        <f t="shared" si="11"/>
        <v>14920343</v>
      </c>
      <c r="F19" s="57">
        <f t="shared" si="11"/>
        <v>14783700</v>
      </c>
      <c r="G19" s="57">
        <f t="shared" si="11"/>
        <v>0</v>
      </c>
      <c r="H19" s="57">
        <f t="shared" si="11"/>
        <v>4625233</v>
      </c>
      <c r="I19" s="57">
        <f t="shared" si="11"/>
        <v>4625233</v>
      </c>
      <c r="J19" s="9"/>
      <c r="K19" s="3"/>
      <c r="L19" s="47">
        <f>+SUM(L3:L18)</f>
        <v>14783700</v>
      </c>
      <c r="M19" s="47">
        <f>+SUM(M3:M18)</f>
        <v>14783700</v>
      </c>
      <c r="N19" s="47">
        <f>+SUM(N3:N18)</f>
        <v>14920343</v>
      </c>
      <c r="O19" s="47">
        <f>+SUM(O3:O18)</f>
        <v>0</v>
      </c>
    </row>
    <row r="20" spans="1:15" ht="16.5">
      <c r="A20" s="10"/>
      <c r="B20" s="11"/>
      <c r="C20" s="12"/>
      <c r="D20" s="13"/>
      <c r="E20" s="12"/>
      <c r="F20" s="13"/>
      <c r="G20" s="12"/>
      <c r="H20" s="12"/>
      <c r="I20" s="13" t="b">
        <f>I19=D22</f>
        <v>1</v>
      </c>
      <c r="J20" s="9"/>
      <c r="L20" s="5"/>
      <c r="M20" s="5"/>
      <c r="N20" s="5"/>
      <c r="O20" s="5"/>
    </row>
    <row r="21" spans="1:15" ht="16.5">
      <c r="A21" s="10" t="s">
        <v>354</v>
      </c>
      <c r="B21" s="11" t="s">
        <v>242</v>
      </c>
      <c r="C21" s="12" t="s">
        <v>241</v>
      </c>
      <c r="D21" s="12" t="s">
        <v>355</v>
      </c>
      <c r="E21" s="12" t="s">
        <v>51</v>
      </c>
      <c r="F21" s="12"/>
      <c r="G21" s="12">
        <f>+D19-F19</f>
        <v>0</v>
      </c>
      <c r="H21" s="12"/>
      <c r="I21" s="212"/>
    </row>
    <row r="22" spans="1:15" ht="16.5">
      <c r="A22" s="14">
        <f>C19</f>
        <v>19545576</v>
      </c>
      <c r="B22" s="15">
        <f>G19</f>
        <v>0</v>
      </c>
      <c r="C22" s="12">
        <f>E19</f>
        <v>14920343</v>
      </c>
      <c r="D22" s="12">
        <f>A22+B22-C22</f>
        <v>4625233</v>
      </c>
      <c r="E22" s="13">
        <f>I19-D22</f>
        <v>0</v>
      </c>
      <c r="F22" s="12"/>
      <c r="G22" s="12"/>
      <c r="H22" s="12"/>
      <c r="I22" s="12"/>
    </row>
    <row r="23" spans="1:15" ht="16.5">
      <c r="A23" s="14"/>
      <c r="B23" s="15"/>
      <c r="C23" s="12"/>
      <c r="D23" s="12"/>
      <c r="E23" s="13"/>
      <c r="F23" s="12"/>
      <c r="G23" s="12"/>
      <c r="H23" s="12"/>
      <c r="I23" s="12"/>
    </row>
    <row r="24" spans="1:15">
      <c r="A24" s="16" t="s">
        <v>52</v>
      </c>
      <c r="B24" s="16"/>
      <c r="C24" s="16"/>
      <c r="D24" s="17"/>
      <c r="E24" s="17"/>
      <c r="F24" s="17"/>
      <c r="G24" s="17"/>
      <c r="H24" s="17"/>
      <c r="I24" s="17"/>
    </row>
    <row r="25" spans="1:15">
      <c r="A25" s="18" t="s">
        <v>356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5">
      <c r="A26" s="19"/>
      <c r="B26" s="17"/>
      <c r="C26" s="20"/>
      <c r="D26" s="20"/>
      <c r="E26" s="20"/>
      <c r="F26" s="20"/>
      <c r="G26" s="20"/>
      <c r="H26" s="17"/>
      <c r="I26" s="17"/>
    </row>
    <row r="27" spans="1:15" ht="45" customHeight="1">
      <c r="A27" s="169" t="s">
        <v>53</v>
      </c>
      <c r="B27" s="171" t="s">
        <v>54</v>
      </c>
      <c r="C27" s="173" t="s">
        <v>357</v>
      </c>
      <c r="D27" s="174" t="s">
        <v>55</v>
      </c>
      <c r="E27" s="175"/>
      <c r="F27" s="175"/>
      <c r="G27" s="176"/>
      <c r="H27" s="177" t="s">
        <v>56</v>
      </c>
      <c r="I27" s="165" t="s">
        <v>57</v>
      </c>
      <c r="J27" s="210"/>
    </row>
    <row r="28" spans="1:15" ht="28.5" customHeight="1">
      <c r="A28" s="170"/>
      <c r="B28" s="172"/>
      <c r="C28" s="22"/>
      <c r="D28" s="21" t="s">
        <v>24</v>
      </c>
      <c r="E28" s="21" t="s">
        <v>25</v>
      </c>
      <c r="F28" s="22" t="s">
        <v>123</v>
      </c>
      <c r="G28" s="21" t="s">
        <v>58</v>
      </c>
      <c r="H28" s="178"/>
      <c r="I28" s="166"/>
      <c r="J28" s="168" t="s">
        <v>358</v>
      </c>
      <c r="K28" s="143"/>
    </row>
    <row r="29" spans="1:15">
      <c r="A29" s="23"/>
      <c r="B29" s="24" t="s">
        <v>59</v>
      </c>
      <c r="C29" s="25"/>
      <c r="D29" s="25"/>
      <c r="E29" s="25"/>
      <c r="F29" s="25"/>
      <c r="G29" s="25"/>
      <c r="H29" s="25"/>
      <c r="I29" s="26"/>
      <c r="J29" s="168"/>
      <c r="K29" s="143"/>
    </row>
    <row r="30" spans="1:15">
      <c r="A30" s="122" t="s">
        <v>79</v>
      </c>
      <c r="B30" s="127" t="str">
        <f t="shared" ref="B30:B42" si="12">A6</f>
        <v>Crépin</v>
      </c>
      <c r="C30" s="32">
        <f t="shared" ref="C30:C42" si="13">+C6</f>
        <v>483120</v>
      </c>
      <c r="D30" s="31"/>
      <c r="E30" s="32">
        <f>+D6</f>
        <v>1652000</v>
      </c>
      <c r="F30" s="32"/>
      <c r="G30" s="32"/>
      <c r="H30" s="55">
        <f t="shared" ref="H30:H42" si="14">+F6</f>
        <v>280000</v>
      </c>
      <c r="I30" s="32">
        <f t="shared" ref="I30:I42" si="15">+E6</f>
        <v>1631750</v>
      </c>
      <c r="J30" s="30">
        <f t="shared" ref="J30:J31" si="16">+SUM(C30:G30)-(H30+I30)</f>
        <v>223370</v>
      </c>
      <c r="K30" s="144" t="b">
        <f t="shared" ref="K30:K42" si="17">J30=I6</f>
        <v>1</v>
      </c>
    </row>
    <row r="31" spans="1:15">
      <c r="A31" s="122" t="str">
        <f>+A30</f>
        <v>SEPTEMBRE</v>
      </c>
      <c r="B31" s="127" t="str">
        <f t="shared" si="12"/>
        <v>Donald-Roméo</v>
      </c>
      <c r="C31" s="32">
        <f t="shared" si="13"/>
        <v>88855</v>
      </c>
      <c r="D31" s="31"/>
      <c r="E31" s="32">
        <f t="shared" ref="E31:E33" si="18">+D7</f>
        <v>719800</v>
      </c>
      <c r="F31" s="32"/>
      <c r="G31" s="32"/>
      <c r="H31" s="55">
        <f t="shared" si="14"/>
        <v>0</v>
      </c>
      <c r="I31" s="32">
        <f t="shared" si="15"/>
        <v>807050</v>
      </c>
      <c r="J31" s="30">
        <f t="shared" si="16"/>
        <v>1605</v>
      </c>
      <c r="K31" s="144" t="b">
        <f t="shared" si="17"/>
        <v>1</v>
      </c>
    </row>
    <row r="32" spans="1:15">
      <c r="A32" s="122" t="str">
        <f t="shared" ref="A32:A42" si="19">+A31</f>
        <v>SEPTEMBRE</v>
      </c>
      <c r="B32" s="127" t="str">
        <f t="shared" si="12"/>
        <v>Dovi</v>
      </c>
      <c r="C32" s="32">
        <f t="shared" si="13"/>
        <v>415000</v>
      </c>
      <c r="D32" s="31"/>
      <c r="E32" s="32">
        <f t="shared" si="18"/>
        <v>520000</v>
      </c>
      <c r="F32" s="32"/>
      <c r="G32" s="32"/>
      <c r="H32" s="55">
        <f t="shared" si="14"/>
        <v>629250</v>
      </c>
      <c r="I32" s="32">
        <f t="shared" si="15"/>
        <v>247750</v>
      </c>
      <c r="J32" s="30">
        <f t="shared" ref="J32" si="20">+SUM(C32:G32)-(H32+I32)</f>
        <v>58000</v>
      </c>
      <c r="K32" s="144" t="b">
        <f t="shared" si="17"/>
        <v>1</v>
      </c>
    </row>
    <row r="33" spans="1:11">
      <c r="A33" s="122" t="str">
        <f t="shared" si="19"/>
        <v>SEPTEMBRE</v>
      </c>
      <c r="B33" s="127" t="str">
        <f t="shared" si="12"/>
        <v>Evariste</v>
      </c>
      <c r="C33" s="32">
        <f t="shared" si="13"/>
        <v>75975</v>
      </c>
      <c r="D33" s="31"/>
      <c r="E33" s="32">
        <f t="shared" si="18"/>
        <v>562000</v>
      </c>
      <c r="F33" s="32"/>
      <c r="G33" s="32"/>
      <c r="H33" s="55">
        <f t="shared" si="14"/>
        <v>0</v>
      </c>
      <c r="I33" s="32">
        <f t="shared" si="15"/>
        <v>635500</v>
      </c>
      <c r="J33" s="30">
        <f t="shared" ref="J33" si="21">+SUM(C33:G33)-(H33+I33)</f>
        <v>2475</v>
      </c>
      <c r="K33" s="144" t="b">
        <f t="shared" si="17"/>
        <v>1</v>
      </c>
    </row>
    <row r="34" spans="1:11">
      <c r="A34" s="122" t="str">
        <f t="shared" si="19"/>
        <v>SEPTEMBRE</v>
      </c>
      <c r="B34" s="129" t="str">
        <f t="shared" si="12"/>
        <v>I55S</v>
      </c>
      <c r="C34" s="120">
        <f t="shared" si="13"/>
        <v>233614</v>
      </c>
      <c r="D34" s="123"/>
      <c r="E34" s="120">
        <f>+D10</f>
        <v>0</v>
      </c>
      <c r="F34" s="137"/>
      <c r="G34" s="137"/>
      <c r="H34" s="155">
        <f t="shared" si="14"/>
        <v>0</v>
      </c>
      <c r="I34" s="120">
        <f t="shared" si="15"/>
        <v>0</v>
      </c>
      <c r="J34" s="121">
        <f>+SUM(C34:G34)-(H34+I34)</f>
        <v>233614</v>
      </c>
      <c r="K34" s="144" t="b">
        <f t="shared" si="17"/>
        <v>1</v>
      </c>
    </row>
    <row r="35" spans="1:11">
      <c r="A35" s="122" t="str">
        <f t="shared" si="19"/>
        <v>SEPTEMBRE</v>
      </c>
      <c r="B35" s="129" t="str">
        <f t="shared" si="12"/>
        <v>I73X</v>
      </c>
      <c r="C35" s="120">
        <f t="shared" si="13"/>
        <v>249769</v>
      </c>
      <c r="D35" s="123"/>
      <c r="E35" s="120">
        <f>+D11</f>
        <v>0</v>
      </c>
      <c r="F35" s="137"/>
      <c r="G35" s="137"/>
      <c r="H35" s="155">
        <f t="shared" si="14"/>
        <v>0</v>
      </c>
      <c r="I35" s="120">
        <f t="shared" si="15"/>
        <v>0</v>
      </c>
      <c r="J35" s="121">
        <f t="shared" ref="J35:J42" si="22">+SUM(C35:G35)-(H35+I35)</f>
        <v>249769</v>
      </c>
      <c r="K35" s="144" t="b">
        <f t="shared" si="17"/>
        <v>1</v>
      </c>
    </row>
    <row r="36" spans="1:11">
      <c r="A36" s="122" t="str">
        <f t="shared" si="19"/>
        <v>SEPTEMBRE</v>
      </c>
      <c r="B36" s="127" t="str">
        <f t="shared" si="12"/>
        <v>Grace</v>
      </c>
      <c r="C36" s="32">
        <f t="shared" si="13"/>
        <v>136150</v>
      </c>
      <c r="D36" s="31"/>
      <c r="E36" s="32">
        <f>+D12</f>
        <v>0</v>
      </c>
      <c r="F36" s="32"/>
      <c r="G36" s="104"/>
      <c r="H36" s="55">
        <f t="shared" si="14"/>
        <v>91650</v>
      </c>
      <c r="I36" s="32">
        <f t="shared" si="15"/>
        <v>44500</v>
      </c>
      <c r="J36" s="30">
        <f t="shared" si="22"/>
        <v>0</v>
      </c>
      <c r="K36" s="144" t="b">
        <f t="shared" si="17"/>
        <v>1</v>
      </c>
    </row>
    <row r="37" spans="1:11">
      <c r="A37" s="122" t="str">
        <f t="shared" si="19"/>
        <v>SEPTEMBRE</v>
      </c>
      <c r="B37" s="127" t="str">
        <f t="shared" si="12"/>
        <v>Hurielle</v>
      </c>
      <c r="C37" s="32">
        <f t="shared" si="13"/>
        <v>114500</v>
      </c>
      <c r="D37" s="31"/>
      <c r="E37" s="32">
        <f t="shared" ref="E37:E42" si="23">+D13</f>
        <v>298000</v>
      </c>
      <c r="F37" s="32"/>
      <c r="G37" s="104"/>
      <c r="H37" s="55">
        <f t="shared" si="14"/>
        <v>20000</v>
      </c>
      <c r="I37" s="32">
        <f t="shared" si="15"/>
        <v>365800</v>
      </c>
      <c r="J37" s="30">
        <f t="shared" si="22"/>
        <v>26700</v>
      </c>
      <c r="K37" s="144" t="b">
        <f t="shared" si="17"/>
        <v>1</v>
      </c>
    </row>
    <row r="38" spans="1:11">
      <c r="A38" s="122" t="str">
        <f t="shared" si="19"/>
        <v>SEPTEMBRE</v>
      </c>
      <c r="B38" s="127" t="str">
        <f t="shared" si="12"/>
        <v>IT87</v>
      </c>
      <c r="C38" s="32">
        <f t="shared" si="13"/>
        <v>6000</v>
      </c>
      <c r="D38" s="31"/>
      <c r="E38" s="32">
        <f t="shared" si="23"/>
        <v>564000</v>
      </c>
      <c r="F38" s="32"/>
      <c r="G38" s="104"/>
      <c r="H38" s="55">
        <f t="shared" si="14"/>
        <v>0</v>
      </c>
      <c r="I38" s="32">
        <f t="shared" si="15"/>
        <v>543600</v>
      </c>
      <c r="J38" s="30">
        <f t="shared" si="22"/>
        <v>26400</v>
      </c>
      <c r="K38" s="144" t="b">
        <f t="shared" si="17"/>
        <v>1</v>
      </c>
    </row>
    <row r="39" spans="1:11">
      <c r="A39" s="122" t="str">
        <f t="shared" si="19"/>
        <v>SEPTEMBRE</v>
      </c>
      <c r="B39" s="127" t="str">
        <f t="shared" si="12"/>
        <v>Merveille</v>
      </c>
      <c r="C39" s="32">
        <f t="shared" si="13"/>
        <v>155600</v>
      </c>
      <c r="D39" s="31"/>
      <c r="E39" s="32">
        <f t="shared" si="23"/>
        <v>270000</v>
      </c>
      <c r="F39" s="32"/>
      <c r="G39" s="104"/>
      <c r="H39" s="55">
        <f t="shared" si="14"/>
        <v>15000</v>
      </c>
      <c r="I39" s="32">
        <f t="shared" si="15"/>
        <v>398200</v>
      </c>
      <c r="J39" s="30">
        <f t="shared" si="22"/>
        <v>12400</v>
      </c>
      <c r="K39" s="144" t="b">
        <f t="shared" si="17"/>
        <v>1</v>
      </c>
    </row>
    <row r="40" spans="1:11">
      <c r="A40" s="122" t="str">
        <f t="shared" si="19"/>
        <v>SEPTEMBRE</v>
      </c>
      <c r="B40" s="127" t="str">
        <f t="shared" si="12"/>
        <v>Oracle</v>
      </c>
      <c r="C40" s="32">
        <f t="shared" si="13"/>
        <v>117425</v>
      </c>
      <c r="D40" s="31"/>
      <c r="E40" s="32">
        <f t="shared" si="23"/>
        <v>290000</v>
      </c>
      <c r="F40" s="32"/>
      <c r="G40" s="104"/>
      <c r="H40" s="55">
        <f t="shared" si="14"/>
        <v>17000</v>
      </c>
      <c r="I40" s="32">
        <f t="shared" si="15"/>
        <v>353600</v>
      </c>
      <c r="J40" s="30">
        <f t="shared" si="22"/>
        <v>36825</v>
      </c>
      <c r="K40" s="144" t="b">
        <f t="shared" si="17"/>
        <v>1</v>
      </c>
    </row>
    <row r="41" spans="1:11">
      <c r="A41" s="122" t="str">
        <f t="shared" si="19"/>
        <v>SEPTEMBRE</v>
      </c>
      <c r="B41" s="127" t="str">
        <f t="shared" si="12"/>
        <v>P29</v>
      </c>
      <c r="C41" s="32">
        <f t="shared" si="13"/>
        <v>125100</v>
      </c>
      <c r="D41" s="119"/>
      <c r="E41" s="32">
        <f t="shared" si="23"/>
        <v>631000</v>
      </c>
      <c r="F41" s="51"/>
      <c r="G41" s="138"/>
      <c r="H41" s="55">
        <f t="shared" si="14"/>
        <v>0</v>
      </c>
      <c r="I41" s="32">
        <f t="shared" si="15"/>
        <v>669200</v>
      </c>
      <c r="J41" s="30">
        <f t="shared" si="22"/>
        <v>86900</v>
      </c>
      <c r="K41" s="144" t="b">
        <f t="shared" si="17"/>
        <v>1</v>
      </c>
    </row>
    <row r="42" spans="1:11">
      <c r="A42" s="122" t="str">
        <f t="shared" si="19"/>
        <v>SEPTEMBRE</v>
      </c>
      <c r="B42" s="127" t="str">
        <f t="shared" si="12"/>
        <v>T73</v>
      </c>
      <c r="C42" s="32">
        <f t="shared" si="13"/>
        <v>59200</v>
      </c>
      <c r="D42" s="119"/>
      <c r="E42" s="32">
        <f t="shared" si="23"/>
        <v>774000</v>
      </c>
      <c r="F42" s="51"/>
      <c r="G42" s="138"/>
      <c r="H42" s="55">
        <f t="shared" si="14"/>
        <v>0</v>
      </c>
      <c r="I42" s="32">
        <f t="shared" si="15"/>
        <v>789700</v>
      </c>
      <c r="J42" s="30">
        <f t="shared" si="22"/>
        <v>43500</v>
      </c>
      <c r="K42" s="144" t="b">
        <f t="shared" si="17"/>
        <v>1</v>
      </c>
    </row>
    <row r="43" spans="1:11">
      <c r="A43" s="34" t="s">
        <v>60</v>
      </c>
      <c r="B43" s="35"/>
      <c r="C43" s="35"/>
      <c r="D43" s="35"/>
      <c r="E43" s="35"/>
      <c r="F43" s="35"/>
      <c r="G43" s="35"/>
      <c r="H43" s="35"/>
      <c r="I43" s="35"/>
      <c r="J43" s="36"/>
      <c r="K43" s="143"/>
    </row>
    <row r="44" spans="1:11">
      <c r="A44" s="122" t="str">
        <f>A42</f>
        <v>SEPTEMBRE</v>
      </c>
      <c r="B44" s="37" t="s">
        <v>61</v>
      </c>
      <c r="C44" s="38">
        <f>+C5</f>
        <v>376082</v>
      </c>
      <c r="D44" s="49"/>
      <c r="E44" s="49">
        <f>D5</f>
        <v>8502900</v>
      </c>
      <c r="F44" s="49"/>
      <c r="G44" s="125"/>
      <c r="H44" s="51">
        <f>+F5</f>
        <v>5730800</v>
      </c>
      <c r="I44" s="126">
        <f>+E5</f>
        <v>2813207</v>
      </c>
      <c r="J44" s="30">
        <f>+SUM(C44:G44)-(H44+I44)</f>
        <v>334975</v>
      </c>
      <c r="K44" s="144" t="b">
        <f>J44=I5</f>
        <v>1</v>
      </c>
    </row>
    <row r="45" spans="1:11">
      <c r="A45" s="43" t="s">
        <v>62</v>
      </c>
      <c r="B45" s="24"/>
      <c r="C45" s="35"/>
      <c r="D45" s="24"/>
      <c r="E45" s="24"/>
      <c r="F45" s="24"/>
      <c r="G45" s="24"/>
      <c r="H45" s="24"/>
      <c r="I45" s="24"/>
      <c r="J45" s="36"/>
      <c r="K45" s="143"/>
    </row>
    <row r="46" spans="1:11">
      <c r="A46" s="122" t="str">
        <f>+A44</f>
        <v>SEPTEMBRE</v>
      </c>
      <c r="B46" s="37" t="s">
        <v>24</v>
      </c>
      <c r="C46" s="125">
        <f>+C3</f>
        <v>7301705</v>
      </c>
      <c r="D46" s="132">
        <f>+G3</f>
        <v>0</v>
      </c>
      <c r="E46" s="49"/>
      <c r="F46" s="49"/>
      <c r="G46" s="49"/>
      <c r="H46" s="51">
        <f>+F3</f>
        <v>6000000</v>
      </c>
      <c r="I46" s="53">
        <f>+E3</f>
        <v>173345</v>
      </c>
      <c r="J46" s="30">
        <f>+SUM(C46:G46)-(H46+I46)</f>
        <v>1128360</v>
      </c>
      <c r="K46" s="144" t="b">
        <f>+J46=I3</f>
        <v>1</v>
      </c>
    </row>
    <row r="47" spans="1:11">
      <c r="A47" s="122" t="str">
        <f t="shared" ref="A47" si="24">+A46</f>
        <v>SEPTEMBRE</v>
      </c>
      <c r="B47" s="37" t="s">
        <v>64</v>
      </c>
      <c r="C47" s="125">
        <f>+C4</f>
        <v>9607481</v>
      </c>
      <c r="D47" s="49">
        <f>+G4</f>
        <v>0</v>
      </c>
      <c r="E47" s="48"/>
      <c r="F47" s="48"/>
      <c r="G47" s="48">
        <f>+D4</f>
        <v>0</v>
      </c>
      <c r="H47" s="32">
        <f>+F4</f>
        <v>2000000</v>
      </c>
      <c r="I47" s="50">
        <f>+E4</f>
        <v>5447141</v>
      </c>
      <c r="J47" s="30">
        <f>+SUM(C47:G47)-(H47+I47)</f>
        <v>2160340</v>
      </c>
      <c r="K47" s="144" t="b">
        <f>+J47=I4</f>
        <v>1</v>
      </c>
    </row>
    <row r="48" spans="1:11" ht="15.75">
      <c r="C48" s="141">
        <f>SUM(C30:C47)</f>
        <v>19545576</v>
      </c>
      <c r="I48" s="140">
        <f>SUM(I30:I47)</f>
        <v>14920343</v>
      </c>
      <c r="J48" s="105">
        <f>+SUM(J30:J47)</f>
        <v>4625233</v>
      </c>
      <c r="K48" s="5" t="b">
        <f>J48=I19</f>
        <v>1</v>
      </c>
    </row>
    <row r="49" spans="1:21" ht="15.75">
      <c r="C49" s="141"/>
      <c r="I49" s="140"/>
      <c r="J49" s="105"/>
    </row>
    <row r="50" spans="1:21" ht="15.75">
      <c r="A50" s="160"/>
      <c r="B50" s="160"/>
      <c r="C50" s="161"/>
      <c r="D50" s="160"/>
      <c r="E50" s="160"/>
      <c r="F50" s="160"/>
      <c r="G50" s="160"/>
      <c r="H50" s="160"/>
      <c r="I50" s="162"/>
      <c r="J50" s="163"/>
      <c r="K50" s="160"/>
      <c r="L50" s="164"/>
      <c r="M50" s="164"/>
      <c r="N50" s="164"/>
      <c r="O50" s="164"/>
      <c r="P50" s="160"/>
    </row>
    <row r="52" spans="1:21" ht="15.75">
      <c r="A52" s="6" t="s">
        <v>36</v>
      </c>
      <c r="B52" s="6" t="s">
        <v>1</v>
      </c>
      <c r="C52" s="6">
        <v>45139</v>
      </c>
      <c r="D52" s="7" t="s">
        <v>37</v>
      </c>
      <c r="E52" s="7" t="s">
        <v>38</v>
      </c>
      <c r="F52" s="7" t="s">
        <v>39</v>
      </c>
      <c r="G52" s="7" t="s">
        <v>40</v>
      </c>
      <c r="H52" s="6">
        <v>45169</v>
      </c>
      <c r="I52" s="7" t="s">
        <v>41</v>
      </c>
      <c r="K52" s="45"/>
      <c r="L52" s="45" t="s">
        <v>42</v>
      </c>
      <c r="M52" s="45" t="s">
        <v>43</v>
      </c>
      <c r="N52" s="45" t="s">
        <v>44</v>
      </c>
      <c r="O52" s="45" t="s">
        <v>45</v>
      </c>
    </row>
    <row r="53" spans="1:21" ht="16.5">
      <c r="A53" s="58" t="str">
        <f>K53</f>
        <v>BCI</v>
      </c>
      <c r="B53" s="59" t="s">
        <v>46</v>
      </c>
      <c r="C53" s="61">
        <v>4607330</v>
      </c>
      <c r="D53" s="61">
        <f>+L53</f>
        <v>0</v>
      </c>
      <c r="E53" s="61">
        <f>+N53</f>
        <v>993345</v>
      </c>
      <c r="F53" s="61">
        <f>+M53</f>
        <v>2000000</v>
      </c>
      <c r="G53" s="61">
        <f t="shared" ref="G53:G69" si="25">+O53</f>
        <v>5687720</v>
      </c>
      <c r="H53" s="61">
        <v>7301705</v>
      </c>
      <c r="I53" s="61">
        <f>+C53+D53-E53-F53+G53</f>
        <v>7301705</v>
      </c>
      <c r="J53" s="9">
        <f>I53-H53</f>
        <v>0</v>
      </c>
      <c r="K53" s="45" t="s">
        <v>24</v>
      </c>
      <c r="L53" s="181">
        <v>0</v>
      </c>
      <c r="M53" s="181">
        <v>2000000</v>
      </c>
      <c r="N53" s="181">
        <v>993345</v>
      </c>
      <c r="O53" s="181">
        <v>5687720</v>
      </c>
      <c r="R53"/>
      <c r="S53"/>
      <c r="T53"/>
      <c r="U53"/>
    </row>
    <row r="54" spans="1:21" ht="16.5">
      <c r="A54" s="58" t="str">
        <f t="shared" ref="A54:A69" si="26">K54</f>
        <v>BCI-Sous Compte</v>
      </c>
      <c r="B54" s="59" t="s">
        <v>46</v>
      </c>
      <c r="C54" s="61">
        <v>16185729</v>
      </c>
      <c r="D54" s="61">
        <f>+L54</f>
        <v>0</v>
      </c>
      <c r="E54" s="61">
        <f t="shared" ref="E54:E60" si="27">+N54</f>
        <v>2578288</v>
      </c>
      <c r="F54" s="61">
        <f t="shared" ref="F54:F62" si="28">+M54</f>
        <v>4000000</v>
      </c>
      <c r="G54" s="61">
        <f t="shared" si="25"/>
        <v>0</v>
      </c>
      <c r="H54" s="61">
        <v>9607441</v>
      </c>
      <c r="I54" s="61">
        <f t="shared" ref="I54:I60" si="29">+C54+D54-E54-F54+G54</f>
        <v>9607441</v>
      </c>
      <c r="J54" s="9">
        <f t="shared" ref="J54:J69" si="30">I54-H54</f>
        <v>0</v>
      </c>
      <c r="K54" s="45" t="s">
        <v>148</v>
      </c>
      <c r="L54" s="181">
        <v>0</v>
      </c>
      <c r="M54" s="181">
        <v>4000000</v>
      </c>
      <c r="N54" s="181">
        <v>2578288</v>
      </c>
      <c r="O54" s="181">
        <v>0</v>
      </c>
      <c r="R54"/>
      <c r="S54"/>
      <c r="T54"/>
      <c r="U54"/>
    </row>
    <row r="55" spans="1:21" ht="16.5">
      <c r="A55" s="58" t="str">
        <f t="shared" si="26"/>
        <v>Caisse</v>
      </c>
      <c r="B55" s="59" t="s">
        <v>25</v>
      </c>
      <c r="C55" s="61">
        <v>1129247</v>
      </c>
      <c r="D55" s="61">
        <f t="shared" ref="D55:D69" si="31">+L55</f>
        <v>6074300</v>
      </c>
      <c r="E55" s="61">
        <f t="shared" si="27"/>
        <v>1821465</v>
      </c>
      <c r="F55" s="61">
        <f t="shared" si="28"/>
        <v>5006000</v>
      </c>
      <c r="G55" s="61">
        <f t="shared" si="25"/>
        <v>0</v>
      </c>
      <c r="H55" s="61">
        <v>376082</v>
      </c>
      <c r="I55" s="61">
        <f t="shared" si="29"/>
        <v>376082</v>
      </c>
      <c r="J55" s="9">
        <f t="shared" si="30"/>
        <v>0</v>
      </c>
      <c r="K55" s="45" t="s">
        <v>25</v>
      </c>
      <c r="L55" s="181">
        <v>6074300</v>
      </c>
      <c r="M55" s="181">
        <v>5006000</v>
      </c>
      <c r="N55" s="181">
        <v>1821465</v>
      </c>
      <c r="O55" s="181">
        <v>0</v>
      </c>
      <c r="R55"/>
      <c r="S55"/>
      <c r="T55"/>
      <c r="U55"/>
    </row>
    <row r="56" spans="1:21" ht="16.5">
      <c r="A56" s="58" t="str">
        <f t="shared" si="26"/>
        <v>Crépin</v>
      </c>
      <c r="B56" s="59" t="s">
        <v>2</v>
      </c>
      <c r="C56" s="61">
        <v>229120</v>
      </c>
      <c r="D56" s="61">
        <f t="shared" si="31"/>
        <v>845000</v>
      </c>
      <c r="E56" s="61">
        <f t="shared" si="27"/>
        <v>591000</v>
      </c>
      <c r="F56" s="61">
        <f t="shared" si="28"/>
        <v>0</v>
      </c>
      <c r="G56" s="61">
        <f t="shared" si="25"/>
        <v>0</v>
      </c>
      <c r="H56" s="61">
        <v>483120</v>
      </c>
      <c r="I56" s="61">
        <f t="shared" si="29"/>
        <v>483120</v>
      </c>
      <c r="J56" s="9">
        <f t="shared" si="30"/>
        <v>0</v>
      </c>
      <c r="K56" s="45" t="s">
        <v>47</v>
      </c>
      <c r="L56" s="181">
        <v>845000</v>
      </c>
      <c r="M56" s="181">
        <v>0</v>
      </c>
      <c r="N56" s="181">
        <v>591000</v>
      </c>
      <c r="O56" s="181">
        <v>0</v>
      </c>
      <c r="R56"/>
      <c r="S56"/>
      <c r="T56"/>
      <c r="U56"/>
    </row>
    <row r="57" spans="1:21" ht="16.5">
      <c r="A57" s="58" t="str">
        <f t="shared" si="26"/>
        <v>D58</v>
      </c>
      <c r="B57" s="59" t="s">
        <v>4</v>
      </c>
      <c r="C57" s="61">
        <v>44300</v>
      </c>
      <c r="D57" s="61">
        <f t="shared" si="31"/>
        <v>0</v>
      </c>
      <c r="E57" s="61">
        <f t="shared" si="27"/>
        <v>0</v>
      </c>
      <c r="F57" s="61">
        <f t="shared" si="28"/>
        <v>44300</v>
      </c>
      <c r="G57" s="61">
        <f t="shared" si="25"/>
        <v>0</v>
      </c>
      <c r="H57" s="61">
        <v>0</v>
      </c>
      <c r="I57" s="61">
        <f t="shared" si="29"/>
        <v>0</v>
      </c>
      <c r="J57" s="9">
        <f>I57-H57</f>
        <v>0</v>
      </c>
      <c r="K57" s="45" t="s">
        <v>269</v>
      </c>
      <c r="L57" s="181">
        <v>0</v>
      </c>
      <c r="M57" s="181">
        <v>44300</v>
      </c>
      <c r="N57" s="181">
        <v>0</v>
      </c>
      <c r="O57" s="181">
        <v>0</v>
      </c>
      <c r="R57"/>
      <c r="S57"/>
      <c r="T57"/>
      <c r="U57"/>
    </row>
    <row r="58" spans="1:21" ht="16.5">
      <c r="A58" s="58" t="str">
        <f t="shared" si="26"/>
        <v>Donald-Roméo</v>
      </c>
      <c r="B58" s="59" t="s">
        <v>154</v>
      </c>
      <c r="C58" s="61">
        <v>44655</v>
      </c>
      <c r="D58" s="61">
        <f t="shared" si="31"/>
        <v>517000</v>
      </c>
      <c r="E58" s="61">
        <f t="shared" si="27"/>
        <v>447800</v>
      </c>
      <c r="F58" s="61">
        <f t="shared" si="28"/>
        <v>25000</v>
      </c>
      <c r="G58" s="61">
        <f t="shared" si="25"/>
        <v>0</v>
      </c>
      <c r="H58" s="61">
        <v>88855</v>
      </c>
      <c r="I58" s="61">
        <f t="shared" si="29"/>
        <v>88855</v>
      </c>
      <c r="J58" s="9">
        <f t="shared" si="30"/>
        <v>0</v>
      </c>
      <c r="K58" s="45" t="s">
        <v>299</v>
      </c>
      <c r="L58" s="181">
        <v>517000</v>
      </c>
      <c r="M58" s="181">
        <v>25000</v>
      </c>
      <c r="N58" s="181">
        <v>447800</v>
      </c>
      <c r="O58" s="181">
        <v>0</v>
      </c>
      <c r="R58"/>
      <c r="S58"/>
      <c r="T58"/>
      <c r="U58"/>
    </row>
    <row r="59" spans="1:21" ht="16.5">
      <c r="A59" s="58" t="str">
        <f t="shared" si="26"/>
        <v>Dovi</v>
      </c>
      <c r="B59" s="59" t="s">
        <v>2</v>
      </c>
      <c r="C59" s="61">
        <v>48000</v>
      </c>
      <c r="D59" s="61">
        <f t="shared" si="31"/>
        <v>421000</v>
      </c>
      <c r="E59" s="61">
        <f t="shared" si="27"/>
        <v>54000</v>
      </c>
      <c r="F59" s="61">
        <f t="shared" si="28"/>
        <v>0</v>
      </c>
      <c r="G59" s="61">
        <f t="shared" si="25"/>
        <v>0</v>
      </c>
      <c r="H59" s="61">
        <v>415000</v>
      </c>
      <c r="I59" s="61">
        <f t="shared" si="29"/>
        <v>415000</v>
      </c>
      <c r="J59" s="9">
        <f t="shared" si="30"/>
        <v>0</v>
      </c>
      <c r="K59" s="45" t="s">
        <v>307</v>
      </c>
      <c r="L59" s="181">
        <v>421000</v>
      </c>
      <c r="M59" s="181">
        <v>0</v>
      </c>
      <c r="N59" s="181">
        <v>54000</v>
      </c>
      <c r="O59" s="181">
        <v>0</v>
      </c>
    </row>
    <row r="60" spans="1:21" ht="16.5">
      <c r="A60" s="58" t="str">
        <f t="shared" si="26"/>
        <v>Evariste</v>
      </c>
      <c r="B60" s="59" t="s">
        <v>155</v>
      </c>
      <c r="C60" s="61">
        <v>17975</v>
      </c>
      <c r="D60" s="61">
        <f t="shared" si="31"/>
        <v>297000</v>
      </c>
      <c r="E60" s="61">
        <f t="shared" si="27"/>
        <v>239000</v>
      </c>
      <c r="F60" s="61">
        <f t="shared" si="28"/>
        <v>0</v>
      </c>
      <c r="G60" s="61">
        <f t="shared" si="25"/>
        <v>0</v>
      </c>
      <c r="H60" s="61">
        <v>75975</v>
      </c>
      <c r="I60" s="61">
        <f t="shared" si="29"/>
        <v>75975</v>
      </c>
      <c r="J60" s="9">
        <f t="shared" si="30"/>
        <v>0</v>
      </c>
      <c r="K60" s="45" t="s">
        <v>31</v>
      </c>
      <c r="L60" s="181">
        <v>297000</v>
      </c>
      <c r="M60" s="181">
        <v>0</v>
      </c>
      <c r="N60" s="181">
        <v>239000</v>
      </c>
      <c r="O60" s="181">
        <v>0</v>
      </c>
      <c r="R60"/>
      <c r="S60"/>
      <c r="T60"/>
      <c r="U60"/>
    </row>
    <row r="61" spans="1:21" ht="16.5">
      <c r="A61" s="58" t="str">
        <f t="shared" si="26"/>
        <v>I55S</v>
      </c>
      <c r="B61" s="116" t="s">
        <v>4</v>
      </c>
      <c r="C61" s="118">
        <v>233614</v>
      </c>
      <c r="D61" s="118">
        <f t="shared" si="31"/>
        <v>0</v>
      </c>
      <c r="E61" s="118">
        <f>+N61</f>
        <v>0</v>
      </c>
      <c r="F61" s="118">
        <f t="shared" si="28"/>
        <v>0</v>
      </c>
      <c r="G61" s="118">
        <f t="shared" si="25"/>
        <v>0</v>
      </c>
      <c r="H61" s="118">
        <v>233614</v>
      </c>
      <c r="I61" s="118">
        <f>+C61+D61-E61-F61+G61</f>
        <v>233614</v>
      </c>
      <c r="J61" s="9">
        <f t="shared" si="30"/>
        <v>0</v>
      </c>
      <c r="K61" s="45" t="s">
        <v>84</v>
      </c>
      <c r="L61" s="181">
        <v>0</v>
      </c>
      <c r="M61" s="181">
        <v>0</v>
      </c>
      <c r="N61" s="181">
        <v>0</v>
      </c>
      <c r="O61" s="181">
        <v>0</v>
      </c>
      <c r="R61"/>
      <c r="S61"/>
      <c r="T61"/>
      <c r="U61"/>
    </row>
    <row r="62" spans="1:21" ht="16.5">
      <c r="A62" s="58" t="str">
        <f t="shared" si="26"/>
        <v>I73X</v>
      </c>
      <c r="B62" s="116" t="s">
        <v>4</v>
      </c>
      <c r="C62" s="118">
        <v>249769</v>
      </c>
      <c r="D62" s="118">
        <f t="shared" si="31"/>
        <v>0</v>
      </c>
      <c r="E62" s="118">
        <f>+N62</f>
        <v>0</v>
      </c>
      <c r="F62" s="118">
        <f t="shared" si="28"/>
        <v>0</v>
      </c>
      <c r="G62" s="118">
        <f t="shared" si="25"/>
        <v>0</v>
      </c>
      <c r="H62" s="118">
        <v>249769</v>
      </c>
      <c r="I62" s="118">
        <f t="shared" ref="I62:I69" si="32">+C62+D62-E62-F62+G62</f>
        <v>249769</v>
      </c>
      <c r="J62" s="9">
        <f t="shared" si="30"/>
        <v>0</v>
      </c>
      <c r="K62" s="45" t="s">
        <v>83</v>
      </c>
      <c r="L62" s="181">
        <v>0</v>
      </c>
      <c r="M62" s="181">
        <v>0</v>
      </c>
      <c r="N62" s="181">
        <v>0</v>
      </c>
      <c r="O62" s="181">
        <v>0</v>
      </c>
      <c r="R62"/>
      <c r="S62"/>
      <c r="T62"/>
      <c r="U62"/>
    </row>
    <row r="63" spans="1:21" s="188" customFormat="1" ht="16.5">
      <c r="A63" s="58" t="str">
        <f t="shared" si="26"/>
        <v>Grace</v>
      </c>
      <c r="B63" s="59" t="s">
        <v>2</v>
      </c>
      <c r="C63" s="184">
        <v>155150</v>
      </c>
      <c r="D63" s="61">
        <f t="shared" si="31"/>
        <v>0</v>
      </c>
      <c r="E63" s="61">
        <f t="shared" ref="E63:E69" si="33">+N63</f>
        <v>19000</v>
      </c>
      <c r="F63" s="61">
        <f>+M63</f>
        <v>0</v>
      </c>
      <c r="G63" s="61">
        <f t="shared" si="25"/>
        <v>0</v>
      </c>
      <c r="H63" s="184">
        <v>136150</v>
      </c>
      <c r="I63" s="184">
        <f t="shared" si="32"/>
        <v>136150</v>
      </c>
      <c r="J63" s="9">
        <f t="shared" si="30"/>
        <v>0</v>
      </c>
      <c r="K63" s="186" t="s">
        <v>143</v>
      </c>
      <c r="L63" s="181">
        <v>0</v>
      </c>
      <c r="M63" s="181">
        <v>0</v>
      </c>
      <c r="N63" s="181">
        <v>19000</v>
      </c>
      <c r="O63" s="181">
        <v>0</v>
      </c>
      <c r="R63"/>
      <c r="S63"/>
      <c r="T63"/>
      <c r="U63"/>
    </row>
    <row r="64" spans="1:21" ht="16.5">
      <c r="A64" s="58" t="str">
        <f t="shared" si="26"/>
        <v>Hurielle</v>
      </c>
      <c r="B64" s="98" t="s">
        <v>154</v>
      </c>
      <c r="C64" s="61">
        <v>3500</v>
      </c>
      <c r="D64" s="61">
        <f t="shared" si="31"/>
        <v>166000</v>
      </c>
      <c r="E64" s="61">
        <f t="shared" si="33"/>
        <v>55000</v>
      </c>
      <c r="F64" s="61">
        <f t="shared" ref="F64:F69" si="34">+M64</f>
        <v>0</v>
      </c>
      <c r="G64" s="61">
        <f t="shared" si="25"/>
        <v>0</v>
      </c>
      <c r="H64" s="184">
        <v>114500</v>
      </c>
      <c r="I64" s="184">
        <f t="shared" si="32"/>
        <v>114500</v>
      </c>
      <c r="J64" s="9">
        <f t="shared" si="30"/>
        <v>0</v>
      </c>
      <c r="K64" s="45" t="s">
        <v>197</v>
      </c>
      <c r="L64" s="181">
        <v>166000</v>
      </c>
      <c r="M64" s="181">
        <v>0</v>
      </c>
      <c r="N64" s="181">
        <v>55000</v>
      </c>
      <c r="O64" s="181">
        <v>0</v>
      </c>
      <c r="R64"/>
      <c r="S64"/>
      <c r="T64"/>
      <c r="U64"/>
    </row>
    <row r="65" spans="1:21" s="188" customFormat="1" ht="16.5">
      <c r="A65" s="58" t="str">
        <f t="shared" si="26"/>
        <v>IT87</v>
      </c>
      <c r="B65" s="59" t="s">
        <v>4</v>
      </c>
      <c r="C65" s="184">
        <v>2000</v>
      </c>
      <c r="D65" s="61">
        <f t="shared" si="31"/>
        <v>560000</v>
      </c>
      <c r="E65" s="61">
        <f t="shared" si="33"/>
        <v>556000</v>
      </c>
      <c r="F65" s="61">
        <f t="shared" si="34"/>
        <v>0</v>
      </c>
      <c r="G65" s="61">
        <f t="shared" si="25"/>
        <v>0</v>
      </c>
      <c r="H65" s="184">
        <v>6000</v>
      </c>
      <c r="I65" s="184">
        <f t="shared" si="32"/>
        <v>6000</v>
      </c>
      <c r="J65" s="9">
        <f t="shared" si="30"/>
        <v>0</v>
      </c>
      <c r="K65" s="186" t="s">
        <v>317</v>
      </c>
      <c r="L65" s="181">
        <v>560000</v>
      </c>
      <c r="M65" s="181">
        <v>0</v>
      </c>
      <c r="N65" s="181">
        <v>556000</v>
      </c>
      <c r="O65" s="181">
        <v>0</v>
      </c>
      <c r="R65"/>
      <c r="S65"/>
      <c r="T65"/>
      <c r="U65"/>
    </row>
    <row r="66" spans="1:21" ht="16.5">
      <c r="A66" s="58" t="str">
        <f t="shared" si="26"/>
        <v>Merveille</v>
      </c>
      <c r="B66" s="98" t="s">
        <v>326</v>
      </c>
      <c r="C66" s="61">
        <v>36600</v>
      </c>
      <c r="D66" s="61">
        <f t="shared" si="31"/>
        <v>209000</v>
      </c>
      <c r="E66" s="61">
        <f t="shared" si="33"/>
        <v>85000</v>
      </c>
      <c r="F66" s="61">
        <f t="shared" si="34"/>
        <v>5000</v>
      </c>
      <c r="G66" s="61">
        <f t="shared" si="25"/>
        <v>0</v>
      </c>
      <c r="H66" s="184">
        <v>155600</v>
      </c>
      <c r="I66" s="184">
        <f t="shared" si="32"/>
        <v>155600</v>
      </c>
      <c r="J66" s="9">
        <f t="shared" si="30"/>
        <v>0</v>
      </c>
      <c r="K66" s="45" t="s">
        <v>93</v>
      </c>
      <c r="L66" s="181">
        <v>209000</v>
      </c>
      <c r="M66" s="181">
        <v>5000</v>
      </c>
      <c r="N66" s="181">
        <v>85000</v>
      </c>
      <c r="O66" s="181">
        <v>0</v>
      </c>
      <c r="R66"/>
      <c r="S66"/>
      <c r="T66"/>
      <c r="U66"/>
    </row>
    <row r="67" spans="1:21" ht="16.5">
      <c r="A67" s="58" t="str">
        <f t="shared" si="26"/>
        <v>Oracle</v>
      </c>
      <c r="B67" s="98" t="s">
        <v>154</v>
      </c>
      <c r="C67" s="61">
        <v>96225</v>
      </c>
      <c r="D67" s="61">
        <f t="shared" si="31"/>
        <v>270000</v>
      </c>
      <c r="E67" s="61">
        <f t="shared" si="33"/>
        <v>248800</v>
      </c>
      <c r="F67" s="61">
        <f t="shared" si="34"/>
        <v>0</v>
      </c>
      <c r="G67" s="61">
        <f t="shared" si="25"/>
        <v>0</v>
      </c>
      <c r="H67" s="184">
        <v>117425</v>
      </c>
      <c r="I67" s="184">
        <f t="shared" si="32"/>
        <v>117425</v>
      </c>
      <c r="J67" s="9">
        <f t="shared" si="30"/>
        <v>0</v>
      </c>
      <c r="K67" s="45" t="s">
        <v>300</v>
      </c>
      <c r="L67" s="181">
        <v>270000</v>
      </c>
      <c r="M67" s="181">
        <v>0</v>
      </c>
      <c r="N67" s="181">
        <v>248800</v>
      </c>
      <c r="O67" s="181">
        <v>0</v>
      </c>
      <c r="R67"/>
      <c r="S67"/>
      <c r="T67"/>
      <c r="U67"/>
    </row>
    <row r="68" spans="1:21" ht="16.5">
      <c r="A68" s="58" t="str">
        <f t="shared" si="26"/>
        <v>P29</v>
      </c>
      <c r="B68" s="59" t="s">
        <v>4</v>
      </c>
      <c r="C68" s="61">
        <v>47800</v>
      </c>
      <c r="D68" s="61">
        <f t="shared" si="31"/>
        <v>861000</v>
      </c>
      <c r="E68" s="61">
        <f t="shared" si="33"/>
        <v>783700</v>
      </c>
      <c r="F68" s="61">
        <f t="shared" si="34"/>
        <v>0</v>
      </c>
      <c r="G68" s="61">
        <f t="shared" si="25"/>
        <v>0</v>
      </c>
      <c r="H68" s="184">
        <v>125100</v>
      </c>
      <c r="I68" s="184">
        <f t="shared" si="32"/>
        <v>125100</v>
      </c>
      <c r="J68" s="9">
        <f t="shared" si="30"/>
        <v>0</v>
      </c>
      <c r="K68" s="45" t="s">
        <v>29</v>
      </c>
      <c r="L68" s="181">
        <v>861000</v>
      </c>
      <c r="M68" s="181">
        <v>0</v>
      </c>
      <c r="N68" s="181">
        <v>783700</v>
      </c>
      <c r="O68" s="181">
        <v>0</v>
      </c>
    </row>
    <row r="69" spans="1:21" ht="16.5">
      <c r="A69" s="58" t="str">
        <f t="shared" si="26"/>
        <v>T73</v>
      </c>
      <c r="B69" s="59" t="s">
        <v>4</v>
      </c>
      <c r="C69" s="61">
        <v>10200</v>
      </c>
      <c r="D69" s="61">
        <f t="shared" si="31"/>
        <v>860000</v>
      </c>
      <c r="E69" s="61">
        <f t="shared" si="33"/>
        <v>811000</v>
      </c>
      <c r="F69" s="61">
        <f t="shared" si="34"/>
        <v>0</v>
      </c>
      <c r="G69" s="61">
        <f t="shared" si="25"/>
        <v>0</v>
      </c>
      <c r="H69" s="184">
        <v>59200</v>
      </c>
      <c r="I69" s="184">
        <f t="shared" si="32"/>
        <v>59200</v>
      </c>
      <c r="J69" s="9">
        <f t="shared" si="30"/>
        <v>0</v>
      </c>
      <c r="K69" s="45" t="s">
        <v>268</v>
      </c>
      <c r="L69" s="181">
        <v>860000</v>
      </c>
      <c r="M69" s="181">
        <v>0</v>
      </c>
      <c r="N69" s="181">
        <v>811000</v>
      </c>
      <c r="O69" s="181">
        <v>0</v>
      </c>
    </row>
    <row r="70" spans="1:21" ht="16.5">
      <c r="A70" s="10" t="s">
        <v>50</v>
      </c>
      <c r="B70" s="11"/>
      <c r="C70" s="12">
        <f t="shared" ref="C70:I70" si="35">SUM(C53:C69)</f>
        <v>23141214</v>
      </c>
      <c r="D70" s="57">
        <f t="shared" si="35"/>
        <v>11080300</v>
      </c>
      <c r="E70" s="57">
        <f t="shared" si="35"/>
        <v>9283398</v>
      </c>
      <c r="F70" s="57">
        <f t="shared" si="35"/>
        <v>11080300</v>
      </c>
      <c r="G70" s="57">
        <f t="shared" si="35"/>
        <v>5687720</v>
      </c>
      <c r="H70" s="57">
        <f t="shared" si="35"/>
        <v>19545536</v>
      </c>
      <c r="I70" s="57">
        <f t="shared" si="35"/>
        <v>19545536</v>
      </c>
      <c r="J70" s="9"/>
      <c r="K70" s="3"/>
      <c r="L70" s="47">
        <f>+SUM(L53:L69)</f>
        <v>11080300</v>
      </c>
      <c r="M70" s="47">
        <f>+SUM(M53:M69)</f>
        <v>11080300</v>
      </c>
      <c r="N70" s="47">
        <f>+SUM(N53:N69)</f>
        <v>9283398</v>
      </c>
      <c r="O70" s="47">
        <f>+SUM(O53:O69)</f>
        <v>5687720</v>
      </c>
    </row>
    <row r="71" spans="1:21" ht="16.5">
      <c r="A71" s="10"/>
      <c r="B71" s="11"/>
      <c r="C71" s="12"/>
      <c r="D71" s="13"/>
      <c r="E71" s="12"/>
      <c r="F71" s="13"/>
      <c r="G71" s="12"/>
      <c r="H71" s="12"/>
      <c r="I71" s="13" t="b">
        <f>I70=D73</f>
        <v>1</v>
      </c>
      <c r="J71" s="9"/>
      <c r="L71" s="5"/>
      <c r="M71" s="5"/>
      <c r="N71" s="5"/>
      <c r="O71" s="5"/>
    </row>
    <row r="72" spans="1:21" ht="16.5">
      <c r="A72" s="10" t="s">
        <v>322</v>
      </c>
      <c r="B72" s="11" t="s">
        <v>231</v>
      </c>
      <c r="C72" s="12" t="s">
        <v>232</v>
      </c>
      <c r="D72" s="12" t="s">
        <v>323</v>
      </c>
      <c r="E72" s="12" t="s">
        <v>51</v>
      </c>
      <c r="F72" s="12"/>
      <c r="G72" s="12">
        <f>+D70-F70</f>
        <v>0</v>
      </c>
      <c r="H72" s="12"/>
      <c r="I72" s="212"/>
    </row>
    <row r="73" spans="1:21" ht="16.5">
      <c r="A73" s="14">
        <f>C70</f>
        <v>23141214</v>
      </c>
      <c r="B73" s="15">
        <f>G70</f>
        <v>5687720</v>
      </c>
      <c r="C73" s="12">
        <f>E70</f>
        <v>9283398</v>
      </c>
      <c r="D73" s="12">
        <f>A73+B73-C73</f>
        <v>19545536</v>
      </c>
      <c r="E73" s="13">
        <f>I70-D73</f>
        <v>0</v>
      </c>
      <c r="F73" s="12"/>
      <c r="G73" s="12"/>
      <c r="H73" s="12"/>
      <c r="I73" s="12"/>
    </row>
    <row r="74" spans="1:21" ht="16.5">
      <c r="A74" s="14"/>
      <c r="B74" s="15"/>
      <c r="C74" s="12"/>
      <c r="D74" s="12"/>
      <c r="E74" s="13"/>
      <c r="F74" s="12"/>
      <c r="G74" s="12"/>
      <c r="H74" s="12"/>
      <c r="I74" s="12"/>
    </row>
    <row r="75" spans="1:21">
      <c r="A75" s="16" t="s">
        <v>52</v>
      </c>
      <c r="B75" s="16"/>
      <c r="C75" s="16"/>
      <c r="D75" s="17"/>
      <c r="E75" s="17"/>
      <c r="F75" s="17"/>
      <c r="G75" s="17"/>
      <c r="H75" s="17"/>
      <c r="I75" s="17"/>
    </row>
    <row r="76" spans="1:21">
      <c r="A76" s="18" t="s">
        <v>327</v>
      </c>
      <c r="B76" s="18"/>
      <c r="C76" s="18"/>
      <c r="D76" s="18"/>
      <c r="E76" s="18"/>
      <c r="F76" s="18"/>
      <c r="G76" s="18"/>
      <c r="H76" s="18"/>
      <c r="I76" s="18"/>
      <c r="J76" s="18"/>
    </row>
    <row r="77" spans="1:21">
      <c r="A77" s="19"/>
      <c r="B77" s="17"/>
      <c r="C77" s="20"/>
      <c r="D77" s="20"/>
      <c r="E77" s="20"/>
      <c r="F77" s="20"/>
      <c r="G77" s="20"/>
      <c r="H77" s="17"/>
      <c r="I77" s="17"/>
    </row>
    <row r="78" spans="1:21" ht="45" customHeight="1">
      <c r="A78" s="169" t="s">
        <v>53</v>
      </c>
      <c r="B78" s="171" t="s">
        <v>54</v>
      </c>
      <c r="C78" s="173" t="s">
        <v>324</v>
      </c>
      <c r="D78" s="174" t="s">
        <v>55</v>
      </c>
      <c r="E78" s="175"/>
      <c r="F78" s="175"/>
      <c r="G78" s="176"/>
      <c r="H78" s="177" t="s">
        <v>56</v>
      </c>
      <c r="I78" s="165" t="s">
        <v>57</v>
      </c>
      <c r="J78" s="210"/>
    </row>
    <row r="79" spans="1:21" ht="28.5" customHeight="1">
      <c r="A79" s="170"/>
      <c r="B79" s="172"/>
      <c r="C79" s="22"/>
      <c r="D79" s="21" t="s">
        <v>24</v>
      </c>
      <c r="E79" s="21" t="s">
        <v>25</v>
      </c>
      <c r="F79" s="22" t="s">
        <v>123</v>
      </c>
      <c r="G79" s="21" t="s">
        <v>58</v>
      </c>
      <c r="H79" s="178"/>
      <c r="I79" s="166"/>
      <c r="J79" s="168" t="s">
        <v>325</v>
      </c>
      <c r="K79" s="143"/>
    </row>
    <row r="80" spans="1:21">
      <c r="A80" s="23"/>
      <c r="B80" s="24" t="s">
        <v>59</v>
      </c>
      <c r="C80" s="25"/>
      <c r="D80" s="25"/>
      <c r="E80" s="25"/>
      <c r="F80" s="25"/>
      <c r="G80" s="25"/>
      <c r="H80" s="25"/>
      <c r="I80" s="26"/>
      <c r="J80" s="168"/>
      <c r="K80" s="143"/>
    </row>
    <row r="81" spans="1:11">
      <c r="A81" s="122" t="s">
        <v>139</v>
      </c>
      <c r="B81" s="127" t="str">
        <f>A56</f>
        <v>Crépin</v>
      </c>
      <c r="C81" s="32">
        <f>+C56</f>
        <v>229120</v>
      </c>
      <c r="D81" s="31"/>
      <c r="E81" s="32">
        <f>+D56</f>
        <v>845000</v>
      </c>
      <c r="F81" s="32"/>
      <c r="G81" s="32"/>
      <c r="H81" s="55">
        <f>+F56</f>
        <v>0</v>
      </c>
      <c r="I81" s="32">
        <f t="shared" ref="I81:I94" si="36">+E56</f>
        <v>591000</v>
      </c>
      <c r="J81" s="30">
        <f t="shared" ref="J81:J83" si="37">+SUM(C81:G81)-(H81+I81)</f>
        <v>483120</v>
      </c>
      <c r="K81" s="144" t="b">
        <f t="shared" ref="K81:K94" si="38">J81=I56</f>
        <v>1</v>
      </c>
    </row>
    <row r="82" spans="1:11">
      <c r="A82" s="122" t="str">
        <f>+A81</f>
        <v>AOUT</v>
      </c>
      <c r="B82" s="127" t="str">
        <f t="shared" ref="B82:B94" si="39">A57</f>
        <v>D58</v>
      </c>
      <c r="C82" s="32">
        <f>+C57</f>
        <v>44300</v>
      </c>
      <c r="D82" s="31"/>
      <c r="E82" s="32">
        <f>+D57</f>
        <v>0</v>
      </c>
      <c r="F82" s="32"/>
      <c r="G82" s="32"/>
      <c r="H82" s="55">
        <f>+F57</f>
        <v>44300</v>
      </c>
      <c r="I82" s="32">
        <f t="shared" si="36"/>
        <v>0</v>
      </c>
      <c r="J82" s="30">
        <f t="shared" si="37"/>
        <v>0</v>
      </c>
      <c r="K82" s="144" t="b">
        <f t="shared" si="38"/>
        <v>1</v>
      </c>
    </row>
    <row r="83" spans="1:11">
      <c r="A83" s="122" t="str">
        <f t="shared" ref="A83:A94" si="40">+A82</f>
        <v>AOUT</v>
      </c>
      <c r="B83" s="127" t="str">
        <f t="shared" si="39"/>
        <v>Donald-Roméo</v>
      </c>
      <c r="C83" s="32">
        <f>+C58</f>
        <v>44655</v>
      </c>
      <c r="D83" s="31"/>
      <c r="E83" s="32">
        <f>+D58</f>
        <v>517000</v>
      </c>
      <c r="F83" s="32"/>
      <c r="G83" s="32"/>
      <c r="H83" s="55">
        <f>+F58</f>
        <v>25000</v>
      </c>
      <c r="I83" s="32">
        <f t="shared" si="36"/>
        <v>447800</v>
      </c>
      <c r="J83" s="30">
        <f t="shared" si="37"/>
        <v>88855</v>
      </c>
      <c r="K83" s="144" t="b">
        <f t="shared" si="38"/>
        <v>1</v>
      </c>
    </row>
    <row r="84" spans="1:11">
      <c r="A84" s="122" t="str">
        <f t="shared" si="40"/>
        <v>AOUT</v>
      </c>
      <c r="B84" s="127" t="str">
        <f t="shared" si="39"/>
        <v>Dovi</v>
      </c>
      <c r="C84" s="32">
        <f>+C59</f>
        <v>48000</v>
      </c>
      <c r="D84" s="31"/>
      <c r="E84" s="32">
        <f>+D59</f>
        <v>421000</v>
      </c>
      <c r="F84" s="32"/>
      <c r="G84" s="32"/>
      <c r="H84" s="55">
        <f>+F59</f>
        <v>0</v>
      </c>
      <c r="I84" s="32">
        <f t="shared" si="36"/>
        <v>54000</v>
      </c>
      <c r="J84" s="30">
        <f t="shared" ref="J84" si="41">+SUM(C84:G84)-(H84+I84)</f>
        <v>415000</v>
      </c>
      <c r="K84" s="144" t="b">
        <f t="shared" si="38"/>
        <v>1</v>
      </c>
    </row>
    <row r="85" spans="1:11">
      <c r="A85" s="122" t="str">
        <f t="shared" si="40"/>
        <v>AOUT</v>
      </c>
      <c r="B85" s="127" t="str">
        <f t="shared" si="39"/>
        <v>Evariste</v>
      </c>
      <c r="C85" s="32">
        <f t="shared" ref="C85:C94" si="42">+C60</f>
        <v>17975</v>
      </c>
      <c r="D85" s="31"/>
      <c r="E85" s="32">
        <f t="shared" ref="E85:E94" si="43">+D60</f>
        <v>297000</v>
      </c>
      <c r="F85" s="32"/>
      <c r="G85" s="32"/>
      <c r="H85" s="55">
        <f t="shared" ref="H85:H94" si="44">+F60</f>
        <v>0</v>
      </c>
      <c r="I85" s="32">
        <f t="shared" si="36"/>
        <v>239000</v>
      </c>
      <c r="J85" s="30">
        <f t="shared" ref="J85" si="45">+SUM(C85:G85)-(H85+I85)</f>
        <v>75975</v>
      </c>
      <c r="K85" s="144" t="b">
        <f t="shared" si="38"/>
        <v>1</v>
      </c>
    </row>
    <row r="86" spans="1:11">
      <c r="A86" s="122" t="str">
        <f t="shared" si="40"/>
        <v>AOUT</v>
      </c>
      <c r="B86" s="129" t="str">
        <f t="shared" si="39"/>
        <v>I55S</v>
      </c>
      <c r="C86" s="120">
        <f t="shared" si="42"/>
        <v>233614</v>
      </c>
      <c r="D86" s="123"/>
      <c r="E86" s="120">
        <f t="shared" si="43"/>
        <v>0</v>
      </c>
      <c r="F86" s="137"/>
      <c r="G86" s="137"/>
      <c r="H86" s="155">
        <f t="shared" si="44"/>
        <v>0</v>
      </c>
      <c r="I86" s="120">
        <f t="shared" si="36"/>
        <v>0</v>
      </c>
      <c r="J86" s="121">
        <f>+SUM(C86:G86)-(H86+I86)</f>
        <v>233614</v>
      </c>
      <c r="K86" s="144" t="b">
        <f t="shared" si="38"/>
        <v>1</v>
      </c>
    </row>
    <row r="87" spans="1:11">
      <c r="A87" s="122" t="str">
        <f t="shared" si="40"/>
        <v>AOUT</v>
      </c>
      <c r="B87" s="129" t="str">
        <f t="shared" si="39"/>
        <v>I73X</v>
      </c>
      <c r="C87" s="120">
        <f t="shared" si="42"/>
        <v>249769</v>
      </c>
      <c r="D87" s="123"/>
      <c r="E87" s="120">
        <f t="shared" si="43"/>
        <v>0</v>
      </c>
      <c r="F87" s="137"/>
      <c r="G87" s="137"/>
      <c r="H87" s="155">
        <f t="shared" si="44"/>
        <v>0</v>
      </c>
      <c r="I87" s="120">
        <f t="shared" si="36"/>
        <v>0</v>
      </c>
      <c r="J87" s="121">
        <f t="shared" ref="J87:J94" si="46">+SUM(C87:G87)-(H87+I87)</f>
        <v>249769</v>
      </c>
      <c r="K87" s="144" t="b">
        <f t="shared" si="38"/>
        <v>1</v>
      </c>
    </row>
    <row r="88" spans="1:11">
      <c r="A88" s="122" t="str">
        <f t="shared" si="40"/>
        <v>AOUT</v>
      </c>
      <c r="B88" s="127" t="str">
        <f t="shared" si="39"/>
        <v>Grace</v>
      </c>
      <c r="C88" s="32">
        <f t="shared" si="42"/>
        <v>155150</v>
      </c>
      <c r="D88" s="31"/>
      <c r="E88" s="32">
        <f t="shared" si="43"/>
        <v>0</v>
      </c>
      <c r="F88" s="32"/>
      <c r="G88" s="104"/>
      <c r="H88" s="55">
        <f t="shared" si="44"/>
        <v>0</v>
      </c>
      <c r="I88" s="32">
        <f t="shared" si="36"/>
        <v>19000</v>
      </c>
      <c r="J88" s="30">
        <f t="shared" si="46"/>
        <v>136150</v>
      </c>
      <c r="K88" s="144" t="b">
        <f t="shared" si="38"/>
        <v>1</v>
      </c>
    </row>
    <row r="89" spans="1:11">
      <c r="A89" s="122" t="str">
        <f t="shared" si="40"/>
        <v>AOUT</v>
      </c>
      <c r="B89" s="127" t="str">
        <f t="shared" si="39"/>
        <v>Hurielle</v>
      </c>
      <c r="C89" s="32">
        <f t="shared" si="42"/>
        <v>3500</v>
      </c>
      <c r="D89" s="31"/>
      <c r="E89" s="32">
        <f t="shared" si="43"/>
        <v>166000</v>
      </c>
      <c r="F89" s="32"/>
      <c r="G89" s="104"/>
      <c r="H89" s="55">
        <f t="shared" si="44"/>
        <v>0</v>
      </c>
      <c r="I89" s="32">
        <f t="shared" si="36"/>
        <v>55000</v>
      </c>
      <c r="J89" s="30">
        <f t="shared" si="46"/>
        <v>114500</v>
      </c>
      <c r="K89" s="144" t="b">
        <f t="shared" si="38"/>
        <v>1</v>
      </c>
    </row>
    <row r="90" spans="1:11">
      <c r="A90" s="122" t="str">
        <f t="shared" si="40"/>
        <v>AOUT</v>
      </c>
      <c r="B90" s="127" t="str">
        <f t="shared" si="39"/>
        <v>IT87</v>
      </c>
      <c r="C90" s="32">
        <f t="shared" si="42"/>
        <v>2000</v>
      </c>
      <c r="D90" s="31"/>
      <c r="E90" s="32">
        <f t="shared" si="43"/>
        <v>560000</v>
      </c>
      <c r="F90" s="32"/>
      <c r="G90" s="104"/>
      <c r="H90" s="55">
        <f t="shared" si="44"/>
        <v>0</v>
      </c>
      <c r="I90" s="32">
        <f t="shared" si="36"/>
        <v>556000</v>
      </c>
      <c r="J90" s="30">
        <f t="shared" si="46"/>
        <v>6000</v>
      </c>
      <c r="K90" s="144" t="b">
        <f t="shared" si="38"/>
        <v>1</v>
      </c>
    </row>
    <row r="91" spans="1:11">
      <c r="A91" s="122" t="str">
        <f t="shared" si="40"/>
        <v>AOUT</v>
      </c>
      <c r="B91" s="127" t="str">
        <f t="shared" si="39"/>
        <v>Merveille</v>
      </c>
      <c r="C91" s="32">
        <f t="shared" si="42"/>
        <v>36600</v>
      </c>
      <c r="D91" s="31"/>
      <c r="E91" s="32">
        <f t="shared" si="43"/>
        <v>209000</v>
      </c>
      <c r="F91" s="32"/>
      <c r="G91" s="104"/>
      <c r="H91" s="55">
        <f t="shared" si="44"/>
        <v>5000</v>
      </c>
      <c r="I91" s="32">
        <f t="shared" si="36"/>
        <v>85000</v>
      </c>
      <c r="J91" s="30">
        <f t="shared" si="46"/>
        <v>155600</v>
      </c>
      <c r="K91" s="144" t="b">
        <f t="shared" si="38"/>
        <v>1</v>
      </c>
    </row>
    <row r="92" spans="1:11">
      <c r="A92" s="122" t="str">
        <f t="shared" si="40"/>
        <v>AOUT</v>
      </c>
      <c r="B92" s="127" t="str">
        <f t="shared" si="39"/>
        <v>Oracle</v>
      </c>
      <c r="C92" s="32">
        <f t="shared" si="42"/>
        <v>96225</v>
      </c>
      <c r="D92" s="31"/>
      <c r="E92" s="32">
        <f t="shared" si="43"/>
        <v>270000</v>
      </c>
      <c r="F92" s="32"/>
      <c r="G92" s="104"/>
      <c r="H92" s="55">
        <f t="shared" si="44"/>
        <v>0</v>
      </c>
      <c r="I92" s="32">
        <f t="shared" si="36"/>
        <v>248800</v>
      </c>
      <c r="J92" s="30">
        <f t="shared" si="46"/>
        <v>117425</v>
      </c>
      <c r="K92" s="144" t="b">
        <f t="shared" si="38"/>
        <v>1</v>
      </c>
    </row>
    <row r="93" spans="1:11">
      <c r="A93" s="122" t="str">
        <f t="shared" si="40"/>
        <v>AOUT</v>
      </c>
      <c r="B93" s="127" t="str">
        <f t="shared" si="39"/>
        <v>P29</v>
      </c>
      <c r="C93" s="32">
        <f t="shared" si="42"/>
        <v>47800</v>
      </c>
      <c r="D93" s="119"/>
      <c r="E93" s="32">
        <f t="shared" si="43"/>
        <v>861000</v>
      </c>
      <c r="F93" s="51"/>
      <c r="G93" s="138"/>
      <c r="H93" s="55">
        <f t="shared" si="44"/>
        <v>0</v>
      </c>
      <c r="I93" s="32">
        <f t="shared" si="36"/>
        <v>783700</v>
      </c>
      <c r="J93" s="30">
        <f t="shared" si="46"/>
        <v>125100</v>
      </c>
      <c r="K93" s="144" t="b">
        <f t="shared" si="38"/>
        <v>1</v>
      </c>
    </row>
    <row r="94" spans="1:11">
      <c r="A94" s="122" t="str">
        <f t="shared" si="40"/>
        <v>AOUT</v>
      </c>
      <c r="B94" s="127" t="str">
        <f t="shared" si="39"/>
        <v>T73</v>
      </c>
      <c r="C94" s="32">
        <f t="shared" si="42"/>
        <v>10200</v>
      </c>
      <c r="D94" s="119"/>
      <c r="E94" s="32">
        <f t="shared" si="43"/>
        <v>860000</v>
      </c>
      <c r="F94" s="51"/>
      <c r="G94" s="138"/>
      <c r="H94" s="55">
        <f t="shared" si="44"/>
        <v>0</v>
      </c>
      <c r="I94" s="32">
        <f t="shared" si="36"/>
        <v>811000</v>
      </c>
      <c r="J94" s="30">
        <f t="shared" si="46"/>
        <v>59200</v>
      </c>
      <c r="K94" s="144" t="b">
        <f t="shared" si="38"/>
        <v>1</v>
      </c>
    </row>
    <row r="95" spans="1:11">
      <c r="A95" s="34" t="s">
        <v>60</v>
      </c>
      <c r="B95" s="35"/>
      <c r="C95" s="35"/>
      <c r="D95" s="35"/>
      <c r="E95" s="35"/>
      <c r="F95" s="35"/>
      <c r="G95" s="35"/>
      <c r="H95" s="35"/>
      <c r="I95" s="35"/>
      <c r="J95" s="36"/>
      <c r="K95" s="143"/>
    </row>
    <row r="96" spans="1:11">
      <c r="A96" s="122" t="str">
        <f>A94</f>
        <v>AOUT</v>
      </c>
      <c r="B96" s="37" t="s">
        <v>61</v>
      </c>
      <c r="C96" s="38">
        <f>+C55</f>
        <v>1129247</v>
      </c>
      <c r="D96" s="49"/>
      <c r="E96" s="49">
        <f>D55</f>
        <v>6074300</v>
      </c>
      <c r="F96" s="49"/>
      <c r="G96" s="125"/>
      <c r="H96" s="51">
        <f>+F55</f>
        <v>5006000</v>
      </c>
      <c r="I96" s="126">
        <f>+E55</f>
        <v>1821465</v>
      </c>
      <c r="J96" s="30">
        <f>+SUM(C96:G96)-(H96+I96)</f>
        <v>376082</v>
      </c>
      <c r="K96" s="144" t="b">
        <f>J96=I55</f>
        <v>1</v>
      </c>
    </row>
    <row r="97" spans="1:21">
      <c r="A97" s="43" t="s">
        <v>62</v>
      </c>
      <c r="B97" s="24"/>
      <c r="C97" s="35"/>
      <c r="D97" s="24"/>
      <c r="E97" s="24"/>
      <c r="F97" s="24"/>
      <c r="G97" s="24"/>
      <c r="H97" s="24"/>
      <c r="I97" s="24"/>
      <c r="J97" s="36"/>
      <c r="K97" s="143"/>
    </row>
    <row r="98" spans="1:21">
      <c r="A98" s="122" t="str">
        <f>+A96</f>
        <v>AOUT</v>
      </c>
      <c r="B98" s="37" t="s">
        <v>24</v>
      </c>
      <c r="C98" s="125">
        <f>+C53</f>
        <v>4607330</v>
      </c>
      <c r="D98" s="132">
        <f>+G53</f>
        <v>5687720</v>
      </c>
      <c r="E98" s="49"/>
      <c r="F98" s="49"/>
      <c r="G98" s="49"/>
      <c r="H98" s="51">
        <f>+F53</f>
        <v>2000000</v>
      </c>
      <c r="I98" s="53">
        <f>+E53</f>
        <v>993345</v>
      </c>
      <c r="J98" s="30">
        <f>+SUM(C98:G98)-(H98+I98)</f>
        <v>7301705</v>
      </c>
      <c r="K98" s="144" t="b">
        <f>+J98=I53</f>
        <v>1</v>
      </c>
    </row>
    <row r="99" spans="1:21">
      <c r="A99" s="122" t="str">
        <f t="shared" ref="A99" si="47">+A98</f>
        <v>AOUT</v>
      </c>
      <c r="B99" s="37" t="s">
        <v>64</v>
      </c>
      <c r="C99" s="125">
        <f>+C54</f>
        <v>16185729</v>
      </c>
      <c r="D99" s="49">
        <f>+G54</f>
        <v>0</v>
      </c>
      <c r="E99" s="48"/>
      <c r="F99" s="48"/>
      <c r="G99" s="48">
        <f>+D54</f>
        <v>0</v>
      </c>
      <c r="H99" s="32">
        <f>+F54</f>
        <v>4000000</v>
      </c>
      <c r="I99" s="50">
        <f>+E54</f>
        <v>2578288</v>
      </c>
      <c r="J99" s="30">
        <f>+SUM(C99:G99)-(H99+I99)</f>
        <v>9607441</v>
      </c>
      <c r="K99" s="144" t="b">
        <f>+J99=I54</f>
        <v>1</v>
      </c>
    </row>
    <row r="100" spans="1:21" ht="15.75">
      <c r="C100" s="141">
        <f>SUM(C81:C99)</f>
        <v>23141214</v>
      </c>
      <c r="I100" s="140">
        <f>SUM(I81:I99)</f>
        <v>9283398</v>
      </c>
      <c r="J100" s="105">
        <f>+SUM(J81:J99)</f>
        <v>19545536</v>
      </c>
      <c r="K100" s="5" t="b">
        <f>J100=I70</f>
        <v>1</v>
      </c>
    </row>
    <row r="101" spans="1:21" ht="15.75">
      <c r="C101" s="141"/>
      <c r="I101" s="140"/>
      <c r="J101" s="105"/>
    </row>
    <row r="102" spans="1:21" ht="15.75">
      <c r="A102" s="160"/>
      <c r="B102" s="160"/>
      <c r="C102" s="161"/>
      <c r="D102" s="160"/>
      <c r="E102" s="160"/>
      <c r="F102" s="160"/>
      <c r="G102" s="160"/>
      <c r="H102" s="160"/>
      <c r="I102" s="162"/>
      <c r="J102" s="163"/>
      <c r="K102" s="160"/>
      <c r="L102" s="164"/>
      <c r="M102" s="164"/>
      <c r="N102" s="164"/>
      <c r="O102" s="164"/>
      <c r="P102" s="160"/>
    </row>
    <row r="104" spans="1:21" ht="15.75">
      <c r="A104" s="6" t="s">
        <v>36</v>
      </c>
      <c r="B104" s="6" t="s">
        <v>1</v>
      </c>
      <c r="C104" s="6">
        <v>45108</v>
      </c>
      <c r="D104" s="7" t="s">
        <v>37</v>
      </c>
      <c r="E104" s="7" t="s">
        <v>38</v>
      </c>
      <c r="F104" s="7" t="s">
        <v>39</v>
      </c>
      <c r="G104" s="7" t="s">
        <v>40</v>
      </c>
      <c r="H104" s="6">
        <v>45138</v>
      </c>
      <c r="I104" s="7" t="s">
        <v>41</v>
      </c>
      <c r="K104" s="45"/>
      <c r="L104" s="45" t="s">
        <v>42</v>
      </c>
      <c r="M104" s="45" t="s">
        <v>43</v>
      </c>
      <c r="N104" s="45" t="s">
        <v>44</v>
      </c>
      <c r="O104" s="45" t="s">
        <v>45</v>
      </c>
    </row>
    <row r="105" spans="1:21" ht="16.5">
      <c r="A105" s="58" t="str">
        <f>K105</f>
        <v>BCI</v>
      </c>
      <c r="B105" s="59" t="s">
        <v>46</v>
      </c>
      <c r="C105" s="61">
        <v>7240675</v>
      </c>
      <c r="D105" s="61">
        <f>+L105</f>
        <v>0</v>
      </c>
      <c r="E105" s="61">
        <f>+N105</f>
        <v>633345</v>
      </c>
      <c r="F105" s="61">
        <f>+M105</f>
        <v>2000000</v>
      </c>
      <c r="G105" s="61">
        <f t="shared" ref="G105:G121" si="48">+O105</f>
        <v>0</v>
      </c>
      <c r="H105" s="61">
        <v>4607330</v>
      </c>
      <c r="I105" s="61">
        <f>+C105+D105-E105-F105+G105</f>
        <v>4607330</v>
      </c>
      <c r="J105" s="9">
        <f>I105-H105</f>
        <v>0</v>
      </c>
      <c r="K105" s="45" t="s">
        <v>24</v>
      </c>
      <c r="L105" s="181">
        <v>0</v>
      </c>
      <c r="M105" s="181">
        <v>2000000</v>
      </c>
      <c r="N105" s="181">
        <v>633345</v>
      </c>
      <c r="O105" s="181">
        <v>0</v>
      </c>
      <c r="R105"/>
      <c r="S105"/>
      <c r="T105"/>
      <c r="U105"/>
    </row>
    <row r="106" spans="1:21" ht="16.5">
      <c r="A106" s="58" t="str">
        <f t="shared" ref="A106:A121" si="49">K106</f>
        <v>BCI-Sous Compte</v>
      </c>
      <c r="B106" s="59" t="s">
        <v>46</v>
      </c>
      <c r="C106" s="61">
        <v>13642205</v>
      </c>
      <c r="D106" s="61">
        <f>+L106</f>
        <v>0</v>
      </c>
      <c r="E106" s="61">
        <f t="shared" ref="E106:E112" si="50">+N106</f>
        <v>5228280</v>
      </c>
      <c r="F106" s="61">
        <f t="shared" ref="F106:F114" si="51">+M106</f>
        <v>4000000</v>
      </c>
      <c r="G106" s="61">
        <f t="shared" si="48"/>
        <v>11771804</v>
      </c>
      <c r="H106" s="61">
        <v>16185729</v>
      </c>
      <c r="I106" s="61">
        <f t="shared" ref="I106:I112" si="52">+C106+D106-E106-F106+G106</f>
        <v>16185729</v>
      </c>
      <c r="J106" s="9">
        <f t="shared" ref="J106:J121" si="53">I106-H106</f>
        <v>0</v>
      </c>
      <c r="K106" s="45" t="s">
        <v>148</v>
      </c>
      <c r="L106" s="181">
        <v>0</v>
      </c>
      <c r="M106" s="181">
        <v>4000000</v>
      </c>
      <c r="N106" s="181">
        <v>5228280</v>
      </c>
      <c r="O106" s="181">
        <v>11771804</v>
      </c>
      <c r="R106"/>
      <c r="S106"/>
      <c r="T106"/>
      <c r="U106"/>
    </row>
    <row r="107" spans="1:21" ht="16.5">
      <c r="A107" s="58" t="str">
        <f t="shared" si="49"/>
        <v>Caisse</v>
      </c>
      <c r="B107" s="59" t="s">
        <v>25</v>
      </c>
      <c r="C107" s="61">
        <v>798884</v>
      </c>
      <c r="D107" s="61">
        <f t="shared" ref="D107:D121" si="54">+L107</f>
        <v>6705000</v>
      </c>
      <c r="E107" s="61">
        <f t="shared" si="50"/>
        <v>2962137</v>
      </c>
      <c r="F107" s="61">
        <f t="shared" si="51"/>
        <v>3412500</v>
      </c>
      <c r="G107" s="61">
        <f t="shared" si="48"/>
        <v>0</v>
      </c>
      <c r="H107" s="61">
        <v>1129247</v>
      </c>
      <c r="I107" s="61">
        <f t="shared" si="52"/>
        <v>1129247</v>
      </c>
      <c r="J107" s="9">
        <f t="shared" si="53"/>
        <v>0</v>
      </c>
      <c r="K107" s="45" t="s">
        <v>25</v>
      </c>
      <c r="L107" s="181">
        <v>6705000</v>
      </c>
      <c r="M107" s="181">
        <v>3412500</v>
      </c>
      <c r="N107" s="181">
        <v>2962137</v>
      </c>
      <c r="O107" s="181">
        <v>0</v>
      </c>
      <c r="R107"/>
      <c r="S107"/>
      <c r="T107"/>
      <c r="U107"/>
    </row>
    <row r="108" spans="1:21" ht="16.5">
      <c r="A108" s="58" t="str">
        <f t="shared" si="49"/>
        <v>Crépin</v>
      </c>
      <c r="B108" s="59" t="s">
        <v>2</v>
      </c>
      <c r="C108" s="61">
        <v>304020</v>
      </c>
      <c r="D108" s="61">
        <f t="shared" si="54"/>
        <v>317000</v>
      </c>
      <c r="E108" s="61">
        <f t="shared" si="50"/>
        <v>391900</v>
      </c>
      <c r="F108" s="61">
        <f t="shared" si="51"/>
        <v>0</v>
      </c>
      <c r="G108" s="61">
        <f t="shared" si="48"/>
        <v>0</v>
      </c>
      <c r="H108" s="61">
        <v>229120</v>
      </c>
      <c r="I108" s="61">
        <f t="shared" si="52"/>
        <v>229120</v>
      </c>
      <c r="J108" s="9">
        <f t="shared" si="53"/>
        <v>0</v>
      </c>
      <c r="K108" s="45" t="s">
        <v>47</v>
      </c>
      <c r="L108" s="181">
        <v>317000</v>
      </c>
      <c r="M108" s="181">
        <v>0</v>
      </c>
      <c r="N108" s="181">
        <v>391900</v>
      </c>
      <c r="O108" s="181">
        <v>0</v>
      </c>
      <c r="R108"/>
      <c r="S108"/>
      <c r="T108"/>
      <c r="U108"/>
    </row>
    <row r="109" spans="1:21" ht="16.5">
      <c r="A109" s="58" t="str">
        <f t="shared" si="49"/>
        <v>D58</v>
      </c>
      <c r="B109" s="59" t="s">
        <v>4</v>
      </c>
      <c r="C109" s="61">
        <v>53800</v>
      </c>
      <c r="D109" s="61">
        <f t="shared" si="54"/>
        <v>441000</v>
      </c>
      <c r="E109" s="61">
        <f t="shared" si="50"/>
        <v>450500</v>
      </c>
      <c r="F109" s="61">
        <f t="shared" si="51"/>
        <v>0</v>
      </c>
      <c r="G109" s="61">
        <f t="shared" si="48"/>
        <v>0</v>
      </c>
      <c r="H109" s="61">
        <v>44300</v>
      </c>
      <c r="I109" s="61">
        <f t="shared" si="52"/>
        <v>44300</v>
      </c>
      <c r="J109" s="9">
        <f t="shared" si="53"/>
        <v>0</v>
      </c>
      <c r="K109" s="45" t="s">
        <v>269</v>
      </c>
      <c r="L109" s="181">
        <v>441000</v>
      </c>
      <c r="M109" s="181">
        <v>0</v>
      </c>
      <c r="N109" s="181">
        <v>450500</v>
      </c>
      <c r="O109" s="181">
        <v>0</v>
      </c>
      <c r="R109"/>
      <c r="S109"/>
      <c r="T109"/>
      <c r="U109"/>
    </row>
    <row r="110" spans="1:21" ht="16.5">
      <c r="A110" s="58" t="str">
        <f t="shared" si="49"/>
        <v>Donald-Roméo</v>
      </c>
      <c r="B110" s="59" t="s">
        <v>154</v>
      </c>
      <c r="C110" s="61">
        <v>236135</v>
      </c>
      <c r="D110" s="61">
        <f t="shared" si="54"/>
        <v>649500</v>
      </c>
      <c r="E110" s="61">
        <f t="shared" si="50"/>
        <v>775980</v>
      </c>
      <c r="F110" s="61">
        <f t="shared" si="51"/>
        <v>65000</v>
      </c>
      <c r="G110" s="61">
        <f t="shared" si="48"/>
        <v>0</v>
      </c>
      <c r="H110" s="61">
        <v>44655</v>
      </c>
      <c r="I110" s="61">
        <f t="shared" si="52"/>
        <v>44655</v>
      </c>
      <c r="J110" s="9">
        <f t="shared" si="53"/>
        <v>0</v>
      </c>
      <c r="K110" s="45" t="s">
        <v>299</v>
      </c>
      <c r="L110" s="181">
        <v>649500</v>
      </c>
      <c r="M110" s="181">
        <v>65000</v>
      </c>
      <c r="N110" s="181">
        <v>775980</v>
      </c>
      <c r="O110" s="181">
        <v>0</v>
      </c>
      <c r="R110"/>
      <c r="S110"/>
      <c r="T110"/>
      <c r="U110"/>
    </row>
    <row r="111" spans="1:21" ht="16.5">
      <c r="A111" s="58" t="str">
        <f t="shared" si="49"/>
        <v>Dovi</v>
      </c>
      <c r="B111" s="59" t="s">
        <v>2</v>
      </c>
      <c r="C111" s="61">
        <v>76000</v>
      </c>
      <c r="D111" s="61">
        <f t="shared" si="54"/>
        <v>0</v>
      </c>
      <c r="E111" s="61">
        <f t="shared" si="50"/>
        <v>28000</v>
      </c>
      <c r="F111" s="61">
        <f t="shared" si="51"/>
        <v>0</v>
      </c>
      <c r="G111" s="61">
        <f t="shared" si="48"/>
        <v>0</v>
      </c>
      <c r="H111" s="61">
        <v>48000</v>
      </c>
      <c r="I111" s="61">
        <f t="shared" si="52"/>
        <v>48000</v>
      </c>
      <c r="J111" s="9">
        <f t="shared" si="53"/>
        <v>0</v>
      </c>
      <c r="K111" s="45" t="s">
        <v>307</v>
      </c>
      <c r="L111" s="181">
        <v>0</v>
      </c>
      <c r="M111" s="181">
        <v>0</v>
      </c>
      <c r="N111" s="181">
        <v>28000</v>
      </c>
      <c r="O111" s="181">
        <v>0</v>
      </c>
    </row>
    <row r="112" spans="1:21" ht="16.5">
      <c r="A112" s="58" t="str">
        <f t="shared" si="49"/>
        <v>Evariste</v>
      </c>
      <c r="B112" s="59" t="s">
        <v>155</v>
      </c>
      <c r="C112" s="61">
        <v>78975</v>
      </c>
      <c r="D112" s="61">
        <f t="shared" si="54"/>
        <v>75000</v>
      </c>
      <c r="E112" s="61">
        <f t="shared" si="50"/>
        <v>136000</v>
      </c>
      <c r="F112" s="61">
        <f t="shared" si="51"/>
        <v>0</v>
      </c>
      <c r="G112" s="61">
        <f t="shared" si="48"/>
        <v>0</v>
      </c>
      <c r="H112" s="61">
        <v>17975</v>
      </c>
      <c r="I112" s="61">
        <f t="shared" si="52"/>
        <v>17975</v>
      </c>
      <c r="J112" s="9">
        <f t="shared" si="53"/>
        <v>0</v>
      </c>
      <c r="K112" s="45" t="s">
        <v>31</v>
      </c>
      <c r="L112" s="181">
        <v>75000</v>
      </c>
      <c r="M112" s="181">
        <v>0</v>
      </c>
      <c r="N112" s="181">
        <v>136000</v>
      </c>
      <c r="O112" s="181">
        <v>0</v>
      </c>
      <c r="R112"/>
      <c r="S112"/>
      <c r="T112"/>
      <c r="U112"/>
    </row>
    <row r="113" spans="1:21" ht="16.5">
      <c r="A113" s="58" t="str">
        <f t="shared" si="49"/>
        <v>I55S</v>
      </c>
      <c r="B113" s="116" t="s">
        <v>4</v>
      </c>
      <c r="C113" s="118">
        <v>233614</v>
      </c>
      <c r="D113" s="118">
        <f t="shared" si="54"/>
        <v>0</v>
      </c>
      <c r="E113" s="118">
        <f>+N113</f>
        <v>0</v>
      </c>
      <c r="F113" s="118">
        <f t="shared" si="51"/>
        <v>0</v>
      </c>
      <c r="G113" s="118">
        <f t="shared" si="48"/>
        <v>0</v>
      </c>
      <c r="H113" s="118">
        <v>233614</v>
      </c>
      <c r="I113" s="118">
        <f>+C113+D113-E113-F113+G113</f>
        <v>233614</v>
      </c>
      <c r="J113" s="9">
        <f t="shared" si="53"/>
        <v>0</v>
      </c>
      <c r="K113" s="45" t="s">
        <v>84</v>
      </c>
      <c r="L113" s="181">
        <v>0</v>
      </c>
      <c r="M113" s="181">
        <v>0</v>
      </c>
      <c r="N113" s="181">
        <v>0</v>
      </c>
      <c r="O113" s="181">
        <v>0</v>
      </c>
      <c r="R113"/>
      <c r="S113"/>
      <c r="T113"/>
      <c r="U113"/>
    </row>
    <row r="114" spans="1:21" ht="16.5">
      <c r="A114" s="58" t="str">
        <f t="shared" si="49"/>
        <v>I73X</v>
      </c>
      <c r="B114" s="116" t="s">
        <v>4</v>
      </c>
      <c r="C114" s="118">
        <v>249769</v>
      </c>
      <c r="D114" s="118">
        <f t="shared" si="54"/>
        <v>0</v>
      </c>
      <c r="E114" s="118">
        <f>+N114</f>
        <v>0</v>
      </c>
      <c r="F114" s="118">
        <f t="shared" si="51"/>
        <v>0</v>
      </c>
      <c r="G114" s="118">
        <f t="shared" si="48"/>
        <v>0</v>
      </c>
      <c r="H114" s="118">
        <v>249769</v>
      </c>
      <c r="I114" s="118">
        <f t="shared" ref="I114:I115" si="55">+C114+D114-E114-F114+G114</f>
        <v>249769</v>
      </c>
      <c r="J114" s="9">
        <f t="shared" si="53"/>
        <v>0</v>
      </c>
      <c r="K114" s="45" t="s">
        <v>83</v>
      </c>
      <c r="L114" s="181">
        <v>0</v>
      </c>
      <c r="M114" s="181">
        <v>0</v>
      </c>
      <c r="N114" s="181">
        <v>0</v>
      </c>
      <c r="O114" s="181">
        <v>0</v>
      </c>
      <c r="R114"/>
      <c r="S114"/>
      <c r="T114"/>
      <c r="U114"/>
    </row>
    <row r="115" spans="1:21" s="188" customFormat="1" ht="16.5">
      <c r="A115" s="58" t="str">
        <f t="shared" si="49"/>
        <v>Grace</v>
      </c>
      <c r="B115" s="59" t="s">
        <v>2</v>
      </c>
      <c r="C115" s="184">
        <v>300650</v>
      </c>
      <c r="D115" s="61">
        <f t="shared" si="54"/>
        <v>0</v>
      </c>
      <c r="E115" s="61">
        <f t="shared" ref="E115:E121" si="56">+N115</f>
        <v>25500</v>
      </c>
      <c r="F115" s="61">
        <f>+M115</f>
        <v>120000</v>
      </c>
      <c r="G115" s="61">
        <f t="shared" si="48"/>
        <v>0</v>
      </c>
      <c r="H115" s="184">
        <v>155150</v>
      </c>
      <c r="I115" s="184">
        <f t="shared" si="55"/>
        <v>155150</v>
      </c>
      <c r="J115" s="9">
        <f t="shared" si="53"/>
        <v>0</v>
      </c>
      <c r="K115" s="186" t="s">
        <v>143</v>
      </c>
      <c r="L115" s="181">
        <v>0</v>
      </c>
      <c r="M115" s="181">
        <v>120000</v>
      </c>
      <c r="N115" s="181">
        <v>25500</v>
      </c>
      <c r="O115" s="181">
        <v>0</v>
      </c>
      <c r="R115"/>
      <c r="S115"/>
      <c r="T115"/>
      <c r="U115"/>
    </row>
    <row r="116" spans="1:21" ht="16.5">
      <c r="A116" s="58" t="str">
        <f t="shared" si="49"/>
        <v>Hurielle</v>
      </c>
      <c r="B116" s="98" t="s">
        <v>154</v>
      </c>
      <c r="C116" s="61">
        <v>0</v>
      </c>
      <c r="D116" s="61">
        <f t="shared" si="54"/>
        <v>20000</v>
      </c>
      <c r="E116" s="61">
        <f t="shared" si="56"/>
        <v>16500</v>
      </c>
      <c r="F116" s="61">
        <f t="shared" ref="F116:F121" si="57">+M116</f>
        <v>0</v>
      </c>
      <c r="G116" s="61">
        <f t="shared" si="48"/>
        <v>0</v>
      </c>
      <c r="H116" s="184">
        <v>3500</v>
      </c>
      <c r="I116" s="184">
        <f>+C116+D116-E116-F116+G116</f>
        <v>3500</v>
      </c>
      <c r="J116" s="9">
        <f t="shared" si="53"/>
        <v>0</v>
      </c>
      <c r="K116" s="45" t="s">
        <v>197</v>
      </c>
      <c r="L116" s="181">
        <v>20000</v>
      </c>
      <c r="M116" s="181">
        <v>0</v>
      </c>
      <c r="N116" s="181">
        <v>16500</v>
      </c>
      <c r="O116" s="181">
        <v>0</v>
      </c>
      <c r="R116"/>
      <c r="S116"/>
      <c r="T116"/>
      <c r="U116"/>
    </row>
    <row r="117" spans="1:21" s="188" customFormat="1" ht="16.5">
      <c r="A117" s="58" t="str">
        <f t="shared" si="49"/>
        <v>IT87</v>
      </c>
      <c r="B117" s="59" t="s">
        <v>4</v>
      </c>
      <c r="C117" s="184">
        <v>0</v>
      </c>
      <c r="D117" s="61">
        <f t="shared" si="54"/>
        <v>40000</v>
      </c>
      <c r="E117" s="61">
        <f t="shared" si="56"/>
        <v>38000</v>
      </c>
      <c r="F117" s="61">
        <f t="shared" si="57"/>
        <v>0</v>
      </c>
      <c r="G117" s="61">
        <f t="shared" si="48"/>
        <v>0</v>
      </c>
      <c r="H117" s="184">
        <v>2000</v>
      </c>
      <c r="I117" s="184">
        <f t="shared" ref="I117:I121" si="58">+C117+D117-E117-F117+G117</f>
        <v>2000</v>
      </c>
      <c r="J117" s="9">
        <f t="shared" si="53"/>
        <v>0</v>
      </c>
      <c r="K117" s="186" t="s">
        <v>317</v>
      </c>
      <c r="L117" s="181">
        <v>40000</v>
      </c>
      <c r="M117" s="181">
        <v>0</v>
      </c>
      <c r="N117" s="181">
        <v>38000</v>
      </c>
      <c r="O117" s="181">
        <v>0</v>
      </c>
      <c r="R117"/>
      <c r="S117"/>
      <c r="T117"/>
      <c r="U117"/>
    </row>
    <row r="118" spans="1:21" ht="16.5">
      <c r="A118" s="58" t="str">
        <f t="shared" si="49"/>
        <v>Merveille</v>
      </c>
      <c r="B118" s="98" t="s">
        <v>2</v>
      </c>
      <c r="C118" s="61">
        <v>225600</v>
      </c>
      <c r="D118" s="61">
        <f t="shared" si="54"/>
        <v>20000</v>
      </c>
      <c r="E118" s="61">
        <f t="shared" si="56"/>
        <v>49000</v>
      </c>
      <c r="F118" s="61">
        <f t="shared" si="57"/>
        <v>160000</v>
      </c>
      <c r="G118" s="61">
        <f t="shared" si="48"/>
        <v>0</v>
      </c>
      <c r="H118" s="184">
        <v>36600</v>
      </c>
      <c r="I118" s="184">
        <f t="shared" si="58"/>
        <v>36600</v>
      </c>
      <c r="J118" s="9">
        <f t="shared" si="53"/>
        <v>0</v>
      </c>
      <c r="K118" s="45" t="s">
        <v>93</v>
      </c>
      <c r="L118" s="181">
        <v>20000</v>
      </c>
      <c r="M118" s="181">
        <v>160000</v>
      </c>
      <c r="N118" s="181">
        <v>49000</v>
      </c>
      <c r="O118" s="181">
        <v>0</v>
      </c>
      <c r="R118"/>
      <c r="S118"/>
      <c r="T118"/>
      <c r="U118"/>
    </row>
    <row r="119" spans="1:21" ht="16.5">
      <c r="A119" s="58" t="str">
        <f t="shared" si="49"/>
        <v>Oracle</v>
      </c>
      <c r="B119" s="98" t="s">
        <v>154</v>
      </c>
      <c r="C119" s="61">
        <v>25225</v>
      </c>
      <c r="D119" s="61">
        <f t="shared" si="54"/>
        <v>449000</v>
      </c>
      <c r="E119" s="61">
        <f t="shared" si="56"/>
        <v>378000</v>
      </c>
      <c r="F119" s="61">
        <f t="shared" si="57"/>
        <v>0</v>
      </c>
      <c r="G119" s="61">
        <f t="shared" si="48"/>
        <v>0</v>
      </c>
      <c r="H119" s="184">
        <v>96225</v>
      </c>
      <c r="I119" s="184">
        <f t="shared" si="58"/>
        <v>96225</v>
      </c>
      <c r="J119" s="9">
        <f t="shared" si="53"/>
        <v>0</v>
      </c>
      <c r="K119" s="45" t="s">
        <v>300</v>
      </c>
      <c r="L119" s="181">
        <v>449000</v>
      </c>
      <c r="M119" s="181">
        <v>0</v>
      </c>
      <c r="N119" s="181">
        <v>378000</v>
      </c>
      <c r="O119" s="181">
        <v>0</v>
      </c>
      <c r="R119"/>
      <c r="S119"/>
      <c r="T119"/>
      <c r="U119"/>
    </row>
    <row r="120" spans="1:21" ht="16.5">
      <c r="A120" s="58" t="str">
        <f t="shared" si="49"/>
        <v>P29</v>
      </c>
      <c r="B120" s="59" t="s">
        <v>4</v>
      </c>
      <c r="C120" s="61">
        <v>92800</v>
      </c>
      <c r="D120" s="61">
        <f t="shared" si="54"/>
        <v>870000</v>
      </c>
      <c r="E120" s="61">
        <f t="shared" si="56"/>
        <v>555000</v>
      </c>
      <c r="F120" s="61">
        <f t="shared" si="57"/>
        <v>360000</v>
      </c>
      <c r="G120" s="61">
        <f t="shared" si="48"/>
        <v>0</v>
      </c>
      <c r="H120" s="184">
        <v>47800</v>
      </c>
      <c r="I120" s="184">
        <f t="shared" si="58"/>
        <v>47800</v>
      </c>
      <c r="J120" s="9">
        <f t="shared" si="53"/>
        <v>0</v>
      </c>
      <c r="K120" s="45" t="s">
        <v>29</v>
      </c>
      <c r="L120" s="181">
        <v>870000</v>
      </c>
      <c r="M120" s="181">
        <v>360000</v>
      </c>
      <c r="N120" s="181">
        <v>555000</v>
      </c>
      <c r="O120" s="181">
        <v>0</v>
      </c>
    </row>
    <row r="121" spans="1:21" ht="16.5">
      <c r="A121" s="58" t="str">
        <f t="shared" si="49"/>
        <v>T73</v>
      </c>
      <c r="B121" s="59" t="s">
        <v>2</v>
      </c>
      <c r="C121" s="61">
        <v>35200</v>
      </c>
      <c r="D121" s="61">
        <f t="shared" si="54"/>
        <v>531000</v>
      </c>
      <c r="E121" s="61">
        <f t="shared" si="56"/>
        <v>556000</v>
      </c>
      <c r="F121" s="61">
        <f t="shared" si="57"/>
        <v>0</v>
      </c>
      <c r="G121" s="61">
        <f t="shared" si="48"/>
        <v>0</v>
      </c>
      <c r="H121" s="184">
        <v>10200</v>
      </c>
      <c r="I121" s="184">
        <f t="shared" si="58"/>
        <v>10200</v>
      </c>
      <c r="J121" s="9">
        <f t="shared" si="53"/>
        <v>0</v>
      </c>
      <c r="K121" s="45" t="s">
        <v>268</v>
      </c>
      <c r="L121" s="181">
        <v>531000</v>
      </c>
      <c r="M121" s="181">
        <v>0</v>
      </c>
      <c r="N121" s="181">
        <v>556000</v>
      </c>
      <c r="O121" s="181">
        <v>0</v>
      </c>
    </row>
    <row r="122" spans="1:21" ht="16.5">
      <c r="A122" s="10" t="s">
        <v>50</v>
      </c>
      <c r="B122" s="11"/>
      <c r="C122" s="12">
        <f t="shared" ref="C122:I122" si="59">SUM(C105:C121)</f>
        <v>23593552</v>
      </c>
      <c r="D122" s="57">
        <f t="shared" si="59"/>
        <v>10117500</v>
      </c>
      <c r="E122" s="57">
        <f t="shared" si="59"/>
        <v>12224142</v>
      </c>
      <c r="F122" s="57">
        <f t="shared" si="59"/>
        <v>10117500</v>
      </c>
      <c r="G122" s="57">
        <f t="shared" si="59"/>
        <v>11771804</v>
      </c>
      <c r="H122" s="57">
        <f t="shared" si="59"/>
        <v>23141214</v>
      </c>
      <c r="I122" s="57">
        <f t="shared" si="59"/>
        <v>23141214</v>
      </c>
      <c r="J122" s="9"/>
      <c r="K122" s="3"/>
      <c r="L122" s="47">
        <f>+SUM(L105:L121)</f>
        <v>10117500</v>
      </c>
      <c r="M122" s="47">
        <f>+SUM(M105:M121)</f>
        <v>10117500</v>
      </c>
      <c r="N122" s="47">
        <f>+SUM(N105:N121)</f>
        <v>12224142</v>
      </c>
      <c r="O122" s="47">
        <f>+SUM(O105:O121)</f>
        <v>11771804</v>
      </c>
    </row>
    <row r="123" spans="1:21" ht="16.5">
      <c r="A123" s="10"/>
      <c r="B123" s="11"/>
      <c r="C123" s="12"/>
      <c r="D123" s="13"/>
      <c r="E123" s="12"/>
      <c r="F123" s="13"/>
      <c r="G123" s="12"/>
      <c r="H123" s="12"/>
      <c r="I123" s="134" t="b">
        <f>I122=D125</f>
        <v>1</v>
      </c>
      <c r="J123" s="9"/>
      <c r="L123" s="5"/>
      <c r="M123" s="5"/>
      <c r="N123" s="5"/>
      <c r="O123" s="5"/>
    </row>
    <row r="124" spans="1:21" ht="16.5">
      <c r="A124" s="10" t="s">
        <v>313</v>
      </c>
      <c r="B124" s="11" t="s">
        <v>234</v>
      </c>
      <c r="C124" s="12" t="s">
        <v>227</v>
      </c>
      <c r="D124" s="12" t="s">
        <v>320</v>
      </c>
      <c r="E124" s="12" t="s">
        <v>51</v>
      </c>
      <c r="F124" s="12"/>
      <c r="G124" s="12">
        <f>+D122-F122</f>
        <v>0</v>
      </c>
      <c r="H124" s="12"/>
      <c r="I124" s="212"/>
    </row>
    <row r="125" spans="1:21" ht="16.5">
      <c r="A125" s="14">
        <f>C122</f>
        <v>23593552</v>
      </c>
      <c r="B125" s="15">
        <f>G122</f>
        <v>11771804</v>
      </c>
      <c r="C125" s="12">
        <f>E122</f>
        <v>12224142</v>
      </c>
      <c r="D125" s="12">
        <f>A125+B125-C125</f>
        <v>23141214</v>
      </c>
      <c r="E125" s="13">
        <f>I122-D125</f>
        <v>0</v>
      </c>
      <c r="F125" s="12"/>
      <c r="G125" s="12"/>
      <c r="H125" s="12"/>
      <c r="I125" s="12"/>
    </row>
    <row r="126" spans="1:21" ht="16.5">
      <c r="A126" s="14"/>
      <c r="B126" s="15"/>
      <c r="C126" s="12"/>
      <c r="D126" s="12"/>
      <c r="E126" s="13"/>
      <c r="F126" s="12"/>
      <c r="G126" s="12"/>
      <c r="H126" s="12"/>
      <c r="I126" s="12"/>
    </row>
    <row r="127" spans="1:21">
      <c r="A127" s="16" t="s">
        <v>52</v>
      </c>
      <c r="B127" s="16"/>
      <c r="C127" s="16"/>
      <c r="D127" s="17"/>
      <c r="E127" s="17"/>
      <c r="F127" s="17"/>
      <c r="G127" s="17"/>
      <c r="H127" s="17"/>
      <c r="I127" s="17"/>
    </row>
    <row r="128" spans="1:21">
      <c r="A128" s="18" t="s">
        <v>314</v>
      </c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1">
      <c r="A129" s="19"/>
      <c r="B129" s="17"/>
      <c r="C129" s="20"/>
      <c r="D129" s="20"/>
      <c r="E129" s="20"/>
      <c r="F129" s="20"/>
      <c r="G129" s="20"/>
      <c r="H129" s="17"/>
      <c r="I129" s="17"/>
    </row>
    <row r="130" spans="1:11" ht="45" customHeight="1">
      <c r="A130" s="169" t="s">
        <v>53</v>
      </c>
      <c r="B130" s="171" t="s">
        <v>54</v>
      </c>
      <c r="C130" s="173" t="s">
        <v>315</v>
      </c>
      <c r="D130" s="174" t="s">
        <v>55</v>
      </c>
      <c r="E130" s="175"/>
      <c r="F130" s="175"/>
      <c r="G130" s="176"/>
      <c r="H130" s="177" t="s">
        <v>56</v>
      </c>
      <c r="I130" s="165" t="s">
        <v>57</v>
      </c>
      <c r="J130" s="210"/>
    </row>
    <row r="131" spans="1:11" ht="28.5" customHeight="1">
      <c r="A131" s="170"/>
      <c r="B131" s="172"/>
      <c r="C131" s="22"/>
      <c r="D131" s="21" t="s">
        <v>24</v>
      </c>
      <c r="E131" s="21" t="s">
        <v>25</v>
      </c>
      <c r="F131" s="22" t="s">
        <v>123</v>
      </c>
      <c r="G131" s="21" t="s">
        <v>58</v>
      </c>
      <c r="H131" s="178"/>
      <c r="I131" s="166"/>
      <c r="J131" s="168" t="s">
        <v>316</v>
      </c>
      <c r="K131" s="143"/>
    </row>
    <row r="132" spans="1:11">
      <c r="A132" s="23"/>
      <c r="B132" s="24" t="s">
        <v>59</v>
      </c>
      <c r="C132" s="25"/>
      <c r="D132" s="25"/>
      <c r="E132" s="25"/>
      <c r="F132" s="25"/>
      <c r="G132" s="25"/>
      <c r="H132" s="25"/>
      <c r="I132" s="26"/>
      <c r="J132" s="168"/>
      <c r="K132" s="143"/>
    </row>
    <row r="133" spans="1:11">
      <c r="A133" s="122" t="s">
        <v>72</v>
      </c>
      <c r="B133" s="127" t="str">
        <f>A108</f>
        <v>Crépin</v>
      </c>
      <c r="C133" s="32">
        <f>+C108</f>
        <v>304020</v>
      </c>
      <c r="D133" s="31"/>
      <c r="E133" s="32">
        <f>+D108</f>
        <v>317000</v>
      </c>
      <c r="F133" s="32"/>
      <c r="G133" s="32"/>
      <c r="H133" s="55">
        <f>+F108</f>
        <v>0</v>
      </c>
      <c r="I133" s="32">
        <f t="shared" ref="I133:I146" si="60">+E108</f>
        <v>391900</v>
      </c>
      <c r="J133" s="30">
        <f t="shared" ref="J133:J135" si="61">+SUM(C133:G133)-(H133+I133)</f>
        <v>229120</v>
      </c>
      <c r="K133" s="144" t="b">
        <f t="shared" ref="K133:K146" si="62">J133=I108</f>
        <v>1</v>
      </c>
    </row>
    <row r="134" spans="1:11">
      <c r="A134" s="122" t="str">
        <f>+A133</f>
        <v>JUILLET</v>
      </c>
      <c r="B134" s="127" t="str">
        <f t="shared" ref="B134:B146" si="63">A109</f>
        <v>D58</v>
      </c>
      <c r="C134" s="32">
        <f>+C109</f>
        <v>53800</v>
      </c>
      <c r="D134" s="31"/>
      <c r="E134" s="32">
        <f>+D109</f>
        <v>441000</v>
      </c>
      <c r="F134" s="32"/>
      <c r="G134" s="32"/>
      <c r="H134" s="55">
        <f>+F109</f>
        <v>0</v>
      </c>
      <c r="I134" s="32">
        <f t="shared" si="60"/>
        <v>450500</v>
      </c>
      <c r="J134" s="30">
        <f t="shared" si="61"/>
        <v>44300</v>
      </c>
      <c r="K134" s="144" t="b">
        <f t="shared" si="62"/>
        <v>1</v>
      </c>
    </row>
    <row r="135" spans="1:11">
      <c r="A135" s="122" t="str">
        <f t="shared" ref="A135:A146" si="64">+A134</f>
        <v>JUILLET</v>
      </c>
      <c r="B135" s="127" t="str">
        <f t="shared" si="63"/>
        <v>Donald-Roméo</v>
      </c>
      <c r="C135" s="32">
        <f>+C110</f>
        <v>236135</v>
      </c>
      <c r="D135" s="31"/>
      <c r="E135" s="32">
        <f>+D110</f>
        <v>649500</v>
      </c>
      <c r="F135" s="32"/>
      <c r="G135" s="32"/>
      <c r="H135" s="55">
        <f>+F110</f>
        <v>65000</v>
      </c>
      <c r="I135" s="32">
        <f t="shared" si="60"/>
        <v>775980</v>
      </c>
      <c r="J135" s="30">
        <f t="shared" si="61"/>
        <v>44655</v>
      </c>
      <c r="K135" s="144" t="b">
        <f t="shared" si="62"/>
        <v>1</v>
      </c>
    </row>
    <row r="136" spans="1:11">
      <c r="A136" s="122" t="str">
        <f t="shared" si="64"/>
        <v>JUILLET</v>
      </c>
      <c r="B136" s="127" t="str">
        <f t="shared" si="63"/>
        <v>Dovi</v>
      </c>
      <c r="C136" s="32">
        <f>+C111</f>
        <v>76000</v>
      </c>
      <c r="D136" s="31"/>
      <c r="E136" s="32">
        <f>+D111</f>
        <v>0</v>
      </c>
      <c r="F136" s="32"/>
      <c r="G136" s="32"/>
      <c r="H136" s="55">
        <f>+F111</f>
        <v>0</v>
      </c>
      <c r="I136" s="32">
        <f t="shared" si="60"/>
        <v>28000</v>
      </c>
      <c r="J136" s="30">
        <f t="shared" ref="J136" si="65">+SUM(C136:G136)-(H136+I136)</f>
        <v>48000</v>
      </c>
      <c r="K136" s="144" t="b">
        <f t="shared" si="62"/>
        <v>1</v>
      </c>
    </row>
    <row r="137" spans="1:11">
      <c r="A137" s="122" t="str">
        <f t="shared" si="64"/>
        <v>JUILLET</v>
      </c>
      <c r="B137" s="127" t="str">
        <f t="shared" si="63"/>
        <v>Evariste</v>
      </c>
      <c r="C137" s="32">
        <f t="shared" ref="C137:C146" si="66">+C112</f>
        <v>78975</v>
      </c>
      <c r="D137" s="31"/>
      <c r="E137" s="32">
        <f t="shared" ref="E137:E146" si="67">+D112</f>
        <v>75000</v>
      </c>
      <c r="F137" s="32"/>
      <c r="G137" s="32"/>
      <c r="H137" s="55">
        <f t="shared" ref="H137:H146" si="68">+F112</f>
        <v>0</v>
      </c>
      <c r="I137" s="32">
        <f t="shared" si="60"/>
        <v>136000</v>
      </c>
      <c r="J137" s="30">
        <f t="shared" ref="J137" si="69">+SUM(C137:G137)-(H137+I137)</f>
        <v>17975</v>
      </c>
      <c r="K137" s="144" t="b">
        <f t="shared" si="62"/>
        <v>1</v>
      </c>
    </row>
    <row r="138" spans="1:11">
      <c r="A138" s="122" t="str">
        <f t="shared" si="64"/>
        <v>JUILLET</v>
      </c>
      <c r="B138" s="129" t="str">
        <f t="shared" si="63"/>
        <v>I55S</v>
      </c>
      <c r="C138" s="120">
        <f t="shared" si="66"/>
        <v>233614</v>
      </c>
      <c r="D138" s="123"/>
      <c r="E138" s="120">
        <f t="shared" si="67"/>
        <v>0</v>
      </c>
      <c r="F138" s="137"/>
      <c r="G138" s="137"/>
      <c r="H138" s="155">
        <f t="shared" si="68"/>
        <v>0</v>
      </c>
      <c r="I138" s="120">
        <f t="shared" si="60"/>
        <v>0</v>
      </c>
      <c r="J138" s="121">
        <f>+SUM(C138:G138)-(H138+I138)</f>
        <v>233614</v>
      </c>
      <c r="K138" s="144" t="b">
        <f t="shared" si="62"/>
        <v>1</v>
      </c>
    </row>
    <row r="139" spans="1:11">
      <c r="A139" s="122" t="str">
        <f t="shared" si="64"/>
        <v>JUILLET</v>
      </c>
      <c r="B139" s="129" t="str">
        <f t="shared" si="63"/>
        <v>I73X</v>
      </c>
      <c r="C139" s="120">
        <f t="shared" si="66"/>
        <v>249769</v>
      </c>
      <c r="D139" s="123"/>
      <c r="E139" s="120">
        <f t="shared" si="67"/>
        <v>0</v>
      </c>
      <c r="F139" s="137"/>
      <c r="G139" s="137"/>
      <c r="H139" s="155">
        <f t="shared" si="68"/>
        <v>0</v>
      </c>
      <c r="I139" s="120">
        <f t="shared" si="60"/>
        <v>0</v>
      </c>
      <c r="J139" s="121">
        <f t="shared" ref="J139:J146" si="70">+SUM(C139:G139)-(H139+I139)</f>
        <v>249769</v>
      </c>
      <c r="K139" s="144" t="b">
        <f t="shared" si="62"/>
        <v>1</v>
      </c>
    </row>
    <row r="140" spans="1:11">
      <c r="A140" s="122" t="str">
        <f t="shared" si="64"/>
        <v>JUILLET</v>
      </c>
      <c r="B140" s="127" t="str">
        <f t="shared" si="63"/>
        <v>Grace</v>
      </c>
      <c r="C140" s="32">
        <f t="shared" si="66"/>
        <v>300650</v>
      </c>
      <c r="D140" s="31"/>
      <c r="E140" s="32">
        <f t="shared" si="67"/>
        <v>0</v>
      </c>
      <c r="F140" s="32"/>
      <c r="G140" s="104"/>
      <c r="H140" s="55">
        <f t="shared" si="68"/>
        <v>120000</v>
      </c>
      <c r="I140" s="32">
        <f t="shared" si="60"/>
        <v>25500</v>
      </c>
      <c r="J140" s="30">
        <f t="shared" si="70"/>
        <v>155150</v>
      </c>
      <c r="K140" s="144" t="b">
        <f t="shared" si="62"/>
        <v>1</v>
      </c>
    </row>
    <row r="141" spans="1:11">
      <c r="A141" s="122" t="str">
        <f t="shared" si="64"/>
        <v>JUILLET</v>
      </c>
      <c r="B141" s="127" t="str">
        <f t="shared" si="63"/>
        <v>Hurielle</v>
      </c>
      <c r="C141" s="32">
        <f t="shared" si="66"/>
        <v>0</v>
      </c>
      <c r="D141" s="31"/>
      <c r="E141" s="32">
        <f t="shared" si="67"/>
        <v>20000</v>
      </c>
      <c r="F141" s="32"/>
      <c r="G141" s="104"/>
      <c r="H141" s="55">
        <f t="shared" si="68"/>
        <v>0</v>
      </c>
      <c r="I141" s="32">
        <f t="shared" si="60"/>
        <v>16500</v>
      </c>
      <c r="J141" s="30">
        <f t="shared" si="70"/>
        <v>3500</v>
      </c>
      <c r="K141" s="144" t="b">
        <f t="shared" si="62"/>
        <v>1</v>
      </c>
    </row>
    <row r="142" spans="1:11">
      <c r="A142" s="122" t="str">
        <f t="shared" si="64"/>
        <v>JUILLET</v>
      </c>
      <c r="B142" s="127" t="str">
        <f t="shared" si="63"/>
        <v>IT87</v>
      </c>
      <c r="C142" s="32">
        <f t="shared" si="66"/>
        <v>0</v>
      </c>
      <c r="D142" s="31"/>
      <c r="E142" s="32">
        <f t="shared" si="67"/>
        <v>40000</v>
      </c>
      <c r="F142" s="32"/>
      <c r="G142" s="104"/>
      <c r="H142" s="55">
        <f t="shared" si="68"/>
        <v>0</v>
      </c>
      <c r="I142" s="32">
        <f t="shared" si="60"/>
        <v>38000</v>
      </c>
      <c r="J142" s="30">
        <f t="shared" si="70"/>
        <v>2000</v>
      </c>
      <c r="K142" s="144" t="b">
        <f t="shared" si="62"/>
        <v>1</v>
      </c>
    </row>
    <row r="143" spans="1:11">
      <c r="A143" s="122" t="str">
        <f t="shared" si="64"/>
        <v>JUILLET</v>
      </c>
      <c r="B143" s="127" t="str">
        <f t="shared" si="63"/>
        <v>Merveille</v>
      </c>
      <c r="C143" s="32">
        <f t="shared" si="66"/>
        <v>225600</v>
      </c>
      <c r="D143" s="31"/>
      <c r="E143" s="32">
        <f t="shared" si="67"/>
        <v>20000</v>
      </c>
      <c r="F143" s="32"/>
      <c r="G143" s="104"/>
      <c r="H143" s="55">
        <f t="shared" si="68"/>
        <v>160000</v>
      </c>
      <c r="I143" s="32">
        <f t="shared" si="60"/>
        <v>49000</v>
      </c>
      <c r="J143" s="30">
        <f t="shared" si="70"/>
        <v>36600</v>
      </c>
      <c r="K143" s="144" t="b">
        <f t="shared" si="62"/>
        <v>1</v>
      </c>
    </row>
    <row r="144" spans="1:11">
      <c r="A144" s="122" t="str">
        <f t="shared" si="64"/>
        <v>JUILLET</v>
      </c>
      <c r="B144" s="127" t="str">
        <f t="shared" si="63"/>
        <v>Oracle</v>
      </c>
      <c r="C144" s="32">
        <f t="shared" si="66"/>
        <v>25225</v>
      </c>
      <c r="D144" s="31"/>
      <c r="E144" s="32">
        <f t="shared" si="67"/>
        <v>449000</v>
      </c>
      <c r="F144" s="32"/>
      <c r="G144" s="104"/>
      <c r="H144" s="55">
        <f t="shared" si="68"/>
        <v>0</v>
      </c>
      <c r="I144" s="32">
        <f t="shared" si="60"/>
        <v>378000</v>
      </c>
      <c r="J144" s="30">
        <f t="shared" si="70"/>
        <v>96225</v>
      </c>
      <c r="K144" s="144" t="b">
        <f t="shared" si="62"/>
        <v>1</v>
      </c>
    </row>
    <row r="145" spans="1:21">
      <c r="A145" s="122" t="str">
        <f t="shared" si="64"/>
        <v>JUILLET</v>
      </c>
      <c r="B145" s="127" t="str">
        <f t="shared" si="63"/>
        <v>P29</v>
      </c>
      <c r="C145" s="32">
        <f t="shared" si="66"/>
        <v>92800</v>
      </c>
      <c r="D145" s="119"/>
      <c r="E145" s="32">
        <f t="shared" si="67"/>
        <v>870000</v>
      </c>
      <c r="F145" s="51"/>
      <c r="G145" s="138"/>
      <c r="H145" s="55">
        <f t="shared" si="68"/>
        <v>360000</v>
      </c>
      <c r="I145" s="32">
        <f t="shared" si="60"/>
        <v>555000</v>
      </c>
      <c r="J145" s="30">
        <f t="shared" si="70"/>
        <v>47800</v>
      </c>
      <c r="K145" s="144" t="b">
        <f t="shared" si="62"/>
        <v>1</v>
      </c>
    </row>
    <row r="146" spans="1:21">
      <c r="A146" s="122" t="str">
        <f t="shared" si="64"/>
        <v>JUILLET</v>
      </c>
      <c r="B146" s="127" t="str">
        <f t="shared" si="63"/>
        <v>T73</v>
      </c>
      <c r="C146" s="32">
        <f t="shared" si="66"/>
        <v>35200</v>
      </c>
      <c r="D146" s="119"/>
      <c r="E146" s="32">
        <f t="shared" si="67"/>
        <v>531000</v>
      </c>
      <c r="F146" s="51"/>
      <c r="G146" s="138"/>
      <c r="H146" s="55">
        <f t="shared" si="68"/>
        <v>0</v>
      </c>
      <c r="I146" s="32">
        <f t="shared" si="60"/>
        <v>556000</v>
      </c>
      <c r="J146" s="30">
        <f t="shared" si="70"/>
        <v>10200</v>
      </c>
      <c r="K146" s="144" t="b">
        <f t="shared" si="62"/>
        <v>1</v>
      </c>
    </row>
    <row r="147" spans="1:21">
      <c r="A147" s="34" t="s">
        <v>60</v>
      </c>
      <c r="B147" s="35"/>
      <c r="C147" s="35"/>
      <c r="D147" s="35"/>
      <c r="E147" s="35"/>
      <c r="F147" s="35"/>
      <c r="G147" s="35"/>
      <c r="H147" s="35"/>
      <c r="I147" s="35"/>
      <c r="J147" s="36"/>
      <c r="K147" s="143"/>
    </row>
    <row r="148" spans="1:21">
      <c r="A148" s="122" t="str">
        <f>A146</f>
        <v>JUILLET</v>
      </c>
      <c r="B148" s="37" t="s">
        <v>61</v>
      </c>
      <c r="C148" s="38">
        <f>+C107</f>
        <v>798884</v>
      </c>
      <c r="D148" s="49"/>
      <c r="E148" s="49">
        <f>D107</f>
        <v>6705000</v>
      </c>
      <c r="F148" s="49"/>
      <c r="G148" s="125"/>
      <c r="H148" s="51">
        <f>+F107</f>
        <v>3412500</v>
      </c>
      <c r="I148" s="126">
        <f>+E107</f>
        <v>2962137</v>
      </c>
      <c r="J148" s="30">
        <f>+SUM(C148:G148)-(H148+I148)</f>
        <v>1129247</v>
      </c>
      <c r="K148" s="144" t="b">
        <f>J148=I107</f>
        <v>1</v>
      </c>
    </row>
    <row r="149" spans="1:21">
      <c r="A149" s="43" t="s">
        <v>62</v>
      </c>
      <c r="B149" s="24"/>
      <c r="C149" s="35"/>
      <c r="D149" s="24"/>
      <c r="E149" s="24"/>
      <c r="F149" s="24"/>
      <c r="G149" s="24"/>
      <c r="H149" s="24"/>
      <c r="I149" s="24"/>
      <c r="J149" s="36"/>
      <c r="K149" s="143"/>
    </row>
    <row r="150" spans="1:21">
      <c r="A150" s="122" t="str">
        <f>+A148</f>
        <v>JUILLET</v>
      </c>
      <c r="B150" s="37" t="s">
        <v>24</v>
      </c>
      <c r="C150" s="125">
        <f>+C105</f>
        <v>7240675</v>
      </c>
      <c r="D150" s="132">
        <f>+G105</f>
        <v>0</v>
      </c>
      <c r="E150" s="49"/>
      <c r="F150" s="49"/>
      <c r="G150" s="49"/>
      <c r="H150" s="51">
        <f>+F105</f>
        <v>2000000</v>
      </c>
      <c r="I150" s="53">
        <f>+E105</f>
        <v>633345</v>
      </c>
      <c r="J150" s="30">
        <f>+SUM(C150:G150)-(H150+I150)</f>
        <v>4607330</v>
      </c>
      <c r="K150" s="144" t="b">
        <f>+J150=I105</f>
        <v>1</v>
      </c>
    </row>
    <row r="151" spans="1:21">
      <c r="A151" s="122" t="str">
        <f t="shared" ref="A151" si="71">+A150</f>
        <v>JUILLET</v>
      </c>
      <c r="B151" s="37" t="s">
        <v>64</v>
      </c>
      <c r="C151" s="125">
        <f>+C106</f>
        <v>13642205</v>
      </c>
      <c r="D151" s="49">
        <f>+G106</f>
        <v>11771804</v>
      </c>
      <c r="E151" s="48"/>
      <c r="F151" s="48"/>
      <c r="G151" s="48">
        <f>+D106</f>
        <v>0</v>
      </c>
      <c r="H151" s="32">
        <f>+F106</f>
        <v>4000000</v>
      </c>
      <c r="I151" s="50">
        <f>+E106</f>
        <v>5228280</v>
      </c>
      <c r="J151" s="30">
        <f>+SUM(C151:G151)-(H151+I151)</f>
        <v>16185729</v>
      </c>
      <c r="K151" s="144" t="b">
        <f>+J151=I106</f>
        <v>1</v>
      </c>
    </row>
    <row r="152" spans="1:21" ht="15.75">
      <c r="C152" s="141">
        <f>SUM(C133:C151)</f>
        <v>23593552</v>
      </c>
      <c r="I152" s="140">
        <f>SUM(I133:I151)</f>
        <v>12224142</v>
      </c>
      <c r="J152" s="105">
        <f>+SUM(J133:J151)</f>
        <v>23141214</v>
      </c>
      <c r="K152" s="5" t="b">
        <f>J152=I122</f>
        <v>1</v>
      </c>
    </row>
    <row r="153" spans="1:21" ht="15.75">
      <c r="C153" s="141"/>
      <c r="I153" s="140"/>
      <c r="J153" s="105"/>
    </row>
    <row r="154" spans="1:21" ht="15.75">
      <c r="A154" s="160"/>
      <c r="B154" s="160"/>
      <c r="C154" s="161"/>
      <c r="D154" s="160"/>
      <c r="E154" s="160"/>
      <c r="F154" s="160"/>
      <c r="G154" s="160"/>
      <c r="H154" s="160"/>
      <c r="I154" s="162"/>
      <c r="J154" s="163"/>
      <c r="K154" s="160"/>
      <c r="L154" s="164"/>
      <c r="M154" s="164"/>
      <c r="N154" s="164"/>
      <c r="O154" s="164"/>
      <c r="P154" s="160"/>
    </row>
    <row r="156" spans="1:21" ht="15.75">
      <c r="A156" s="6" t="s">
        <v>36</v>
      </c>
      <c r="B156" s="6" t="s">
        <v>1</v>
      </c>
      <c r="C156" s="6">
        <v>45078</v>
      </c>
      <c r="D156" s="7" t="s">
        <v>37</v>
      </c>
      <c r="E156" s="7" t="s">
        <v>38</v>
      </c>
      <c r="F156" s="7" t="s">
        <v>39</v>
      </c>
      <c r="G156" s="7" t="s">
        <v>40</v>
      </c>
      <c r="H156" s="6">
        <v>45107</v>
      </c>
      <c r="I156" s="7" t="s">
        <v>41</v>
      </c>
      <c r="K156" s="45"/>
      <c r="L156" s="45" t="s">
        <v>42</v>
      </c>
      <c r="M156" s="45" t="s">
        <v>43</v>
      </c>
      <c r="N156" s="45" t="s">
        <v>44</v>
      </c>
      <c r="O156" s="45" t="s">
        <v>45</v>
      </c>
    </row>
    <row r="157" spans="1:21" ht="16.5">
      <c r="A157" s="58" t="str">
        <f>K157</f>
        <v>BCI</v>
      </c>
      <c r="B157" s="59" t="s">
        <v>46</v>
      </c>
      <c r="C157" s="61">
        <v>14703145</v>
      </c>
      <c r="D157" s="61">
        <f>+L157</f>
        <v>0</v>
      </c>
      <c r="E157" s="61">
        <f>+N157</f>
        <v>35235</v>
      </c>
      <c r="F157" s="61">
        <f>+M157</f>
        <v>25049328</v>
      </c>
      <c r="G157" s="61">
        <f t="shared" ref="G157:G173" si="72">+O157</f>
        <v>17622093</v>
      </c>
      <c r="H157" s="61">
        <v>7240675</v>
      </c>
      <c r="I157" s="61">
        <f>+C157+D157-E157-F157+G157</f>
        <v>7240675</v>
      </c>
      <c r="J157" s="9">
        <f>I157-H157</f>
        <v>0</v>
      </c>
      <c r="K157" s="45" t="s">
        <v>24</v>
      </c>
      <c r="L157" s="181">
        <v>0</v>
      </c>
      <c r="M157" s="181">
        <v>25049328</v>
      </c>
      <c r="N157" s="181">
        <v>35235</v>
      </c>
      <c r="O157" s="181">
        <v>17622093</v>
      </c>
      <c r="R157"/>
      <c r="S157"/>
      <c r="T157"/>
      <c r="U157"/>
    </row>
    <row r="158" spans="1:21" ht="16.5">
      <c r="A158" s="58" t="str">
        <f t="shared" ref="A158:A173" si="73">K158</f>
        <v>BCI-Sous Compte</v>
      </c>
      <c r="B158" s="59" t="s">
        <v>46</v>
      </c>
      <c r="C158" s="61">
        <v>499301</v>
      </c>
      <c r="D158" s="61">
        <f>+L158</f>
        <v>19049328</v>
      </c>
      <c r="E158" s="61">
        <f t="shared" ref="E158:E164" si="74">+N158</f>
        <v>3906424</v>
      </c>
      <c r="F158" s="61">
        <f t="shared" ref="F158:F164" si="75">+M158</f>
        <v>2000000</v>
      </c>
      <c r="G158" s="61">
        <f t="shared" si="72"/>
        <v>0</v>
      </c>
      <c r="H158" s="61">
        <v>13642205</v>
      </c>
      <c r="I158" s="61">
        <f t="shared" ref="I158:I164" si="76">+C158+D158-E158-F158+G158</f>
        <v>13642205</v>
      </c>
      <c r="J158" s="9">
        <f t="shared" ref="J158:J173" si="77">I158-H158</f>
        <v>0</v>
      </c>
      <c r="K158" s="45" t="s">
        <v>148</v>
      </c>
      <c r="L158" s="181">
        <v>19049328</v>
      </c>
      <c r="M158" s="181">
        <v>2000000</v>
      </c>
      <c r="N158" s="181">
        <v>3906424</v>
      </c>
      <c r="O158" s="181">
        <v>0</v>
      </c>
      <c r="R158"/>
      <c r="S158"/>
      <c r="T158"/>
      <c r="U158"/>
    </row>
    <row r="159" spans="1:21" ht="16.5">
      <c r="A159" s="58" t="str">
        <f t="shared" si="73"/>
        <v>Caisse</v>
      </c>
      <c r="B159" s="59" t="s">
        <v>25</v>
      </c>
      <c r="C159" s="61">
        <v>275723</v>
      </c>
      <c r="D159" s="61">
        <f t="shared" ref="D159:D164" si="78">+L159</f>
        <v>8454305</v>
      </c>
      <c r="E159" s="61">
        <f t="shared" si="74"/>
        <v>2771320</v>
      </c>
      <c r="F159" s="61">
        <f t="shared" si="75"/>
        <v>5159824</v>
      </c>
      <c r="G159" s="61">
        <f t="shared" si="72"/>
        <v>0</v>
      </c>
      <c r="H159" s="61">
        <v>798884</v>
      </c>
      <c r="I159" s="61">
        <f t="shared" si="76"/>
        <v>798884</v>
      </c>
      <c r="J159" s="9">
        <f t="shared" si="77"/>
        <v>0</v>
      </c>
      <c r="K159" s="45" t="s">
        <v>25</v>
      </c>
      <c r="L159" s="181">
        <v>8454305</v>
      </c>
      <c r="M159" s="181">
        <v>5159824</v>
      </c>
      <c r="N159" s="181">
        <v>2771320</v>
      </c>
      <c r="O159" s="181">
        <v>0</v>
      </c>
      <c r="R159"/>
      <c r="S159"/>
      <c r="T159"/>
      <c r="U159"/>
    </row>
    <row r="160" spans="1:21" ht="16.5">
      <c r="A160" s="58" t="str">
        <f t="shared" si="73"/>
        <v>Crépin</v>
      </c>
      <c r="B160" s="59" t="s">
        <v>154</v>
      </c>
      <c r="C160" s="61">
        <v>240620</v>
      </c>
      <c r="D160" s="61">
        <f t="shared" si="78"/>
        <v>555500</v>
      </c>
      <c r="E160" s="61">
        <f t="shared" si="74"/>
        <v>492100</v>
      </c>
      <c r="F160" s="61">
        <f t="shared" si="75"/>
        <v>0</v>
      </c>
      <c r="G160" s="61">
        <f t="shared" si="72"/>
        <v>0</v>
      </c>
      <c r="H160" s="61">
        <v>304020</v>
      </c>
      <c r="I160" s="61">
        <f t="shared" si="76"/>
        <v>304020</v>
      </c>
      <c r="J160" s="9">
        <f t="shared" si="77"/>
        <v>0</v>
      </c>
      <c r="K160" s="45" t="s">
        <v>47</v>
      </c>
      <c r="L160" s="181">
        <v>555500</v>
      </c>
      <c r="M160" s="181">
        <v>0</v>
      </c>
      <c r="N160" s="181">
        <v>492100</v>
      </c>
      <c r="O160" s="181">
        <v>0</v>
      </c>
      <c r="R160"/>
      <c r="S160"/>
      <c r="T160"/>
      <c r="U160"/>
    </row>
    <row r="161" spans="1:21" ht="16.5">
      <c r="A161" s="58" t="str">
        <f t="shared" si="73"/>
        <v>D58</v>
      </c>
      <c r="B161" s="59" t="s">
        <v>4</v>
      </c>
      <c r="C161" s="61">
        <v>14700</v>
      </c>
      <c r="D161" s="61">
        <f t="shared" si="78"/>
        <v>402500</v>
      </c>
      <c r="E161" s="61">
        <f t="shared" si="74"/>
        <v>363400</v>
      </c>
      <c r="F161" s="61">
        <f t="shared" si="75"/>
        <v>0</v>
      </c>
      <c r="G161" s="61">
        <f t="shared" si="72"/>
        <v>0</v>
      </c>
      <c r="H161" s="61">
        <v>53800</v>
      </c>
      <c r="I161" s="61">
        <f t="shared" si="76"/>
        <v>53800</v>
      </c>
      <c r="J161" s="9">
        <f t="shared" si="77"/>
        <v>0</v>
      </c>
      <c r="K161" s="45" t="s">
        <v>269</v>
      </c>
      <c r="L161" s="181">
        <v>402500</v>
      </c>
      <c r="M161" s="181">
        <v>0</v>
      </c>
      <c r="N161" s="181">
        <v>363400</v>
      </c>
      <c r="O161" s="181">
        <v>0</v>
      </c>
      <c r="R161"/>
      <c r="S161"/>
      <c r="T161"/>
      <c r="U161"/>
    </row>
    <row r="162" spans="1:21" ht="16.5">
      <c r="A162" s="58" t="str">
        <f t="shared" si="73"/>
        <v>Donald</v>
      </c>
      <c r="B162" s="59" t="s">
        <v>154</v>
      </c>
      <c r="C162" s="61">
        <v>111990</v>
      </c>
      <c r="D162" s="61">
        <f t="shared" si="78"/>
        <v>705000</v>
      </c>
      <c r="E162" s="61">
        <f t="shared" si="74"/>
        <v>557355</v>
      </c>
      <c r="F162" s="61">
        <f t="shared" si="75"/>
        <v>23500</v>
      </c>
      <c r="G162" s="61">
        <f t="shared" si="72"/>
        <v>0</v>
      </c>
      <c r="H162" s="61">
        <v>236135</v>
      </c>
      <c r="I162" s="61">
        <f t="shared" si="76"/>
        <v>236135</v>
      </c>
      <c r="J162" s="9">
        <f t="shared" si="77"/>
        <v>0</v>
      </c>
      <c r="K162" s="45" t="s">
        <v>255</v>
      </c>
      <c r="L162" s="181">
        <v>705000</v>
      </c>
      <c r="M162" s="181">
        <v>23500</v>
      </c>
      <c r="N162" s="181">
        <v>557355</v>
      </c>
      <c r="O162" s="181">
        <v>0</v>
      </c>
      <c r="R162"/>
      <c r="S162"/>
      <c r="T162"/>
      <c r="U162"/>
    </row>
    <row r="163" spans="1:21" ht="16.5">
      <c r="A163" s="58" t="str">
        <f t="shared" si="73"/>
        <v>Dovi</v>
      </c>
      <c r="B163" s="59" t="s">
        <v>2</v>
      </c>
      <c r="C163" s="61">
        <v>0</v>
      </c>
      <c r="D163" s="61">
        <f t="shared" si="78"/>
        <v>234000</v>
      </c>
      <c r="E163" s="61">
        <f t="shared" si="74"/>
        <v>158000</v>
      </c>
      <c r="F163" s="61">
        <f t="shared" si="75"/>
        <v>0</v>
      </c>
      <c r="G163" s="61">
        <f t="shared" si="72"/>
        <v>0</v>
      </c>
      <c r="H163" s="61">
        <v>76000</v>
      </c>
      <c r="I163" s="61">
        <f t="shared" si="76"/>
        <v>76000</v>
      </c>
      <c r="J163" s="9">
        <f t="shared" si="77"/>
        <v>0</v>
      </c>
      <c r="K163" s="45" t="s">
        <v>307</v>
      </c>
      <c r="L163" s="181">
        <v>234000</v>
      </c>
      <c r="M163" s="181">
        <v>0</v>
      </c>
      <c r="N163" s="181">
        <v>158000</v>
      </c>
      <c r="O163" s="181">
        <v>0</v>
      </c>
    </row>
    <row r="164" spans="1:21" ht="16.5">
      <c r="A164" s="58" t="str">
        <f t="shared" si="73"/>
        <v>Evariste</v>
      </c>
      <c r="B164" s="59" t="s">
        <v>155</v>
      </c>
      <c r="C164" s="61">
        <v>28375</v>
      </c>
      <c r="D164" s="61">
        <f t="shared" si="78"/>
        <v>322000</v>
      </c>
      <c r="E164" s="61">
        <f t="shared" si="74"/>
        <v>271400</v>
      </c>
      <c r="F164" s="61">
        <f t="shared" si="75"/>
        <v>0</v>
      </c>
      <c r="G164" s="61">
        <f t="shared" si="72"/>
        <v>0</v>
      </c>
      <c r="H164" s="61">
        <v>78975</v>
      </c>
      <c r="I164" s="61">
        <f t="shared" si="76"/>
        <v>78975</v>
      </c>
      <c r="J164" s="9">
        <f t="shared" si="77"/>
        <v>0</v>
      </c>
      <c r="K164" s="45" t="s">
        <v>31</v>
      </c>
      <c r="L164" s="181">
        <v>322000</v>
      </c>
      <c r="M164" s="181">
        <v>0</v>
      </c>
      <c r="N164" s="181">
        <v>271400</v>
      </c>
      <c r="O164" s="181">
        <v>0</v>
      </c>
      <c r="R164"/>
      <c r="S164"/>
      <c r="T164"/>
      <c r="U164"/>
    </row>
    <row r="165" spans="1:21" ht="16.5">
      <c r="A165" s="58" t="str">
        <f t="shared" si="73"/>
        <v>I55S</v>
      </c>
      <c r="B165" s="116" t="s">
        <v>4</v>
      </c>
      <c r="C165" s="118">
        <v>233614</v>
      </c>
      <c r="D165" s="118">
        <f t="shared" ref="D165:D173" si="79">+L165</f>
        <v>0</v>
      </c>
      <c r="E165" s="118">
        <f>+N165</f>
        <v>0</v>
      </c>
      <c r="F165" s="118">
        <f t="shared" ref="F165:F166" si="80">+M165</f>
        <v>0</v>
      </c>
      <c r="G165" s="118">
        <f t="shared" si="72"/>
        <v>0</v>
      </c>
      <c r="H165" s="118">
        <v>233614</v>
      </c>
      <c r="I165" s="118">
        <f>+C165+D165-E165-F165+G165</f>
        <v>233614</v>
      </c>
      <c r="J165" s="9">
        <f t="shared" si="77"/>
        <v>0</v>
      </c>
      <c r="K165" s="45" t="s">
        <v>84</v>
      </c>
      <c r="L165" s="181">
        <v>0</v>
      </c>
      <c r="M165" s="181">
        <v>0</v>
      </c>
      <c r="N165" s="181">
        <v>0</v>
      </c>
      <c r="O165" s="181">
        <v>0</v>
      </c>
      <c r="R165"/>
      <c r="S165"/>
      <c r="T165"/>
      <c r="U165"/>
    </row>
    <row r="166" spans="1:21" ht="16.5">
      <c r="A166" s="58" t="str">
        <f t="shared" si="73"/>
        <v>I73X</v>
      </c>
      <c r="B166" s="116" t="s">
        <v>4</v>
      </c>
      <c r="C166" s="118">
        <v>249769</v>
      </c>
      <c r="D166" s="118">
        <f t="shared" si="79"/>
        <v>0</v>
      </c>
      <c r="E166" s="118">
        <f>+N166</f>
        <v>0</v>
      </c>
      <c r="F166" s="118">
        <f t="shared" si="80"/>
        <v>0</v>
      </c>
      <c r="G166" s="118">
        <f t="shared" si="72"/>
        <v>0</v>
      </c>
      <c r="H166" s="118">
        <v>249769</v>
      </c>
      <c r="I166" s="118">
        <f t="shared" ref="I166:I173" si="81">+C166+D166-E166-F166+G166</f>
        <v>249769</v>
      </c>
      <c r="J166" s="9">
        <f t="shared" si="77"/>
        <v>0</v>
      </c>
      <c r="K166" s="45" t="s">
        <v>83</v>
      </c>
      <c r="L166" s="181">
        <v>0</v>
      </c>
      <c r="M166" s="181">
        <v>0</v>
      </c>
      <c r="N166" s="181">
        <v>0</v>
      </c>
      <c r="O166" s="181">
        <v>0</v>
      </c>
      <c r="R166"/>
      <c r="S166"/>
      <c r="T166"/>
      <c r="U166"/>
    </row>
    <row r="167" spans="1:21" s="188" customFormat="1" ht="16.5">
      <c r="A167" s="58" t="str">
        <f t="shared" si="73"/>
        <v>Grace</v>
      </c>
      <c r="B167" s="59" t="s">
        <v>2</v>
      </c>
      <c r="C167" s="184">
        <v>46550</v>
      </c>
      <c r="D167" s="61">
        <f t="shared" si="79"/>
        <v>829000</v>
      </c>
      <c r="E167" s="61">
        <f t="shared" ref="E167:E173" si="82">+N167</f>
        <v>199900</v>
      </c>
      <c r="F167" s="61">
        <f>+M167</f>
        <v>375000</v>
      </c>
      <c r="G167" s="61">
        <f t="shared" si="72"/>
        <v>0</v>
      </c>
      <c r="H167" s="184">
        <v>300650</v>
      </c>
      <c r="I167" s="184">
        <f t="shared" si="81"/>
        <v>300650</v>
      </c>
      <c r="J167" s="9">
        <f t="shared" si="77"/>
        <v>0</v>
      </c>
      <c r="K167" s="186" t="s">
        <v>143</v>
      </c>
      <c r="L167" s="181">
        <v>829000</v>
      </c>
      <c r="M167" s="181">
        <v>375000</v>
      </c>
      <c r="N167" s="181">
        <v>199900</v>
      </c>
      <c r="O167" s="181">
        <v>0</v>
      </c>
      <c r="R167"/>
      <c r="S167"/>
      <c r="T167"/>
      <c r="U167"/>
    </row>
    <row r="168" spans="1:21" ht="16.5">
      <c r="A168" s="58" t="str">
        <f t="shared" si="73"/>
        <v>Hurielle</v>
      </c>
      <c r="B168" s="98" t="s">
        <v>154</v>
      </c>
      <c r="C168" s="61">
        <v>84605</v>
      </c>
      <c r="D168" s="61">
        <f t="shared" si="79"/>
        <v>38000</v>
      </c>
      <c r="E168" s="61">
        <f t="shared" si="82"/>
        <v>78800</v>
      </c>
      <c r="F168" s="61">
        <f t="shared" ref="F168:F173" si="83">+M168</f>
        <v>43805</v>
      </c>
      <c r="G168" s="61">
        <f t="shared" si="72"/>
        <v>0</v>
      </c>
      <c r="H168" s="184">
        <v>0</v>
      </c>
      <c r="I168" s="184">
        <f>+C168+D168-E168-F168+G168</f>
        <v>0</v>
      </c>
      <c r="J168" s="9">
        <f t="shared" si="77"/>
        <v>0</v>
      </c>
      <c r="K168" s="45" t="s">
        <v>197</v>
      </c>
      <c r="L168" s="181">
        <v>38000</v>
      </c>
      <c r="M168" s="181">
        <v>43805</v>
      </c>
      <c r="N168" s="181">
        <v>78800</v>
      </c>
      <c r="O168" s="181">
        <v>0</v>
      </c>
      <c r="R168"/>
      <c r="S168"/>
      <c r="T168"/>
      <c r="U168"/>
    </row>
    <row r="169" spans="1:21" s="188" customFormat="1" ht="16.5">
      <c r="A169" s="58" t="str">
        <f t="shared" si="73"/>
        <v>Merveille</v>
      </c>
      <c r="B169" s="59" t="s">
        <v>2</v>
      </c>
      <c r="C169" s="184">
        <v>-7600</v>
      </c>
      <c r="D169" s="61">
        <f t="shared" si="79"/>
        <v>529000</v>
      </c>
      <c r="E169" s="61">
        <f t="shared" si="82"/>
        <v>275300</v>
      </c>
      <c r="F169" s="61">
        <f t="shared" si="83"/>
        <v>20500</v>
      </c>
      <c r="G169" s="61">
        <f t="shared" si="72"/>
        <v>0</v>
      </c>
      <c r="H169" s="184">
        <v>225600</v>
      </c>
      <c r="I169" s="184">
        <f t="shared" si="81"/>
        <v>225600</v>
      </c>
      <c r="J169" s="9">
        <f t="shared" si="77"/>
        <v>0</v>
      </c>
      <c r="K169" s="186" t="s">
        <v>93</v>
      </c>
      <c r="L169" s="181">
        <v>529000</v>
      </c>
      <c r="M169" s="181">
        <v>20500</v>
      </c>
      <c r="N169" s="181">
        <v>275300</v>
      </c>
      <c r="O169" s="181">
        <v>0</v>
      </c>
      <c r="R169"/>
      <c r="S169"/>
      <c r="T169"/>
      <c r="U169"/>
    </row>
    <row r="170" spans="1:21" ht="16.5">
      <c r="A170" s="58" t="str">
        <f t="shared" si="73"/>
        <v>Oracle</v>
      </c>
      <c r="B170" s="98" t="s">
        <v>154</v>
      </c>
      <c r="C170" s="61">
        <v>12000</v>
      </c>
      <c r="D170" s="61">
        <f t="shared" si="79"/>
        <v>421000</v>
      </c>
      <c r="E170" s="61">
        <f t="shared" si="82"/>
        <v>367775</v>
      </c>
      <c r="F170" s="61">
        <f t="shared" si="83"/>
        <v>40000</v>
      </c>
      <c r="G170" s="61">
        <f t="shared" si="72"/>
        <v>0</v>
      </c>
      <c r="H170" s="184">
        <v>25225</v>
      </c>
      <c r="I170" s="184">
        <f t="shared" si="81"/>
        <v>25225</v>
      </c>
      <c r="J170" s="9">
        <f t="shared" si="77"/>
        <v>0</v>
      </c>
      <c r="K170" s="45" t="s">
        <v>300</v>
      </c>
      <c r="L170" s="181">
        <v>421000</v>
      </c>
      <c r="M170" s="181">
        <v>40000</v>
      </c>
      <c r="N170" s="181">
        <v>367775</v>
      </c>
      <c r="O170" s="181">
        <v>0</v>
      </c>
      <c r="R170"/>
      <c r="S170"/>
      <c r="T170"/>
      <c r="U170"/>
    </row>
    <row r="171" spans="1:21" ht="16.5">
      <c r="A171" s="58" t="str">
        <f t="shared" si="73"/>
        <v>P29</v>
      </c>
      <c r="B171" s="98" t="s">
        <v>4</v>
      </c>
      <c r="C171" s="61">
        <v>149800</v>
      </c>
      <c r="D171" s="61">
        <f t="shared" si="79"/>
        <v>1048000</v>
      </c>
      <c r="E171" s="61">
        <f t="shared" si="82"/>
        <v>810000</v>
      </c>
      <c r="F171" s="61">
        <f t="shared" si="83"/>
        <v>295000</v>
      </c>
      <c r="G171" s="61">
        <f t="shared" si="72"/>
        <v>0</v>
      </c>
      <c r="H171" s="184">
        <v>92800</v>
      </c>
      <c r="I171" s="184">
        <f t="shared" si="81"/>
        <v>92800</v>
      </c>
      <c r="J171" s="9">
        <f t="shared" si="77"/>
        <v>0</v>
      </c>
      <c r="K171" s="45" t="s">
        <v>29</v>
      </c>
      <c r="L171" s="181">
        <v>1048000</v>
      </c>
      <c r="M171" s="181">
        <v>295000</v>
      </c>
      <c r="N171" s="181">
        <v>810000</v>
      </c>
      <c r="O171" s="181">
        <v>0</v>
      </c>
      <c r="R171"/>
      <c r="S171"/>
      <c r="T171"/>
      <c r="U171"/>
    </row>
    <row r="172" spans="1:21" ht="16.5">
      <c r="A172" s="58" t="str">
        <f t="shared" si="73"/>
        <v>T73</v>
      </c>
      <c r="B172" s="59" t="s">
        <v>4</v>
      </c>
      <c r="C172" s="61">
        <v>354300</v>
      </c>
      <c r="D172" s="61">
        <f t="shared" si="79"/>
        <v>574000</v>
      </c>
      <c r="E172" s="61">
        <f t="shared" si="82"/>
        <v>743100</v>
      </c>
      <c r="F172" s="61">
        <f t="shared" si="83"/>
        <v>150000</v>
      </c>
      <c r="G172" s="61">
        <f t="shared" si="72"/>
        <v>0</v>
      </c>
      <c r="H172" s="184">
        <v>35200</v>
      </c>
      <c r="I172" s="184">
        <f t="shared" si="81"/>
        <v>35200</v>
      </c>
      <c r="J172" s="9">
        <f t="shared" si="77"/>
        <v>0</v>
      </c>
      <c r="K172" s="45" t="s">
        <v>268</v>
      </c>
      <c r="L172" s="181">
        <v>574000</v>
      </c>
      <c r="M172" s="181">
        <v>150000</v>
      </c>
      <c r="N172" s="181">
        <v>743100</v>
      </c>
      <c r="O172" s="181">
        <v>0</v>
      </c>
    </row>
    <row r="173" spans="1:21" ht="16.5">
      <c r="A173" s="58" t="str">
        <f t="shared" si="73"/>
        <v>Tiffany</v>
      </c>
      <c r="B173" s="59" t="s">
        <v>2</v>
      </c>
      <c r="C173" s="61">
        <v>14676</v>
      </c>
      <c r="D173" s="61">
        <f t="shared" si="79"/>
        <v>25324</v>
      </c>
      <c r="E173" s="61">
        <f t="shared" si="82"/>
        <v>10000</v>
      </c>
      <c r="F173" s="61">
        <f t="shared" si="83"/>
        <v>30000</v>
      </c>
      <c r="G173" s="61">
        <f t="shared" si="72"/>
        <v>0</v>
      </c>
      <c r="H173" s="184">
        <v>0</v>
      </c>
      <c r="I173" s="184">
        <f t="shared" si="81"/>
        <v>0</v>
      </c>
      <c r="J173" s="9">
        <f t="shared" si="77"/>
        <v>0</v>
      </c>
      <c r="K173" s="45" t="s">
        <v>113</v>
      </c>
      <c r="L173" s="181">
        <v>25324</v>
      </c>
      <c r="M173" s="181">
        <v>30000</v>
      </c>
      <c r="N173" s="181">
        <v>10000</v>
      </c>
      <c r="O173" s="181">
        <v>0</v>
      </c>
    </row>
    <row r="174" spans="1:21" ht="16.5">
      <c r="A174" s="10" t="s">
        <v>50</v>
      </c>
      <c r="B174" s="11"/>
      <c r="C174" s="12">
        <f t="shared" ref="C174:I174" si="84">SUM(C157:C173)</f>
        <v>17011568</v>
      </c>
      <c r="D174" s="57">
        <f t="shared" si="84"/>
        <v>33186957</v>
      </c>
      <c r="E174" s="57">
        <f t="shared" si="84"/>
        <v>11040109</v>
      </c>
      <c r="F174" s="57">
        <f t="shared" si="84"/>
        <v>33186957</v>
      </c>
      <c r="G174" s="57">
        <f t="shared" si="84"/>
        <v>17622093</v>
      </c>
      <c r="H174" s="57">
        <f t="shared" si="84"/>
        <v>23593552</v>
      </c>
      <c r="I174" s="57">
        <f t="shared" si="84"/>
        <v>23593552</v>
      </c>
      <c r="J174" s="9"/>
      <c r="K174" s="3"/>
      <c r="L174" s="47">
        <f>+SUM(L157:L173)</f>
        <v>33186957</v>
      </c>
      <c r="M174" s="47">
        <f>+SUM(M157:M173)</f>
        <v>33186957</v>
      </c>
      <c r="N174" s="47">
        <f>+SUM(N157:N173)</f>
        <v>11040109</v>
      </c>
      <c r="O174" s="47">
        <f>+SUM(O157:O173)</f>
        <v>17622093</v>
      </c>
    </row>
    <row r="175" spans="1:21" ht="16.5">
      <c r="A175" s="10"/>
      <c r="B175" s="11"/>
      <c r="C175" s="12"/>
      <c r="D175" s="13"/>
      <c r="E175" s="12"/>
      <c r="F175" s="13"/>
      <c r="G175" s="12"/>
      <c r="H175" s="12"/>
      <c r="I175" s="134" t="b">
        <f>I174=D177</f>
        <v>1</v>
      </c>
      <c r="J175" s="9"/>
      <c r="L175" s="5"/>
      <c r="M175" s="5"/>
      <c r="N175" s="5"/>
      <c r="O175" s="5"/>
    </row>
    <row r="176" spans="1:21" ht="16.5">
      <c r="A176" s="10" t="s">
        <v>302</v>
      </c>
      <c r="B176" s="11" t="s">
        <v>217</v>
      </c>
      <c r="C176" s="12" t="s">
        <v>218</v>
      </c>
      <c r="D176" s="12" t="s">
        <v>303</v>
      </c>
      <c r="E176" s="12" t="s">
        <v>51</v>
      </c>
      <c r="F176" s="12"/>
      <c r="G176" s="12">
        <f>+D174-F174</f>
        <v>0</v>
      </c>
      <c r="H176" s="12"/>
      <c r="I176" s="212"/>
    </row>
    <row r="177" spans="1:11" ht="16.5">
      <c r="A177" s="14">
        <f>C174</f>
        <v>17011568</v>
      </c>
      <c r="B177" s="15">
        <f>G174</f>
        <v>17622093</v>
      </c>
      <c r="C177" s="12">
        <f>E174</f>
        <v>11040109</v>
      </c>
      <c r="D177" s="12">
        <f>A177+B177-C177</f>
        <v>23593552</v>
      </c>
      <c r="E177" s="13">
        <f>I174-D177</f>
        <v>0</v>
      </c>
      <c r="F177" s="12"/>
      <c r="G177" s="12"/>
      <c r="H177" s="12"/>
      <c r="I177" s="12"/>
    </row>
    <row r="178" spans="1:11" ht="16.5">
      <c r="A178" s="14"/>
      <c r="B178" s="15"/>
      <c r="C178" s="12"/>
      <c r="D178" s="12"/>
      <c r="E178" s="13"/>
      <c r="F178" s="12"/>
      <c r="G178" s="12"/>
      <c r="H178" s="12"/>
      <c r="I178" s="12"/>
    </row>
    <row r="179" spans="1:11">
      <c r="A179" s="16" t="s">
        <v>52</v>
      </c>
      <c r="B179" s="16"/>
      <c r="C179" s="16"/>
      <c r="D179" s="17"/>
      <c r="E179" s="17"/>
      <c r="F179" s="17"/>
      <c r="G179" s="17"/>
      <c r="H179" s="17"/>
      <c r="I179" s="17"/>
    </row>
    <row r="180" spans="1:11">
      <c r="A180" s="18" t="s">
        <v>304</v>
      </c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1">
      <c r="A181" s="19"/>
      <c r="B181" s="17"/>
      <c r="C181" s="20"/>
      <c r="D181" s="20"/>
      <c r="E181" s="20"/>
      <c r="F181" s="20"/>
      <c r="G181" s="20"/>
      <c r="H181" s="17"/>
      <c r="I181" s="17"/>
    </row>
    <row r="182" spans="1:11" ht="45" customHeight="1">
      <c r="A182" s="169" t="s">
        <v>53</v>
      </c>
      <c r="B182" s="171" t="s">
        <v>54</v>
      </c>
      <c r="C182" s="173" t="s">
        <v>305</v>
      </c>
      <c r="D182" s="174" t="s">
        <v>55</v>
      </c>
      <c r="E182" s="175"/>
      <c r="F182" s="175"/>
      <c r="G182" s="176"/>
      <c r="H182" s="177" t="s">
        <v>56</v>
      </c>
      <c r="I182" s="165" t="s">
        <v>57</v>
      </c>
      <c r="J182" s="210"/>
    </row>
    <row r="183" spans="1:11" ht="28.5" customHeight="1">
      <c r="A183" s="170"/>
      <c r="B183" s="172"/>
      <c r="C183" s="22"/>
      <c r="D183" s="21" t="s">
        <v>24</v>
      </c>
      <c r="E183" s="21" t="s">
        <v>25</v>
      </c>
      <c r="F183" s="22" t="s">
        <v>123</v>
      </c>
      <c r="G183" s="21" t="s">
        <v>58</v>
      </c>
      <c r="H183" s="178"/>
      <c r="I183" s="166"/>
      <c r="J183" s="168" t="s">
        <v>306</v>
      </c>
      <c r="K183" s="143"/>
    </row>
    <row r="184" spans="1:11">
      <c r="A184" s="23"/>
      <c r="B184" s="24" t="s">
        <v>59</v>
      </c>
      <c r="C184" s="25"/>
      <c r="D184" s="25"/>
      <c r="E184" s="25"/>
      <c r="F184" s="25"/>
      <c r="G184" s="25"/>
      <c r="H184" s="25"/>
      <c r="I184" s="26"/>
      <c r="J184" s="168"/>
      <c r="K184" s="143"/>
    </row>
    <row r="185" spans="1:11">
      <c r="A185" s="122" t="s">
        <v>135</v>
      </c>
      <c r="B185" s="127" t="s">
        <v>47</v>
      </c>
      <c r="C185" s="32">
        <f>+C160</f>
        <v>240620</v>
      </c>
      <c r="D185" s="31"/>
      <c r="E185" s="32">
        <f>+D160</f>
        <v>555500</v>
      </c>
      <c r="F185" s="32"/>
      <c r="G185" s="32"/>
      <c r="H185" s="55">
        <f>+F160</f>
        <v>0</v>
      </c>
      <c r="I185" s="32">
        <f t="shared" ref="I185:I198" si="85">+E160</f>
        <v>492100</v>
      </c>
      <c r="J185" s="30">
        <f t="shared" ref="J185:J189" si="86">+SUM(C185:G185)-(H185+I185)</f>
        <v>304020</v>
      </c>
      <c r="K185" s="144" t="b">
        <f t="shared" ref="K185:K198" si="87">J185=I160</f>
        <v>1</v>
      </c>
    </row>
    <row r="186" spans="1:11">
      <c r="A186" s="122" t="str">
        <f>+A185</f>
        <v>JUIN</v>
      </c>
      <c r="B186" s="127" t="s">
        <v>269</v>
      </c>
      <c r="C186" s="32">
        <f>+C161</f>
        <v>14700</v>
      </c>
      <c r="D186" s="31"/>
      <c r="E186" s="32">
        <f>+D161</f>
        <v>402500</v>
      </c>
      <c r="F186" s="32"/>
      <c r="G186" s="32"/>
      <c r="H186" s="55">
        <f>+F161</f>
        <v>0</v>
      </c>
      <c r="I186" s="32">
        <f t="shared" si="85"/>
        <v>363400</v>
      </c>
      <c r="J186" s="30">
        <f t="shared" si="86"/>
        <v>53800</v>
      </c>
      <c r="K186" s="144" t="b">
        <f t="shared" si="87"/>
        <v>1</v>
      </c>
    </row>
    <row r="187" spans="1:11">
      <c r="A187" s="122" t="str">
        <f t="shared" ref="A187:A192" si="88">+A186</f>
        <v>JUIN</v>
      </c>
      <c r="B187" s="127" t="s">
        <v>255</v>
      </c>
      <c r="C187" s="32">
        <f>+C162</f>
        <v>111990</v>
      </c>
      <c r="D187" s="31"/>
      <c r="E187" s="32">
        <f>+D162</f>
        <v>705000</v>
      </c>
      <c r="F187" s="32"/>
      <c r="G187" s="32"/>
      <c r="H187" s="55">
        <f>+F162</f>
        <v>23500</v>
      </c>
      <c r="I187" s="32">
        <f t="shared" si="85"/>
        <v>557355</v>
      </c>
      <c r="J187" s="30">
        <f t="shared" si="86"/>
        <v>236135</v>
      </c>
      <c r="K187" s="144" t="b">
        <f t="shared" si="87"/>
        <v>1</v>
      </c>
    </row>
    <row r="188" spans="1:11">
      <c r="A188" s="122" t="str">
        <f t="shared" si="88"/>
        <v>JUIN</v>
      </c>
      <c r="B188" s="127" t="s">
        <v>307</v>
      </c>
      <c r="C188" s="32">
        <f>+C163</f>
        <v>0</v>
      </c>
      <c r="D188" s="31"/>
      <c r="E188" s="32">
        <f>+D163</f>
        <v>234000</v>
      </c>
      <c r="F188" s="32"/>
      <c r="G188" s="32"/>
      <c r="H188" s="55">
        <f>+F163</f>
        <v>0</v>
      </c>
      <c r="I188" s="32">
        <f t="shared" si="85"/>
        <v>158000</v>
      </c>
      <c r="J188" s="30">
        <f t="shared" ref="J188" si="89">+SUM(C188:G188)-(H188+I188)</f>
        <v>76000</v>
      </c>
      <c r="K188" s="144" t="b">
        <f t="shared" si="87"/>
        <v>1</v>
      </c>
    </row>
    <row r="189" spans="1:11">
      <c r="A189" s="122" t="str">
        <f t="shared" si="88"/>
        <v>JUIN</v>
      </c>
      <c r="B189" s="127" t="s">
        <v>31</v>
      </c>
      <c r="C189" s="32">
        <f t="shared" ref="C189" si="90">+C164</f>
        <v>28375</v>
      </c>
      <c r="D189" s="31"/>
      <c r="E189" s="32">
        <f t="shared" ref="E189" si="91">+D164</f>
        <v>322000</v>
      </c>
      <c r="F189" s="32"/>
      <c r="G189" s="32"/>
      <c r="H189" s="55">
        <f t="shared" ref="H189" si="92">+F164</f>
        <v>0</v>
      </c>
      <c r="I189" s="32">
        <f t="shared" si="85"/>
        <v>271400</v>
      </c>
      <c r="J189" s="30">
        <f t="shared" si="86"/>
        <v>78975</v>
      </c>
      <c r="K189" s="144" t="b">
        <f t="shared" si="87"/>
        <v>1</v>
      </c>
    </row>
    <row r="190" spans="1:11">
      <c r="A190" s="122" t="str">
        <f t="shared" si="88"/>
        <v>JUIN</v>
      </c>
      <c r="B190" s="129" t="s">
        <v>84</v>
      </c>
      <c r="C190" s="120">
        <f t="shared" ref="C190:C198" si="93">+C165</f>
        <v>233614</v>
      </c>
      <c r="D190" s="123"/>
      <c r="E190" s="120">
        <f t="shared" ref="E190:E198" si="94">+D165</f>
        <v>0</v>
      </c>
      <c r="F190" s="137"/>
      <c r="G190" s="137"/>
      <c r="H190" s="155">
        <f t="shared" ref="H190:H198" si="95">+F165</f>
        <v>0</v>
      </c>
      <c r="I190" s="120">
        <f t="shared" si="85"/>
        <v>0</v>
      </c>
      <c r="J190" s="121">
        <f>+SUM(C190:G190)-(H190+I190)</f>
        <v>233614</v>
      </c>
      <c r="K190" s="144" t="b">
        <f t="shared" si="87"/>
        <v>1</v>
      </c>
    </row>
    <row r="191" spans="1:11">
      <c r="A191" s="122" t="str">
        <f t="shared" si="88"/>
        <v>JUIN</v>
      </c>
      <c r="B191" s="129" t="s">
        <v>83</v>
      </c>
      <c r="C191" s="120">
        <f t="shared" si="93"/>
        <v>249769</v>
      </c>
      <c r="D191" s="123"/>
      <c r="E191" s="120">
        <f t="shared" si="94"/>
        <v>0</v>
      </c>
      <c r="F191" s="137"/>
      <c r="G191" s="137"/>
      <c r="H191" s="155">
        <f t="shared" si="95"/>
        <v>0</v>
      </c>
      <c r="I191" s="120">
        <f t="shared" si="85"/>
        <v>0</v>
      </c>
      <c r="J191" s="121">
        <f t="shared" ref="J191:J198" si="96">+SUM(C191:G191)-(H191+I191)</f>
        <v>249769</v>
      </c>
      <c r="K191" s="144" t="b">
        <f t="shared" si="87"/>
        <v>1</v>
      </c>
    </row>
    <row r="192" spans="1:11">
      <c r="A192" s="122" t="str">
        <f t="shared" si="88"/>
        <v>JUIN</v>
      </c>
      <c r="B192" s="127" t="s">
        <v>143</v>
      </c>
      <c r="C192" s="32">
        <f t="shared" si="93"/>
        <v>46550</v>
      </c>
      <c r="D192" s="31"/>
      <c r="E192" s="32">
        <f t="shared" si="94"/>
        <v>829000</v>
      </c>
      <c r="F192" s="32"/>
      <c r="G192" s="104"/>
      <c r="H192" s="55">
        <f t="shared" si="95"/>
        <v>375000</v>
      </c>
      <c r="I192" s="32">
        <f t="shared" si="85"/>
        <v>199900</v>
      </c>
      <c r="J192" s="30">
        <f t="shared" si="96"/>
        <v>300650</v>
      </c>
      <c r="K192" s="144" t="b">
        <f t="shared" si="87"/>
        <v>1</v>
      </c>
    </row>
    <row r="193" spans="1:16">
      <c r="A193" s="122" t="str">
        <f t="shared" ref="A193:A198" si="97">+A192</f>
        <v>JUIN</v>
      </c>
      <c r="B193" s="127" t="s">
        <v>197</v>
      </c>
      <c r="C193" s="32">
        <f t="shared" si="93"/>
        <v>84605</v>
      </c>
      <c r="D193" s="31"/>
      <c r="E193" s="32">
        <f t="shared" si="94"/>
        <v>38000</v>
      </c>
      <c r="F193" s="32"/>
      <c r="G193" s="104"/>
      <c r="H193" s="55">
        <f t="shared" si="95"/>
        <v>43805</v>
      </c>
      <c r="I193" s="32">
        <f t="shared" si="85"/>
        <v>78800</v>
      </c>
      <c r="J193" s="30">
        <f t="shared" si="96"/>
        <v>0</v>
      </c>
      <c r="K193" s="144" t="b">
        <f t="shared" si="87"/>
        <v>1</v>
      </c>
    </row>
    <row r="194" spans="1:16">
      <c r="A194" s="122" t="str">
        <f t="shared" si="97"/>
        <v>JUIN</v>
      </c>
      <c r="B194" s="127" t="s">
        <v>93</v>
      </c>
      <c r="C194" s="32">
        <f t="shared" si="93"/>
        <v>-7600</v>
      </c>
      <c r="D194" s="31"/>
      <c r="E194" s="32">
        <f t="shared" si="94"/>
        <v>529000</v>
      </c>
      <c r="F194" s="32"/>
      <c r="G194" s="104"/>
      <c r="H194" s="55">
        <f t="shared" si="95"/>
        <v>20500</v>
      </c>
      <c r="I194" s="32">
        <f t="shared" si="85"/>
        <v>275300</v>
      </c>
      <c r="J194" s="30">
        <f t="shared" si="96"/>
        <v>225600</v>
      </c>
      <c r="K194" s="144" t="b">
        <f t="shared" si="87"/>
        <v>1</v>
      </c>
    </row>
    <row r="195" spans="1:16">
      <c r="A195" s="122" t="str">
        <f t="shared" si="97"/>
        <v>JUIN</v>
      </c>
      <c r="B195" s="127" t="s">
        <v>300</v>
      </c>
      <c r="C195" s="32">
        <f t="shared" si="93"/>
        <v>12000</v>
      </c>
      <c r="D195" s="31"/>
      <c r="E195" s="32">
        <f t="shared" si="94"/>
        <v>421000</v>
      </c>
      <c r="F195" s="32"/>
      <c r="G195" s="104"/>
      <c r="H195" s="55">
        <f t="shared" si="95"/>
        <v>40000</v>
      </c>
      <c r="I195" s="32">
        <f t="shared" si="85"/>
        <v>367775</v>
      </c>
      <c r="J195" s="30">
        <f t="shared" si="96"/>
        <v>25225</v>
      </c>
      <c r="K195" s="144" t="b">
        <f t="shared" si="87"/>
        <v>1</v>
      </c>
    </row>
    <row r="196" spans="1:16">
      <c r="A196" s="122" t="str">
        <f t="shared" si="97"/>
        <v>JUIN</v>
      </c>
      <c r="B196" s="127" t="s">
        <v>29</v>
      </c>
      <c r="C196" s="32">
        <f t="shared" si="93"/>
        <v>149800</v>
      </c>
      <c r="D196" s="31"/>
      <c r="E196" s="32">
        <f t="shared" si="94"/>
        <v>1048000</v>
      </c>
      <c r="F196" s="32"/>
      <c r="G196" s="104"/>
      <c r="H196" s="55">
        <f t="shared" si="95"/>
        <v>295000</v>
      </c>
      <c r="I196" s="32">
        <f t="shared" si="85"/>
        <v>810000</v>
      </c>
      <c r="J196" s="30">
        <f t="shared" si="96"/>
        <v>92800</v>
      </c>
      <c r="K196" s="144" t="b">
        <f t="shared" si="87"/>
        <v>1</v>
      </c>
    </row>
    <row r="197" spans="1:16">
      <c r="A197" s="122" t="str">
        <f t="shared" si="97"/>
        <v>JUIN</v>
      </c>
      <c r="B197" s="128" t="s">
        <v>268</v>
      </c>
      <c r="C197" s="32">
        <f t="shared" si="93"/>
        <v>354300</v>
      </c>
      <c r="D197" s="119"/>
      <c r="E197" s="32">
        <f t="shared" si="94"/>
        <v>574000</v>
      </c>
      <c r="F197" s="51"/>
      <c r="G197" s="138"/>
      <c r="H197" s="55">
        <f t="shared" si="95"/>
        <v>150000</v>
      </c>
      <c r="I197" s="32">
        <f t="shared" si="85"/>
        <v>743100</v>
      </c>
      <c r="J197" s="30">
        <f t="shared" si="96"/>
        <v>35200</v>
      </c>
      <c r="K197" s="144" t="b">
        <f t="shared" si="87"/>
        <v>1</v>
      </c>
    </row>
    <row r="198" spans="1:16">
      <c r="A198" s="122" t="str">
        <f t="shared" si="97"/>
        <v>JUIN</v>
      </c>
      <c r="B198" s="128" t="s">
        <v>113</v>
      </c>
      <c r="C198" s="32">
        <f t="shared" si="93"/>
        <v>14676</v>
      </c>
      <c r="D198" s="119"/>
      <c r="E198" s="32">
        <f t="shared" si="94"/>
        <v>25324</v>
      </c>
      <c r="F198" s="51"/>
      <c r="G198" s="138"/>
      <c r="H198" s="55">
        <f t="shared" si="95"/>
        <v>30000</v>
      </c>
      <c r="I198" s="32">
        <f t="shared" si="85"/>
        <v>10000</v>
      </c>
      <c r="J198" s="30">
        <f t="shared" si="96"/>
        <v>0</v>
      </c>
      <c r="K198" s="144" t="b">
        <f t="shared" si="87"/>
        <v>1</v>
      </c>
    </row>
    <row r="199" spans="1:16">
      <c r="A199" s="34" t="s">
        <v>60</v>
      </c>
      <c r="B199" s="35"/>
      <c r="C199" s="35"/>
      <c r="D199" s="35"/>
      <c r="E199" s="35"/>
      <c r="F199" s="35"/>
      <c r="G199" s="35"/>
      <c r="H199" s="35"/>
      <c r="I199" s="35"/>
      <c r="J199" s="36"/>
      <c r="K199" s="143"/>
    </row>
    <row r="200" spans="1:16">
      <c r="A200" s="122" t="str">
        <f>A198</f>
        <v>JUIN</v>
      </c>
      <c r="B200" s="37" t="s">
        <v>61</v>
      </c>
      <c r="C200" s="38">
        <f>+C159</f>
        <v>275723</v>
      </c>
      <c r="D200" s="49"/>
      <c r="E200" s="49">
        <f>D159</f>
        <v>8454305</v>
      </c>
      <c r="F200" s="49"/>
      <c r="G200" s="125"/>
      <c r="H200" s="51">
        <f>+F159</f>
        <v>5159824</v>
      </c>
      <c r="I200" s="126">
        <f>+E159</f>
        <v>2771320</v>
      </c>
      <c r="J200" s="30">
        <f>+SUM(C200:G200)-(H200+I200)</f>
        <v>798884</v>
      </c>
      <c r="K200" s="144" t="b">
        <f>J200=I159</f>
        <v>1</v>
      </c>
    </row>
    <row r="201" spans="1:16">
      <c r="A201" s="43" t="s">
        <v>62</v>
      </c>
      <c r="B201" s="24"/>
      <c r="C201" s="35"/>
      <c r="D201" s="24"/>
      <c r="E201" s="24"/>
      <c r="F201" s="24"/>
      <c r="G201" s="24"/>
      <c r="H201" s="24"/>
      <c r="I201" s="24"/>
      <c r="J201" s="36"/>
      <c r="K201" s="143"/>
    </row>
    <row r="202" spans="1:16">
      <c r="A202" s="122" t="str">
        <f>+A200</f>
        <v>JUIN</v>
      </c>
      <c r="B202" s="37" t="s">
        <v>24</v>
      </c>
      <c r="C202" s="125">
        <f>+C157</f>
        <v>14703145</v>
      </c>
      <c r="D202" s="132">
        <f>+G157</f>
        <v>17622093</v>
      </c>
      <c r="E202" s="49"/>
      <c r="F202" s="49"/>
      <c r="G202" s="49"/>
      <c r="H202" s="51">
        <f>+F157</f>
        <v>25049328</v>
      </c>
      <c r="I202" s="53">
        <f>+E157</f>
        <v>35235</v>
      </c>
      <c r="J202" s="30">
        <f>+SUM(C202:G202)-(H202+I202)</f>
        <v>7240675</v>
      </c>
      <c r="K202" s="144" t="b">
        <f>+J202=I157</f>
        <v>1</v>
      </c>
    </row>
    <row r="203" spans="1:16">
      <c r="A203" s="122" t="str">
        <f t="shared" ref="A203" si="98">+A202</f>
        <v>JUIN</v>
      </c>
      <c r="B203" s="37" t="s">
        <v>64</v>
      </c>
      <c r="C203" s="125">
        <f>+C158</f>
        <v>499301</v>
      </c>
      <c r="D203" s="49">
        <f>+G158</f>
        <v>0</v>
      </c>
      <c r="E203" s="48"/>
      <c r="F203" s="48"/>
      <c r="G203" s="48">
        <f>+D158</f>
        <v>19049328</v>
      </c>
      <c r="H203" s="32">
        <f>+F158</f>
        <v>2000000</v>
      </c>
      <c r="I203" s="50">
        <f>+E158</f>
        <v>3906424</v>
      </c>
      <c r="J203" s="30">
        <f>+SUM(C203:G203)-(H203+I203)</f>
        <v>13642205</v>
      </c>
      <c r="K203" s="144" t="b">
        <f>+J203=I158</f>
        <v>1</v>
      </c>
    </row>
    <row r="204" spans="1:16" ht="15.75">
      <c r="C204" s="141">
        <f>SUM(C185:C203)</f>
        <v>17011568</v>
      </c>
      <c r="I204" s="140">
        <f>SUM(I185:I203)</f>
        <v>11040109</v>
      </c>
      <c r="J204" s="105">
        <f>+SUM(J185:J203)</f>
        <v>23593552</v>
      </c>
      <c r="K204" s="5" t="b">
        <f>J204=I174</f>
        <v>1</v>
      </c>
    </row>
    <row r="205" spans="1:16" ht="15.75">
      <c r="C205" s="141"/>
      <c r="I205" s="140"/>
      <c r="J205" s="105"/>
    </row>
    <row r="206" spans="1:16" ht="15.75">
      <c r="A206" s="160"/>
      <c r="B206" s="160"/>
      <c r="C206" s="161"/>
      <c r="D206" s="160"/>
      <c r="E206" s="160"/>
      <c r="F206" s="160"/>
      <c r="G206" s="160"/>
      <c r="H206" s="160"/>
      <c r="I206" s="162"/>
      <c r="J206" s="163"/>
      <c r="K206" s="160"/>
      <c r="L206" s="164"/>
      <c r="M206" s="164"/>
      <c r="N206" s="164"/>
      <c r="O206" s="164"/>
      <c r="P206" s="160"/>
    </row>
    <row r="209" spans="1:21" ht="15.75">
      <c r="A209" s="6" t="s">
        <v>36</v>
      </c>
      <c r="B209" s="6" t="s">
        <v>1</v>
      </c>
      <c r="C209" s="6">
        <v>45047</v>
      </c>
      <c r="D209" s="7" t="s">
        <v>37</v>
      </c>
      <c r="E209" s="7" t="s">
        <v>38</v>
      </c>
      <c r="F209" s="7" t="s">
        <v>39</v>
      </c>
      <c r="G209" s="7" t="s">
        <v>40</v>
      </c>
      <c r="H209" s="6">
        <v>45076</v>
      </c>
      <c r="I209" s="7" t="s">
        <v>41</v>
      </c>
      <c r="K209" s="45"/>
      <c r="L209" s="45" t="s">
        <v>42</v>
      </c>
      <c r="M209" s="45" t="s">
        <v>43</v>
      </c>
      <c r="N209" s="45" t="s">
        <v>44</v>
      </c>
      <c r="O209" s="45" t="s">
        <v>45</v>
      </c>
    </row>
    <row r="210" spans="1:21" ht="16.5">
      <c r="A210" s="58" t="str">
        <f>K210</f>
        <v>BCI</v>
      </c>
      <c r="B210" s="59" t="s">
        <v>46</v>
      </c>
      <c r="C210" s="61">
        <v>17286490</v>
      </c>
      <c r="D210" s="61">
        <f>+L210</f>
        <v>0</v>
      </c>
      <c r="E210" s="61">
        <f>+N210</f>
        <v>583345</v>
      </c>
      <c r="F210" s="61">
        <f>+M210</f>
        <v>2000000</v>
      </c>
      <c r="G210" s="61">
        <f t="shared" ref="G210:G225" si="99">+O210</f>
        <v>0</v>
      </c>
      <c r="H210" s="61">
        <v>14703145</v>
      </c>
      <c r="I210" s="61">
        <f>+C210+D210-E210-F210+G210</f>
        <v>14703145</v>
      </c>
      <c r="J210" s="9">
        <f>I210-H210</f>
        <v>0</v>
      </c>
      <c r="K210" s="45" t="s">
        <v>24</v>
      </c>
      <c r="L210" s="181">
        <v>0</v>
      </c>
      <c r="M210" s="181">
        <v>2000000</v>
      </c>
      <c r="N210" s="181">
        <v>583345</v>
      </c>
      <c r="O210" s="181">
        <v>0</v>
      </c>
      <c r="R210"/>
      <c r="S210"/>
      <c r="T210"/>
      <c r="U210"/>
    </row>
    <row r="211" spans="1:21" ht="16.5">
      <c r="A211" s="58" t="str">
        <f t="shared" ref="A211:A225" si="100">K211</f>
        <v>BCI-Sous Compte</v>
      </c>
      <c r="B211" s="59" t="s">
        <v>46</v>
      </c>
      <c r="C211" s="61">
        <v>5202151</v>
      </c>
      <c r="D211" s="61">
        <f t="shared" ref="D211:D225" si="101">+L211</f>
        <v>0</v>
      </c>
      <c r="E211" s="61">
        <f t="shared" ref="E211:E216" si="102">+N211</f>
        <v>4702850</v>
      </c>
      <c r="F211" s="61">
        <f t="shared" ref="F211:F225" si="103">+M211</f>
        <v>0</v>
      </c>
      <c r="G211" s="61">
        <f t="shared" si="99"/>
        <v>0</v>
      </c>
      <c r="H211" s="61">
        <v>499301</v>
      </c>
      <c r="I211" s="61">
        <f>+C211+D211-E211-F211+G211</f>
        <v>499301</v>
      </c>
      <c r="J211" s="9">
        <f t="shared" ref="J211:J218" si="104">I211-H211</f>
        <v>0</v>
      </c>
      <c r="K211" s="45" t="s">
        <v>148</v>
      </c>
      <c r="L211" s="181">
        <v>0</v>
      </c>
      <c r="M211" s="181">
        <v>0</v>
      </c>
      <c r="N211" s="181">
        <v>4702850</v>
      </c>
      <c r="O211" s="181">
        <v>0</v>
      </c>
      <c r="R211"/>
      <c r="S211"/>
      <c r="T211"/>
      <c r="U211"/>
    </row>
    <row r="212" spans="1:21" ht="16.5">
      <c r="A212" s="58" t="str">
        <f t="shared" si="100"/>
        <v>Caisse</v>
      </c>
      <c r="B212" s="59" t="s">
        <v>25</v>
      </c>
      <c r="C212" s="61">
        <v>3813317</v>
      </c>
      <c r="D212" s="61">
        <f t="shared" si="101"/>
        <v>2180000</v>
      </c>
      <c r="E212" s="61">
        <f t="shared" si="102"/>
        <v>1411594</v>
      </c>
      <c r="F212" s="61">
        <f t="shared" si="103"/>
        <v>4306000</v>
      </c>
      <c r="G212" s="61">
        <f t="shared" si="99"/>
        <v>0</v>
      </c>
      <c r="H212" s="61">
        <v>275723</v>
      </c>
      <c r="I212" s="61">
        <f>+C212+D212-E212-F212+G212</f>
        <v>275723</v>
      </c>
      <c r="J212" s="102">
        <f t="shared" si="104"/>
        <v>0</v>
      </c>
      <c r="K212" s="45" t="s">
        <v>25</v>
      </c>
      <c r="L212" s="181">
        <v>2180000</v>
      </c>
      <c r="M212" s="181">
        <v>4306000</v>
      </c>
      <c r="N212" s="181">
        <v>1411594</v>
      </c>
      <c r="O212" s="181">
        <v>0</v>
      </c>
      <c r="R212"/>
      <c r="S212"/>
      <c r="T212"/>
      <c r="U212"/>
    </row>
    <row r="213" spans="1:21" ht="16.5">
      <c r="A213" s="58" t="str">
        <f t="shared" si="100"/>
        <v>Crépin</v>
      </c>
      <c r="B213" s="59" t="s">
        <v>154</v>
      </c>
      <c r="C213" s="61">
        <v>74020</v>
      </c>
      <c r="D213" s="61">
        <f t="shared" si="101"/>
        <v>905000</v>
      </c>
      <c r="E213" s="61">
        <f t="shared" si="102"/>
        <v>665400</v>
      </c>
      <c r="F213" s="61">
        <f t="shared" si="103"/>
        <v>73000</v>
      </c>
      <c r="G213" s="61">
        <f t="shared" si="99"/>
        <v>0</v>
      </c>
      <c r="H213" s="61">
        <v>240620</v>
      </c>
      <c r="I213" s="61">
        <f>+C213+D213-E213-F213+G213</f>
        <v>240620</v>
      </c>
      <c r="J213" s="9">
        <f t="shared" si="104"/>
        <v>0</v>
      </c>
      <c r="K213" s="45" t="s">
        <v>47</v>
      </c>
      <c r="L213" s="181">
        <v>905000</v>
      </c>
      <c r="M213" s="181">
        <v>73000</v>
      </c>
      <c r="N213" s="181">
        <v>665400</v>
      </c>
      <c r="O213" s="181">
        <v>0</v>
      </c>
      <c r="R213"/>
      <c r="S213"/>
      <c r="T213"/>
      <c r="U213"/>
    </row>
    <row r="214" spans="1:21" ht="16.5">
      <c r="A214" s="58" t="str">
        <f t="shared" si="100"/>
        <v>D58</v>
      </c>
      <c r="B214" s="59" t="s">
        <v>4</v>
      </c>
      <c r="C214" s="61">
        <v>0</v>
      </c>
      <c r="D214" s="61">
        <f t="shared" si="101"/>
        <v>384500</v>
      </c>
      <c r="E214" s="61">
        <f t="shared" si="102"/>
        <v>369800</v>
      </c>
      <c r="F214" s="61">
        <f t="shared" si="103"/>
        <v>0</v>
      </c>
      <c r="G214" s="61">
        <f t="shared" si="99"/>
        <v>0</v>
      </c>
      <c r="H214" s="61">
        <v>14700</v>
      </c>
      <c r="I214" s="61">
        <f>+C214+D214-E214-F214+G214</f>
        <v>14700</v>
      </c>
      <c r="J214" s="9">
        <f t="shared" si="104"/>
        <v>0</v>
      </c>
      <c r="K214" s="45" t="s">
        <v>269</v>
      </c>
      <c r="L214" s="181">
        <v>384500</v>
      </c>
      <c r="M214" s="181">
        <v>0</v>
      </c>
      <c r="N214" s="181">
        <v>369800</v>
      </c>
      <c r="O214" s="181">
        <v>0</v>
      </c>
      <c r="R214"/>
      <c r="S214"/>
      <c r="T214"/>
      <c r="U214"/>
    </row>
    <row r="215" spans="1:21" ht="16.5">
      <c r="A215" s="58" t="str">
        <f t="shared" si="100"/>
        <v>Donald</v>
      </c>
      <c r="B215" s="59" t="s">
        <v>154</v>
      </c>
      <c r="C215" s="61">
        <v>28350</v>
      </c>
      <c r="D215" s="61">
        <f t="shared" si="101"/>
        <v>722000</v>
      </c>
      <c r="E215" s="61">
        <f t="shared" si="102"/>
        <v>540360</v>
      </c>
      <c r="F215" s="61">
        <f t="shared" si="103"/>
        <v>98000</v>
      </c>
      <c r="G215" s="61">
        <f t="shared" si="99"/>
        <v>0</v>
      </c>
      <c r="H215" s="61">
        <v>111990</v>
      </c>
      <c r="I215" s="61">
        <f t="shared" ref="I215:I216" si="105">+C215+D215-E215-F215+G215</f>
        <v>111990</v>
      </c>
      <c r="J215" s="9">
        <f t="shared" si="104"/>
        <v>0</v>
      </c>
      <c r="K215" s="45" t="s">
        <v>255</v>
      </c>
      <c r="L215" s="181">
        <v>722000</v>
      </c>
      <c r="M215" s="181">
        <v>98000</v>
      </c>
      <c r="N215" s="181">
        <v>540360</v>
      </c>
      <c r="O215" s="181">
        <v>0</v>
      </c>
      <c r="R215"/>
      <c r="S215"/>
      <c r="T215"/>
      <c r="U215"/>
    </row>
    <row r="216" spans="1:21" ht="16.5">
      <c r="A216" s="58" t="str">
        <f t="shared" si="100"/>
        <v>Evariste</v>
      </c>
      <c r="B216" s="59" t="s">
        <v>155</v>
      </c>
      <c r="C216" s="61">
        <v>39425</v>
      </c>
      <c r="D216" s="61">
        <f t="shared" si="101"/>
        <v>211000</v>
      </c>
      <c r="E216" s="61">
        <f t="shared" si="102"/>
        <v>222050</v>
      </c>
      <c r="F216" s="61">
        <f t="shared" si="103"/>
        <v>0</v>
      </c>
      <c r="G216" s="61">
        <f t="shared" si="99"/>
        <v>0</v>
      </c>
      <c r="H216" s="61">
        <v>28375</v>
      </c>
      <c r="I216" s="61">
        <f t="shared" si="105"/>
        <v>28375</v>
      </c>
      <c r="J216" s="9">
        <f t="shared" si="104"/>
        <v>0</v>
      </c>
      <c r="K216" s="45" t="s">
        <v>31</v>
      </c>
      <c r="L216" s="181">
        <v>211000</v>
      </c>
      <c r="M216" s="181">
        <v>0</v>
      </c>
      <c r="N216" s="181">
        <v>222050</v>
      </c>
      <c r="O216" s="181">
        <v>0</v>
      </c>
      <c r="R216"/>
      <c r="S216"/>
      <c r="T216"/>
      <c r="U216"/>
    </row>
    <row r="217" spans="1:21" ht="16.5">
      <c r="A217" s="58" t="str">
        <f t="shared" si="100"/>
        <v>I55S</v>
      </c>
      <c r="B217" s="116" t="s">
        <v>4</v>
      </c>
      <c r="C217" s="118">
        <v>233614</v>
      </c>
      <c r="D217" s="118">
        <f t="shared" si="101"/>
        <v>0</v>
      </c>
      <c r="E217" s="118">
        <f>+N217</f>
        <v>0</v>
      </c>
      <c r="F217" s="118">
        <f t="shared" si="103"/>
        <v>0</v>
      </c>
      <c r="G217" s="118">
        <f t="shared" si="99"/>
        <v>0</v>
      </c>
      <c r="H217" s="118">
        <v>233614</v>
      </c>
      <c r="I217" s="118">
        <f>+C217+D217-E217-F217+G217</f>
        <v>233614</v>
      </c>
      <c r="J217" s="9">
        <f t="shared" si="104"/>
        <v>0</v>
      </c>
      <c r="K217" s="45" t="s">
        <v>84</v>
      </c>
      <c r="L217" s="181">
        <v>0</v>
      </c>
      <c r="M217" s="181">
        <v>0</v>
      </c>
      <c r="N217" s="181">
        <v>0</v>
      </c>
      <c r="O217" s="181">
        <v>0</v>
      </c>
      <c r="R217"/>
      <c r="S217"/>
      <c r="T217"/>
      <c r="U217"/>
    </row>
    <row r="218" spans="1:21" ht="16.5">
      <c r="A218" s="58" t="str">
        <f t="shared" si="100"/>
        <v>I73X</v>
      </c>
      <c r="B218" s="116" t="s">
        <v>4</v>
      </c>
      <c r="C218" s="118">
        <v>249769</v>
      </c>
      <c r="D218" s="118">
        <f t="shared" si="101"/>
        <v>0</v>
      </c>
      <c r="E218" s="118">
        <f>+N218</f>
        <v>0</v>
      </c>
      <c r="F218" s="118">
        <f t="shared" si="103"/>
        <v>0</v>
      </c>
      <c r="G218" s="118">
        <f t="shared" si="99"/>
        <v>0</v>
      </c>
      <c r="H218" s="118">
        <v>249769</v>
      </c>
      <c r="I218" s="118">
        <f t="shared" ref="I218:I223" si="106">+C218+D218-E218-F218+G218</f>
        <v>249769</v>
      </c>
      <c r="J218" s="9">
        <f t="shared" si="104"/>
        <v>0</v>
      </c>
      <c r="K218" s="45" t="s">
        <v>83</v>
      </c>
      <c r="L218" s="181">
        <v>0</v>
      </c>
      <c r="M218" s="181">
        <v>0</v>
      </c>
      <c r="N218" s="181">
        <v>0</v>
      </c>
      <c r="O218" s="181">
        <v>0</v>
      </c>
      <c r="R218"/>
      <c r="S218"/>
      <c r="T218"/>
      <c r="U218"/>
    </row>
    <row r="219" spans="1:21" s="188" customFormat="1" ht="16.5">
      <c r="A219" s="58" t="str">
        <f t="shared" si="100"/>
        <v>Grace</v>
      </c>
      <c r="B219" s="59" t="s">
        <v>2</v>
      </c>
      <c r="C219" s="184">
        <v>55550</v>
      </c>
      <c r="D219" s="61">
        <f t="shared" si="101"/>
        <v>382000</v>
      </c>
      <c r="E219" s="61">
        <f t="shared" ref="E219:E225" si="107">+N219</f>
        <v>91000</v>
      </c>
      <c r="F219" s="61">
        <f t="shared" si="103"/>
        <v>300000</v>
      </c>
      <c r="G219" s="61">
        <f t="shared" si="99"/>
        <v>0</v>
      </c>
      <c r="H219" s="184">
        <v>46550</v>
      </c>
      <c r="I219" s="184">
        <f t="shared" si="106"/>
        <v>46550</v>
      </c>
      <c r="J219" s="185">
        <f>I219-H219</f>
        <v>0</v>
      </c>
      <c r="K219" s="186" t="s">
        <v>143</v>
      </c>
      <c r="L219" s="181">
        <v>382000</v>
      </c>
      <c r="M219" s="181">
        <v>300000</v>
      </c>
      <c r="N219" s="181">
        <v>91000</v>
      </c>
      <c r="O219" s="181">
        <v>0</v>
      </c>
      <c r="R219"/>
      <c r="S219"/>
      <c r="T219"/>
      <c r="U219"/>
    </row>
    <row r="220" spans="1:21" ht="16.5">
      <c r="A220" s="58" t="str">
        <f t="shared" si="100"/>
        <v>Hurielle</v>
      </c>
      <c r="B220" s="98" t="s">
        <v>154</v>
      </c>
      <c r="C220" s="61">
        <v>30005</v>
      </c>
      <c r="D220" s="61">
        <f t="shared" si="101"/>
        <v>335000</v>
      </c>
      <c r="E220" s="61">
        <f t="shared" si="107"/>
        <v>280400</v>
      </c>
      <c r="F220" s="61">
        <f t="shared" si="103"/>
        <v>0</v>
      </c>
      <c r="G220" s="61">
        <f t="shared" si="99"/>
        <v>0</v>
      </c>
      <c r="H220" s="61">
        <v>84605</v>
      </c>
      <c r="I220" s="61">
        <f t="shared" si="106"/>
        <v>84605</v>
      </c>
      <c r="J220" s="9">
        <f t="shared" ref="J220" si="108">I220-H220</f>
        <v>0</v>
      </c>
      <c r="K220" s="45" t="s">
        <v>197</v>
      </c>
      <c r="L220" s="181">
        <v>335000</v>
      </c>
      <c r="M220" s="181">
        <v>0</v>
      </c>
      <c r="N220" s="181">
        <v>280400</v>
      </c>
      <c r="O220" s="181">
        <v>0</v>
      </c>
      <c r="R220"/>
      <c r="S220"/>
      <c r="T220"/>
      <c r="U220"/>
    </row>
    <row r="221" spans="1:21" s="188" customFormat="1" ht="16.5">
      <c r="A221" s="58" t="str">
        <f t="shared" si="100"/>
        <v>Merveille</v>
      </c>
      <c r="B221" s="59" t="s">
        <v>2</v>
      </c>
      <c r="C221" s="184">
        <v>20800</v>
      </c>
      <c r="D221" s="61">
        <f t="shared" si="101"/>
        <v>132000</v>
      </c>
      <c r="E221" s="61">
        <f t="shared" si="107"/>
        <v>160400</v>
      </c>
      <c r="F221" s="61">
        <f t="shared" si="103"/>
        <v>0</v>
      </c>
      <c r="G221" s="61">
        <f t="shared" si="99"/>
        <v>0</v>
      </c>
      <c r="H221" s="184">
        <v>-7600</v>
      </c>
      <c r="I221" s="184">
        <f t="shared" si="106"/>
        <v>-7600</v>
      </c>
      <c r="J221" s="185">
        <f>I221-H221</f>
        <v>0</v>
      </c>
      <c r="K221" s="186" t="s">
        <v>93</v>
      </c>
      <c r="L221" s="181">
        <v>132000</v>
      </c>
      <c r="M221" s="181">
        <v>0</v>
      </c>
      <c r="N221" s="181">
        <v>160400</v>
      </c>
      <c r="O221" s="181">
        <v>0</v>
      </c>
      <c r="R221"/>
      <c r="S221"/>
      <c r="T221"/>
      <c r="U221"/>
    </row>
    <row r="222" spans="1:21" ht="16.5">
      <c r="A222" s="58" t="s">
        <v>300</v>
      </c>
      <c r="B222" s="98" t="s">
        <v>154</v>
      </c>
      <c r="C222" s="61">
        <v>0</v>
      </c>
      <c r="D222" s="61">
        <f t="shared" si="101"/>
        <v>35000</v>
      </c>
      <c r="E222" s="61">
        <f t="shared" si="107"/>
        <v>23000</v>
      </c>
      <c r="F222" s="61">
        <f t="shared" si="103"/>
        <v>0</v>
      </c>
      <c r="G222" s="61">
        <f t="shared" si="99"/>
        <v>0</v>
      </c>
      <c r="H222" s="61">
        <v>12000</v>
      </c>
      <c r="I222" s="61">
        <f t="shared" ref="I222" si="109">+C222+D222-E222-F222+G222</f>
        <v>12000</v>
      </c>
      <c r="J222" s="9">
        <f t="shared" ref="J222" si="110">I222-H222</f>
        <v>0</v>
      </c>
      <c r="K222" s="45" t="s">
        <v>300</v>
      </c>
      <c r="L222" s="181">
        <v>35000</v>
      </c>
      <c r="M222" s="181">
        <v>0</v>
      </c>
      <c r="N222" s="181">
        <v>23000</v>
      </c>
      <c r="O222" s="181">
        <v>0</v>
      </c>
      <c r="R222"/>
      <c r="S222"/>
      <c r="T222"/>
      <c r="U222"/>
    </row>
    <row r="223" spans="1:21" ht="16.5">
      <c r="A223" s="58" t="str">
        <f t="shared" si="100"/>
        <v>P29</v>
      </c>
      <c r="B223" s="98" t="s">
        <v>4</v>
      </c>
      <c r="C223" s="61">
        <v>11000</v>
      </c>
      <c r="D223" s="61">
        <f t="shared" si="101"/>
        <v>653000</v>
      </c>
      <c r="E223" s="61">
        <f t="shared" si="107"/>
        <v>514200</v>
      </c>
      <c r="F223" s="61">
        <f t="shared" si="103"/>
        <v>0</v>
      </c>
      <c r="G223" s="61">
        <f t="shared" si="99"/>
        <v>0</v>
      </c>
      <c r="H223" s="61">
        <v>149800</v>
      </c>
      <c r="I223" s="61">
        <f t="shared" si="106"/>
        <v>149800</v>
      </c>
      <c r="J223" s="9">
        <f t="shared" ref="J223:J224" si="111">I223-H223</f>
        <v>0</v>
      </c>
      <c r="K223" s="45" t="s">
        <v>29</v>
      </c>
      <c r="L223" s="181">
        <v>653000</v>
      </c>
      <c r="M223" s="181">
        <v>0</v>
      </c>
      <c r="N223" s="181">
        <v>514200</v>
      </c>
      <c r="O223" s="181">
        <v>0</v>
      </c>
      <c r="R223"/>
      <c r="S223"/>
      <c r="T223"/>
      <c r="U223"/>
    </row>
    <row r="224" spans="1:21" ht="16.5">
      <c r="A224" s="58" t="str">
        <f t="shared" si="100"/>
        <v>T73</v>
      </c>
      <c r="B224" s="59" t="s">
        <v>4</v>
      </c>
      <c r="C224" s="61">
        <v>173700</v>
      </c>
      <c r="D224" s="61">
        <f t="shared" si="101"/>
        <v>837500</v>
      </c>
      <c r="E224" s="61">
        <f t="shared" si="107"/>
        <v>656900</v>
      </c>
      <c r="F224" s="61">
        <f t="shared" si="103"/>
        <v>0</v>
      </c>
      <c r="G224" s="61">
        <f t="shared" si="99"/>
        <v>0</v>
      </c>
      <c r="H224" s="61">
        <v>354300</v>
      </c>
      <c r="I224" s="61">
        <f>+C224+D224-E224-F224+G224</f>
        <v>354300</v>
      </c>
      <c r="J224" s="9">
        <f t="shared" si="111"/>
        <v>0</v>
      </c>
      <c r="K224" s="45" t="s">
        <v>268</v>
      </c>
      <c r="L224" s="181">
        <v>837500</v>
      </c>
      <c r="M224" s="181">
        <v>0</v>
      </c>
      <c r="N224" s="181">
        <v>656900</v>
      </c>
      <c r="O224" s="181">
        <v>0</v>
      </c>
    </row>
    <row r="225" spans="1:15" ht="16.5">
      <c r="A225" s="58" t="str">
        <f t="shared" si="100"/>
        <v>Tiffany</v>
      </c>
      <c r="B225" s="59" t="s">
        <v>2</v>
      </c>
      <c r="C225" s="61">
        <v>24676</v>
      </c>
      <c r="D225" s="61">
        <f t="shared" si="101"/>
        <v>0</v>
      </c>
      <c r="E225" s="61">
        <f t="shared" si="107"/>
        <v>10000</v>
      </c>
      <c r="F225" s="61">
        <f t="shared" si="103"/>
        <v>0</v>
      </c>
      <c r="G225" s="61">
        <f t="shared" si="99"/>
        <v>0</v>
      </c>
      <c r="H225" s="61">
        <v>14676</v>
      </c>
      <c r="I225" s="61">
        <f>+C225+D225-E225-F225+G225</f>
        <v>14676</v>
      </c>
      <c r="J225" s="9">
        <f>I225-H225</f>
        <v>0</v>
      </c>
      <c r="K225" s="45" t="s">
        <v>113</v>
      </c>
      <c r="L225" s="181">
        <v>0</v>
      </c>
      <c r="M225" s="181">
        <v>0</v>
      </c>
      <c r="N225" s="181">
        <v>10000</v>
      </c>
      <c r="O225" s="181">
        <v>0</v>
      </c>
    </row>
    <row r="226" spans="1:15" ht="16.5">
      <c r="A226" s="10" t="s">
        <v>50</v>
      </c>
      <c r="B226" s="11"/>
      <c r="C226" s="12">
        <f t="shared" ref="C226:I226" si="112">SUM(C210:C225)</f>
        <v>27242867</v>
      </c>
      <c r="D226" s="57">
        <f t="shared" si="112"/>
        <v>6777000</v>
      </c>
      <c r="E226" s="57">
        <f t="shared" si="112"/>
        <v>10231299</v>
      </c>
      <c r="F226" s="57">
        <f t="shared" si="112"/>
        <v>6777000</v>
      </c>
      <c r="G226" s="57">
        <f t="shared" si="112"/>
        <v>0</v>
      </c>
      <c r="H226" s="57">
        <f t="shared" si="112"/>
        <v>17011568</v>
      </c>
      <c r="I226" s="57">
        <f t="shared" si="112"/>
        <v>17011568</v>
      </c>
      <c r="J226" s="9">
        <f>I226-H226</f>
        <v>0</v>
      </c>
      <c r="K226" s="3"/>
      <c r="L226" s="47">
        <f>+SUM(L210:L225)</f>
        <v>6777000</v>
      </c>
      <c r="M226" s="47">
        <f>+SUM(M210:M225)</f>
        <v>6777000</v>
      </c>
      <c r="N226" s="47">
        <f>+SUM(N210:N225)</f>
        <v>10231299</v>
      </c>
      <c r="O226" s="47">
        <f>+SUM(O210:O225)</f>
        <v>0</v>
      </c>
    </row>
    <row r="227" spans="1:15" ht="16.5">
      <c r="A227" s="10"/>
      <c r="B227" s="11"/>
      <c r="C227" s="12"/>
      <c r="D227" s="13"/>
      <c r="E227" s="12"/>
      <c r="F227" s="13"/>
      <c r="G227" s="12"/>
      <c r="H227" s="12"/>
      <c r="I227" s="134" t="b">
        <f>I226=D229</f>
        <v>1</v>
      </c>
      <c r="J227" s="9">
        <f>H226-I226</f>
        <v>0</v>
      </c>
      <c r="L227" s="5"/>
      <c r="M227" s="5"/>
      <c r="N227" s="5"/>
      <c r="O227" s="5"/>
    </row>
    <row r="228" spans="1:15" ht="16.5">
      <c r="A228" s="10" t="s">
        <v>294</v>
      </c>
      <c r="B228" s="11" t="s">
        <v>209</v>
      </c>
      <c r="C228" s="12" t="s">
        <v>208</v>
      </c>
      <c r="D228" s="12" t="s">
        <v>295</v>
      </c>
      <c r="E228" s="12" t="s">
        <v>51</v>
      </c>
      <c r="F228" s="12"/>
      <c r="G228" s="12">
        <f>+D226-F226</f>
        <v>0</v>
      </c>
      <c r="H228" s="12"/>
      <c r="I228" s="212"/>
    </row>
    <row r="229" spans="1:15" ht="16.5">
      <c r="A229" s="14">
        <f>C226</f>
        <v>27242867</v>
      </c>
      <c r="B229" s="15">
        <f>G226</f>
        <v>0</v>
      </c>
      <c r="C229" s="12">
        <f>E226</f>
        <v>10231299</v>
      </c>
      <c r="D229" s="12">
        <f>A229+B229-C229</f>
        <v>17011568</v>
      </c>
      <c r="E229" s="13">
        <f>I226-D229</f>
        <v>0</v>
      </c>
      <c r="F229" s="12"/>
      <c r="G229" s="12"/>
      <c r="H229" s="12"/>
      <c r="I229" s="12"/>
    </row>
    <row r="230" spans="1:15" ht="16.5">
      <c r="A230" s="14"/>
      <c r="B230" s="15"/>
      <c r="C230" s="12"/>
      <c r="D230" s="12"/>
      <c r="E230" s="13"/>
      <c r="F230" s="12"/>
      <c r="G230" s="12"/>
      <c r="H230" s="12"/>
      <c r="I230" s="12"/>
    </row>
    <row r="231" spans="1:15">
      <c r="A231" s="16" t="s">
        <v>52</v>
      </c>
      <c r="B231" s="16"/>
      <c r="C231" s="16"/>
      <c r="D231" s="17"/>
      <c r="E231" s="17"/>
      <c r="F231" s="17"/>
      <c r="G231" s="17"/>
      <c r="H231" s="17"/>
      <c r="I231" s="17"/>
    </row>
    <row r="232" spans="1:15">
      <c r="A232" s="18" t="s">
        <v>296</v>
      </c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5">
      <c r="A233" s="19"/>
      <c r="B233" s="17"/>
      <c r="C233" s="20"/>
      <c r="D233" s="20"/>
      <c r="E233" s="20"/>
      <c r="F233" s="20"/>
      <c r="G233" s="20"/>
      <c r="H233" s="17"/>
      <c r="I233" s="17"/>
    </row>
    <row r="234" spans="1:15" ht="45" customHeight="1">
      <c r="A234" s="169" t="s">
        <v>53</v>
      </c>
      <c r="B234" s="171" t="s">
        <v>54</v>
      </c>
      <c r="C234" s="173" t="s">
        <v>297</v>
      </c>
      <c r="D234" s="174" t="s">
        <v>55</v>
      </c>
      <c r="E234" s="175"/>
      <c r="F234" s="175"/>
      <c r="G234" s="176"/>
      <c r="H234" s="177" t="s">
        <v>56</v>
      </c>
      <c r="I234" s="165" t="s">
        <v>57</v>
      </c>
      <c r="J234" s="210"/>
    </row>
    <row r="235" spans="1:15" ht="28.5" customHeight="1">
      <c r="A235" s="170"/>
      <c r="B235" s="172"/>
      <c r="C235" s="22"/>
      <c r="D235" s="21" t="s">
        <v>24</v>
      </c>
      <c r="E235" s="21" t="s">
        <v>25</v>
      </c>
      <c r="F235" s="22" t="s">
        <v>123</v>
      </c>
      <c r="G235" s="21" t="s">
        <v>58</v>
      </c>
      <c r="H235" s="178"/>
      <c r="I235" s="166"/>
      <c r="J235" s="168" t="s">
        <v>298</v>
      </c>
      <c r="K235" s="143"/>
    </row>
    <row r="236" spans="1:15">
      <c r="A236" s="23"/>
      <c r="B236" s="24" t="s">
        <v>59</v>
      </c>
      <c r="C236" s="25"/>
      <c r="D236" s="25"/>
      <c r="E236" s="25"/>
      <c r="F236" s="25"/>
      <c r="G236" s="25"/>
      <c r="H236" s="25"/>
      <c r="I236" s="26"/>
      <c r="J236" s="168"/>
      <c r="K236" s="143"/>
    </row>
    <row r="237" spans="1:15">
      <c r="A237" s="122" t="s">
        <v>131</v>
      </c>
      <c r="B237" s="127" t="s">
        <v>47</v>
      </c>
      <c r="C237" s="32">
        <f>+C213</f>
        <v>74020</v>
      </c>
      <c r="D237" s="31"/>
      <c r="E237" s="32">
        <f>+D213</f>
        <v>905000</v>
      </c>
      <c r="F237" s="32"/>
      <c r="G237" s="32"/>
      <c r="H237" s="55">
        <f>+F213</f>
        <v>73000</v>
      </c>
      <c r="I237" s="32">
        <f>+E213</f>
        <v>665400</v>
      </c>
      <c r="J237" s="30">
        <f t="shared" ref="J237:J240" si="113">+SUM(C237:G237)-(H237+I237)</f>
        <v>240620</v>
      </c>
      <c r="K237" s="144" t="b">
        <f t="shared" ref="K237:K249" si="114">J237=I213</f>
        <v>1</v>
      </c>
    </row>
    <row r="238" spans="1:15">
      <c r="A238" s="122" t="str">
        <f>+A237</f>
        <v>MAI</v>
      </c>
      <c r="B238" s="127" t="s">
        <v>269</v>
      </c>
      <c r="C238" s="32">
        <f t="shared" ref="C238:C240" si="115">+C214</f>
        <v>0</v>
      </c>
      <c r="D238" s="31"/>
      <c r="E238" s="32">
        <f t="shared" ref="E238:E240" si="116">+D214</f>
        <v>384500</v>
      </c>
      <c r="F238" s="32"/>
      <c r="G238" s="32"/>
      <c r="H238" s="55">
        <f t="shared" ref="H238:H240" si="117">+F214</f>
        <v>0</v>
      </c>
      <c r="I238" s="32">
        <f t="shared" ref="I238:I240" si="118">+E214</f>
        <v>369800</v>
      </c>
      <c r="J238" s="30">
        <f t="shared" si="113"/>
        <v>14700</v>
      </c>
      <c r="K238" s="144" t="b">
        <f t="shared" si="114"/>
        <v>1</v>
      </c>
    </row>
    <row r="239" spans="1:15">
      <c r="A239" s="122" t="str">
        <f t="shared" ref="A239:A249" si="119">+A238</f>
        <v>MAI</v>
      </c>
      <c r="B239" s="127" t="s">
        <v>255</v>
      </c>
      <c r="C239" s="32">
        <f t="shared" si="115"/>
        <v>28350</v>
      </c>
      <c r="D239" s="31"/>
      <c r="E239" s="32">
        <f t="shared" si="116"/>
        <v>722000</v>
      </c>
      <c r="F239" s="32"/>
      <c r="G239" s="32"/>
      <c r="H239" s="55">
        <f t="shared" si="117"/>
        <v>98000</v>
      </c>
      <c r="I239" s="32">
        <f t="shared" si="118"/>
        <v>540360</v>
      </c>
      <c r="J239" s="30">
        <f t="shared" si="113"/>
        <v>111990</v>
      </c>
      <c r="K239" s="144" t="b">
        <f t="shared" si="114"/>
        <v>1</v>
      </c>
    </row>
    <row r="240" spans="1:15">
      <c r="A240" s="122" t="str">
        <f t="shared" si="119"/>
        <v>MAI</v>
      </c>
      <c r="B240" s="127" t="s">
        <v>31</v>
      </c>
      <c r="C240" s="32">
        <f t="shared" si="115"/>
        <v>39425</v>
      </c>
      <c r="D240" s="31"/>
      <c r="E240" s="32">
        <f t="shared" si="116"/>
        <v>211000</v>
      </c>
      <c r="F240" s="32"/>
      <c r="G240" s="32"/>
      <c r="H240" s="55">
        <f t="shared" si="117"/>
        <v>0</v>
      </c>
      <c r="I240" s="32">
        <f t="shared" si="118"/>
        <v>222050</v>
      </c>
      <c r="J240" s="30">
        <f t="shared" si="113"/>
        <v>28375</v>
      </c>
      <c r="K240" s="144" t="b">
        <f t="shared" si="114"/>
        <v>1</v>
      </c>
    </row>
    <row r="241" spans="1:11">
      <c r="A241" s="122" t="str">
        <f t="shared" si="119"/>
        <v>MAI</v>
      </c>
      <c r="B241" s="129" t="s">
        <v>84</v>
      </c>
      <c r="C241" s="120">
        <f>+C217</f>
        <v>233614</v>
      </c>
      <c r="D241" s="123"/>
      <c r="E241" s="120">
        <f>+D217</f>
        <v>0</v>
      </c>
      <c r="F241" s="137"/>
      <c r="G241" s="137"/>
      <c r="H241" s="155">
        <f>+F217</f>
        <v>0</v>
      </c>
      <c r="I241" s="120">
        <f t="shared" ref="I241:I246" si="120">+E217</f>
        <v>0</v>
      </c>
      <c r="J241" s="121">
        <f>+SUM(C241:G241)-(H241+I241)</f>
        <v>233614</v>
      </c>
      <c r="K241" s="144" t="b">
        <f t="shared" si="114"/>
        <v>1</v>
      </c>
    </row>
    <row r="242" spans="1:11">
      <c r="A242" s="122" t="str">
        <f t="shared" si="119"/>
        <v>MAI</v>
      </c>
      <c r="B242" s="129" t="s">
        <v>83</v>
      </c>
      <c r="C242" s="120">
        <f>+C218</f>
        <v>249769</v>
      </c>
      <c r="D242" s="123"/>
      <c r="E242" s="120">
        <f>+D218</f>
        <v>0</v>
      </c>
      <c r="F242" s="137"/>
      <c r="G242" s="137"/>
      <c r="H242" s="155">
        <f>+F218</f>
        <v>0</v>
      </c>
      <c r="I242" s="120">
        <f t="shared" si="120"/>
        <v>0</v>
      </c>
      <c r="J242" s="121">
        <f t="shared" ref="J242:J249" si="121">+SUM(C242:G242)-(H242+I242)</f>
        <v>249769</v>
      </c>
      <c r="K242" s="144" t="b">
        <f t="shared" si="114"/>
        <v>1</v>
      </c>
    </row>
    <row r="243" spans="1:11">
      <c r="A243" s="122" t="str">
        <f t="shared" si="119"/>
        <v>MAI</v>
      </c>
      <c r="B243" s="127" t="s">
        <v>143</v>
      </c>
      <c r="C243" s="32">
        <f>+C219</f>
        <v>55550</v>
      </c>
      <c r="D243" s="31"/>
      <c r="E243" s="32">
        <f>+D219</f>
        <v>382000</v>
      </c>
      <c r="F243" s="32"/>
      <c r="G243" s="104"/>
      <c r="H243" s="55">
        <f>+F219</f>
        <v>300000</v>
      </c>
      <c r="I243" s="32">
        <f t="shared" si="120"/>
        <v>91000</v>
      </c>
      <c r="J243" s="30">
        <f t="shared" si="121"/>
        <v>46550</v>
      </c>
      <c r="K243" s="144" t="b">
        <f t="shared" si="114"/>
        <v>1</v>
      </c>
    </row>
    <row r="244" spans="1:11">
      <c r="A244" s="122" t="str">
        <f t="shared" si="119"/>
        <v>MAI</v>
      </c>
      <c r="B244" s="127" t="s">
        <v>197</v>
      </c>
      <c r="C244" s="32">
        <f t="shared" ref="C244:C249" si="122">+C220</f>
        <v>30005</v>
      </c>
      <c r="D244" s="31"/>
      <c r="E244" s="32">
        <f t="shared" ref="E244:E249" si="123">+D220</f>
        <v>335000</v>
      </c>
      <c r="F244" s="32"/>
      <c r="G244" s="104"/>
      <c r="H244" s="55">
        <f t="shared" ref="H244:H249" si="124">+F220</f>
        <v>0</v>
      </c>
      <c r="I244" s="32">
        <f t="shared" si="120"/>
        <v>280400</v>
      </c>
      <c r="J244" s="30">
        <f t="shared" si="121"/>
        <v>84605</v>
      </c>
      <c r="K244" s="144" t="b">
        <f t="shared" si="114"/>
        <v>1</v>
      </c>
    </row>
    <row r="245" spans="1:11">
      <c r="A245" s="122" t="str">
        <f t="shared" si="119"/>
        <v>MAI</v>
      </c>
      <c r="B245" s="127" t="s">
        <v>93</v>
      </c>
      <c r="C245" s="32">
        <f t="shared" si="122"/>
        <v>20800</v>
      </c>
      <c r="D245" s="31"/>
      <c r="E245" s="32">
        <f t="shared" si="123"/>
        <v>132000</v>
      </c>
      <c r="F245" s="32"/>
      <c r="G245" s="104"/>
      <c r="H245" s="55">
        <f t="shared" si="124"/>
        <v>0</v>
      </c>
      <c r="I245" s="32">
        <f t="shared" si="120"/>
        <v>160400</v>
      </c>
      <c r="J245" s="30">
        <f t="shared" si="121"/>
        <v>-7600</v>
      </c>
      <c r="K245" s="144" t="b">
        <f t="shared" si="114"/>
        <v>1</v>
      </c>
    </row>
    <row r="246" spans="1:11">
      <c r="A246" s="122" t="str">
        <f t="shared" si="119"/>
        <v>MAI</v>
      </c>
      <c r="B246" s="127" t="s">
        <v>300</v>
      </c>
      <c r="C246" s="32">
        <f t="shared" si="122"/>
        <v>0</v>
      </c>
      <c r="D246" s="31"/>
      <c r="E246" s="32">
        <f t="shared" si="123"/>
        <v>35000</v>
      </c>
      <c r="F246" s="32"/>
      <c r="G246" s="104"/>
      <c r="H246" s="55">
        <f t="shared" si="124"/>
        <v>0</v>
      </c>
      <c r="I246" s="32">
        <f t="shared" si="120"/>
        <v>23000</v>
      </c>
      <c r="J246" s="30">
        <f t="shared" ref="J246" si="125">+SUM(C246:G246)-(H246+I246)</f>
        <v>12000</v>
      </c>
      <c r="K246" s="144" t="b">
        <f t="shared" si="114"/>
        <v>1</v>
      </c>
    </row>
    <row r="247" spans="1:11">
      <c r="A247" s="122" t="str">
        <f t="shared" si="119"/>
        <v>MAI</v>
      </c>
      <c r="B247" s="127" t="s">
        <v>29</v>
      </c>
      <c r="C247" s="32">
        <f t="shared" si="122"/>
        <v>11000</v>
      </c>
      <c r="D247" s="31"/>
      <c r="E247" s="32">
        <f t="shared" si="123"/>
        <v>653000</v>
      </c>
      <c r="F247" s="32"/>
      <c r="G247" s="104"/>
      <c r="H247" s="55">
        <f t="shared" si="124"/>
        <v>0</v>
      </c>
      <c r="I247" s="32">
        <f t="shared" ref="I247:I249" si="126">+E223</f>
        <v>514200</v>
      </c>
      <c r="J247" s="30">
        <f t="shared" si="121"/>
        <v>149800</v>
      </c>
      <c r="K247" s="144" t="b">
        <f t="shared" si="114"/>
        <v>1</v>
      </c>
    </row>
    <row r="248" spans="1:11">
      <c r="A248" s="122" t="str">
        <f t="shared" si="119"/>
        <v>MAI</v>
      </c>
      <c r="B248" s="128" t="s">
        <v>268</v>
      </c>
      <c r="C248" s="32">
        <f t="shared" si="122"/>
        <v>173700</v>
      </c>
      <c r="D248" s="119"/>
      <c r="E248" s="32">
        <f t="shared" si="123"/>
        <v>837500</v>
      </c>
      <c r="F248" s="51"/>
      <c r="G248" s="138"/>
      <c r="H248" s="55">
        <f t="shared" si="124"/>
        <v>0</v>
      </c>
      <c r="I248" s="32">
        <f t="shared" si="126"/>
        <v>656900</v>
      </c>
      <c r="J248" s="30">
        <f t="shared" si="121"/>
        <v>354300</v>
      </c>
      <c r="K248" s="144" t="b">
        <f t="shared" si="114"/>
        <v>1</v>
      </c>
    </row>
    <row r="249" spans="1:11">
      <c r="A249" s="122" t="str">
        <f t="shared" si="119"/>
        <v>MAI</v>
      </c>
      <c r="B249" s="128" t="s">
        <v>113</v>
      </c>
      <c r="C249" s="32">
        <f t="shared" si="122"/>
        <v>24676</v>
      </c>
      <c r="D249" s="119"/>
      <c r="E249" s="32">
        <f t="shared" si="123"/>
        <v>0</v>
      </c>
      <c r="F249" s="51"/>
      <c r="G249" s="138"/>
      <c r="H249" s="55">
        <f t="shared" si="124"/>
        <v>0</v>
      </c>
      <c r="I249" s="32">
        <f t="shared" si="126"/>
        <v>10000</v>
      </c>
      <c r="J249" s="30">
        <f t="shared" si="121"/>
        <v>14676</v>
      </c>
      <c r="K249" s="144" t="b">
        <f t="shared" si="114"/>
        <v>1</v>
      </c>
    </row>
    <row r="250" spans="1:11">
      <c r="A250" s="34" t="s">
        <v>60</v>
      </c>
      <c r="B250" s="35"/>
      <c r="C250" s="35"/>
      <c r="D250" s="35"/>
      <c r="E250" s="35"/>
      <c r="F250" s="35"/>
      <c r="G250" s="35"/>
      <c r="H250" s="35"/>
      <c r="I250" s="35"/>
      <c r="J250" s="36"/>
      <c r="K250" s="143"/>
    </row>
    <row r="251" spans="1:11">
      <c r="A251" s="122" t="str">
        <f>A249</f>
        <v>MAI</v>
      </c>
      <c r="B251" s="37" t="s">
        <v>61</v>
      </c>
      <c r="C251" s="38">
        <f>+C212</f>
        <v>3813317</v>
      </c>
      <c r="D251" s="49"/>
      <c r="E251" s="49">
        <f>D212</f>
        <v>2180000</v>
      </c>
      <c r="F251" s="49"/>
      <c r="G251" s="125"/>
      <c r="H251" s="51">
        <f>+F212</f>
        <v>4306000</v>
      </c>
      <c r="I251" s="126">
        <f>+E212</f>
        <v>1411594</v>
      </c>
      <c r="J251" s="30">
        <f>+SUM(C251:G251)-(H251+I251)</f>
        <v>275723</v>
      </c>
      <c r="K251" s="144" t="b">
        <f>J251=I212</f>
        <v>1</v>
      </c>
    </row>
    <row r="252" spans="1:11">
      <c r="A252" s="43" t="s">
        <v>62</v>
      </c>
      <c r="B252" s="24"/>
      <c r="C252" s="35"/>
      <c r="D252" s="24"/>
      <c r="E252" s="24"/>
      <c r="F252" s="24"/>
      <c r="G252" s="24"/>
      <c r="H252" s="24"/>
      <c r="I252" s="24"/>
      <c r="J252" s="36"/>
      <c r="K252" s="143"/>
    </row>
    <row r="253" spans="1:11">
      <c r="A253" s="122" t="str">
        <f>+A251</f>
        <v>MAI</v>
      </c>
      <c r="B253" s="37" t="s">
        <v>24</v>
      </c>
      <c r="C253" s="125">
        <f>+C210</f>
        <v>17286490</v>
      </c>
      <c r="D253" s="132">
        <f>+G210</f>
        <v>0</v>
      </c>
      <c r="E253" s="49"/>
      <c r="F253" s="49"/>
      <c r="G253" s="49"/>
      <c r="H253" s="51">
        <f>+F210</f>
        <v>2000000</v>
      </c>
      <c r="I253" s="53">
        <f>+E210</f>
        <v>583345</v>
      </c>
      <c r="J253" s="30">
        <f>+SUM(C253:G253)-(H253+I253)</f>
        <v>14703145</v>
      </c>
      <c r="K253" s="144" t="b">
        <f>+J253=I210</f>
        <v>1</v>
      </c>
    </row>
    <row r="254" spans="1:11">
      <c r="A254" s="122" t="str">
        <f t="shared" ref="A254" si="127">+A253</f>
        <v>MAI</v>
      </c>
      <c r="B254" s="37" t="s">
        <v>64</v>
      </c>
      <c r="C254" s="125">
        <f>+C211</f>
        <v>5202151</v>
      </c>
      <c r="D254" s="49">
        <f>+G211</f>
        <v>0</v>
      </c>
      <c r="E254" s="48"/>
      <c r="F254" s="48"/>
      <c r="G254" s="48"/>
      <c r="H254" s="32">
        <f>+F211</f>
        <v>0</v>
      </c>
      <c r="I254" s="50">
        <f>+E211</f>
        <v>4702850</v>
      </c>
      <c r="J254" s="30">
        <f>SUM(C254:G254)-(H254+I254)</f>
        <v>499301</v>
      </c>
      <c r="K254" s="144" t="b">
        <f>+J254=I211</f>
        <v>1</v>
      </c>
    </row>
    <row r="255" spans="1:11" ht="15.75">
      <c r="C255" s="141">
        <f>SUM(C237:C254)</f>
        <v>27242867</v>
      </c>
      <c r="I255" s="140">
        <f>SUM(I237:I254)</f>
        <v>10231299</v>
      </c>
      <c r="J255" s="105">
        <f>+SUM(J237:J254)</f>
        <v>17011568</v>
      </c>
      <c r="K255" s="5" t="b">
        <f>J255=I226</f>
        <v>1</v>
      </c>
    </row>
    <row r="256" spans="1:11" ht="15.75">
      <c r="C256" s="141"/>
      <c r="I256" s="140"/>
      <c r="J256" s="105"/>
    </row>
    <row r="257" spans="1:21" ht="15.75">
      <c r="A257" s="160"/>
      <c r="B257" s="160"/>
      <c r="C257" s="161"/>
      <c r="D257" s="160"/>
      <c r="E257" s="160"/>
      <c r="F257" s="160"/>
      <c r="G257" s="160"/>
      <c r="H257" s="160"/>
      <c r="I257" s="162"/>
      <c r="J257" s="163"/>
      <c r="K257" s="160"/>
      <c r="L257" s="164"/>
      <c r="M257" s="164"/>
      <c r="N257" s="164"/>
      <c r="O257" s="164"/>
      <c r="P257" s="160"/>
    </row>
    <row r="260" spans="1:21" ht="15.75">
      <c r="A260" s="6" t="s">
        <v>36</v>
      </c>
      <c r="B260" s="6" t="s">
        <v>1</v>
      </c>
      <c r="C260" s="6">
        <v>45017</v>
      </c>
      <c r="D260" s="7" t="s">
        <v>37</v>
      </c>
      <c r="E260" s="7" t="s">
        <v>38</v>
      </c>
      <c r="F260" s="7" t="s">
        <v>39</v>
      </c>
      <c r="G260" s="7" t="s">
        <v>40</v>
      </c>
      <c r="H260" s="6">
        <v>45046</v>
      </c>
      <c r="I260" s="7" t="s">
        <v>41</v>
      </c>
      <c r="K260" s="45"/>
      <c r="L260" s="45" t="s">
        <v>42</v>
      </c>
      <c r="M260" s="45" t="s">
        <v>43</v>
      </c>
      <c r="N260" s="45" t="s">
        <v>44</v>
      </c>
      <c r="O260" s="45" t="s">
        <v>45</v>
      </c>
    </row>
    <row r="261" spans="1:21" ht="16.5">
      <c r="A261" s="58" t="str">
        <f>K261</f>
        <v>BCI</v>
      </c>
      <c r="B261" s="59" t="s">
        <v>46</v>
      </c>
      <c r="C261" s="61">
        <v>19719835</v>
      </c>
      <c r="D261" s="61">
        <f>+L261</f>
        <v>0</v>
      </c>
      <c r="E261" s="61">
        <f>+N261</f>
        <v>433345</v>
      </c>
      <c r="F261" s="61">
        <f>+M261</f>
        <v>2000000</v>
      </c>
      <c r="G261" s="61">
        <f t="shared" ref="G261:G275" si="128">+O261</f>
        <v>0</v>
      </c>
      <c r="H261" s="61">
        <v>17286490</v>
      </c>
      <c r="I261" s="61">
        <f>+C261+D261-E261-F261+G261</f>
        <v>17286490</v>
      </c>
      <c r="J261" s="9">
        <f>I261-H261</f>
        <v>0</v>
      </c>
      <c r="K261" s="45" t="s">
        <v>24</v>
      </c>
      <c r="L261" s="181"/>
      <c r="M261" s="181">
        <v>2000000</v>
      </c>
      <c r="N261" s="181">
        <v>433345</v>
      </c>
      <c r="O261" s="181"/>
      <c r="R261"/>
      <c r="S261"/>
      <c r="T261"/>
      <c r="U261"/>
    </row>
    <row r="262" spans="1:21" ht="16.5">
      <c r="A262" s="58" t="str">
        <f t="shared" ref="A262:A275" si="129">K262</f>
        <v>BCI-Sous Compte</v>
      </c>
      <c r="B262" s="59" t="s">
        <v>46</v>
      </c>
      <c r="C262" s="61">
        <v>14616884</v>
      </c>
      <c r="D262" s="61">
        <f t="shared" ref="D262:D273" si="130">+L262</f>
        <v>0</v>
      </c>
      <c r="E262" s="61">
        <f t="shared" ref="E262:E267" si="131">+N262</f>
        <v>5414733</v>
      </c>
      <c r="F262" s="61">
        <f t="shared" ref="F262:F270" si="132">+M262</f>
        <v>4000000</v>
      </c>
      <c r="G262" s="61">
        <f t="shared" si="128"/>
        <v>0</v>
      </c>
      <c r="H262" s="61">
        <v>5202151</v>
      </c>
      <c r="I262" s="61">
        <f>+C262+D262-E262-F262+G262</f>
        <v>5202151</v>
      </c>
      <c r="J262" s="9">
        <f t="shared" ref="J262:J269" si="133">I262-H262</f>
        <v>0</v>
      </c>
      <c r="K262" s="45" t="s">
        <v>148</v>
      </c>
      <c r="L262" s="181"/>
      <c r="M262" s="181">
        <v>4000000</v>
      </c>
      <c r="N262" s="181">
        <v>5414733</v>
      </c>
      <c r="O262" s="181"/>
      <c r="R262"/>
      <c r="S262"/>
      <c r="T262"/>
      <c r="U262"/>
    </row>
    <row r="263" spans="1:21" ht="16.5">
      <c r="A263" s="58" t="str">
        <f t="shared" si="129"/>
        <v>Caisse</v>
      </c>
      <c r="B263" s="59" t="s">
        <v>25</v>
      </c>
      <c r="C263" s="61">
        <v>410707</v>
      </c>
      <c r="D263" s="61">
        <f t="shared" si="130"/>
        <v>6276700</v>
      </c>
      <c r="E263" s="61">
        <f t="shared" si="131"/>
        <v>1365190</v>
      </c>
      <c r="F263" s="61">
        <f t="shared" si="132"/>
        <v>1508900</v>
      </c>
      <c r="G263" s="61">
        <f t="shared" si="128"/>
        <v>0</v>
      </c>
      <c r="H263" s="61">
        <v>3813317</v>
      </c>
      <c r="I263" s="61">
        <f>+C263+D263-E263-F263+G263</f>
        <v>3813317</v>
      </c>
      <c r="J263" s="102">
        <f t="shared" si="133"/>
        <v>0</v>
      </c>
      <c r="K263" s="45" t="s">
        <v>25</v>
      </c>
      <c r="L263" s="181">
        <v>6276700</v>
      </c>
      <c r="M263" s="181">
        <v>1508900</v>
      </c>
      <c r="N263" s="181">
        <v>1365190</v>
      </c>
      <c r="O263" s="181"/>
      <c r="R263"/>
      <c r="S263"/>
      <c r="T263"/>
      <c r="U263"/>
    </row>
    <row r="264" spans="1:21" ht="16.5">
      <c r="A264" s="58" t="str">
        <f t="shared" si="129"/>
        <v>Crépin</v>
      </c>
      <c r="B264" s="59" t="s">
        <v>154</v>
      </c>
      <c r="C264" s="61">
        <v>206020</v>
      </c>
      <c r="D264" s="61">
        <f t="shared" si="130"/>
        <v>292000</v>
      </c>
      <c r="E264" s="61">
        <f t="shared" si="131"/>
        <v>424000</v>
      </c>
      <c r="F264" s="61">
        <f t="shared" si="132"/>
        <v>0</v>
      </c>
      <c r="G264" s="61">
        <f t="shared" si="128"/>
        <v>0</v>
      </c>
      <c r="H264" s="61">
        <v>74020</v>
      </c>
      <c r="I264" s="61">
        <f>+C264+D264-E264-F264+G264</f>
        <v>74020</v>
      </c>
      <c r="J264" s="9">
        <f t="shared" si="133"/>
        <v>0</v>
      </c>
      <c r="K264" s="45" t="s">
        <v>47</v>
      </c>
      <c r="L264" s="181">
        <v>292000</v>
      </c>
      <c r="M264" s="181">
        <v>0</v>
      </c>
      <c r="N264" s="181">
        <v>424000</v>
      </c>
      <c r="O264" s="181"/>
      <c r="R264"/>
      <c r="S264"/>
      <c r="T264"/>
      <c r="U264"/>
    </row>
    <row r="265" spans="1:21" ht="16.5">
      <c r="A265" s="58" t="str">
        <f t="shared" si="129"/>
        <v>D58</v>
      </c>
      <c r="B265" s="59" t="s">
        <v>4</v>
      </c>
      <c r="C265" s="61">
        <v>105100</v>
      </c>
      <c r="D265" s="61">
        <f t="shared" si="130"/>
        <v>34900</v>
      </c>
      <c r="E265" s="61">
        <f t="shared" si="131"/>
        <v>140000</v>
      </c>
      <c r="F265" s="61">
        <f t="shared" si="132"/>
        <v>0</v>
      </c>
      <c r="G265" s="61">
        <f t="shared" si="128"/>
        <v>0</v>
      </c>
      <c r="H265" s="61">
        <v>0</v>
      </c>
      <c r="I265" s="61">
        <f>+C265+D265-E265-F265+G265</f>
        <v>0</v>
      </c>
      <c r="J265" s="9">
        <f t="shared" si="133"/>
        <v>0</v>
      </c>
      <c r="K265" s="45" t="s">
        <v>269</v>
      </c>
      <c r="L265" s="181">
        <v>34900</v>
      </c>
      <c r="M265" s="181">
        <v>0</v>
      </c>
      <c r="N265" s="181">
        <v>140000</v>
      </c>
      <c r="O265" s="181"/>
      <c r="R265"/>
      <c r="S265"/>
      <c r="T265"/>
      <c r="U265"/>
    </row>
    <row r="266" spans="1:21" ht="16.5">
      <c r="A266" s="58" t="str">
        <f t="shared" si="129"/>
        <v>Donald</v>
      </c>
      <c r="B266" s="59" t="s">
        <v>154</v>
      </c>
      <c r="C266" s="61">
        <v>19350</v>
      </c>
      <c r="D266" s="61">
        <f t="shared" si="130"/>
        <v>150000</v>
      </c>
      <c r="E266" s="61">
        <f t="shared" si="131"/>
        <v>141000</v>
      </c>
      <c r="F266" s="61">
        <f t="shared" si="132"/>
        <v>0</v>
      </c>
      <c r="G266" s="61">
        <f t="shared" si="128"/>
        <v>0</v>
      </c>
      <c r="H266" s="61">
        <v>28350</v>
      </c>
      <c r="I266" s="61">
        <f t="shared" ref="I266:I267" si="134">+C266+D266-E266-F266+G266</f>
        <v>28350</v>
      </c>
      <c r="J266" s="9">
        <f t="shared" si="133"/>
        <v>0</v>
      </c>
      <c r="K266" s="45" t="s">
        <v>255</v>
      </c>
      <c r="L266" s="181">
        <v>150000</v>
      </c>
      <c r="M266" s="181">
        <v>0</v>
      </c>
      <c r="N266" s="181">
        <v>141000</v>
      </c>
      <c r="O266" s="181"/>
      <c r="R266"/>
      <c r="S266"/>
      <c r="T266"/>
      <c r="U266"/>
    </row>
    <row r="267" spans="1:21" ht="16.5">
      <c r="A267" s="58" t="str">
        <f t="shared" si="129"/>
        <v>Evariste</v>
      </c>
      <c r="B267" s="59" t="s">
        <v>155</v>
      </c>
      <c r="C267" s="61">
        <v>25425</v>
      </c>
      <c r="D267" s="61">
        <f t="shared" si="130"/>
        <v>150000</v>
      </c>
      <c r="E267" s="61">
        <f t="shared" si="131"/>
        <v>136000</v>
      </c>
      <c r="F267" s="61">
        <f t="shared" si="132"/>
        <v>0</v>
      </c>
      <c r="G267" s="61">
        <f t="shared" si="128"/>
        <v>0</v>
      </c>
      <c r="H267" s="61">
        <v>39425</v>
      </c>
      <c r="I267" s="61">
        <f t="shared" si="134"/>
        <v>39425</v>
      </c>
      <c r="J267" s="9">
        <f t="shared" si="133"/>
        <v>0</v>
      </c>
      <c r="K267" s="45" t="s">
        <v>31</v>
      </c>
      <c r="L267" s="181">
        <v>150000</v>
      </c>
      <c r="M267" s="181">
        <v>0</v>
      </c>
      <c r="N267" s="181">
        <v>136000</v>
      </c>
      <c r="O267" s="181"/>
      <c r="R267"/>
      <c r="S267"/>
      <c r="T267"/>
      <c r="U267"/>
    </row>
    <row r="268" spans="1:21" ht="16.5">
      <c r="A268" s="58" t="str">
        <f t="shared" si="129"/>
        <v>I55S</v>
      </c>
      <c r="B268" s="116" t="s">
        <v>4</v>
      </c>
      <c r="C268" s="118">
        <v>233614</v>
      </c>
      <c r="D268" s="118">
        <f t="shared" si="130"/>
        <v>0</v>
      </c>
      <c r="E268" s="118">
        <f>+N268</f>
        <v>0</v>
      </c>
      <c r="F268" s="118">
        <f t="shared" si="132"/>
        <v>0</v>
      </c>
      <c r="G268" s="118">
        <f t="shared" si="128"/>
        <v>0</v>
      </c>
      <c r="H268" s="118">
        <v>233614</v>
      </c>
      <c r="I268" s="118">
        <f>+C268+D268-E268-F268+G268</f>
        <v>233614</v>
      </c>
      <c r="J268" s="9">
        <f t="shared" si="133"/>
        <v>0</v>
      </c>
      <c r="K268" s="45" t="s">
        <v>84</v>
      </c>
      <c r="L268" s="181"/>
      <c r="M268" s="181"/>
      <c r="N268" s="181"/>
      <c r="O268" s="181"/>
      <c r="R268"/>
      <c r="S268"/>
      <c r="T268"/>
      <c r="U268"/>
    </row>
    <row r="269" spans="1:21" ht="16.5">
      <c r="A269" s="58" t="str">
        <f t="shared" si="129"/>
        <v>I73X</v>
      </c>
      <c r="B269" s="116" t="s">
        <v>4</v>
      </c>
      <c r="C269" s="118">
        <v>249769</v>
      </c>
      <c r="D269" s="118">
        <f t="shared" si="130"/>
        <v>0</v>
      </c>
      <c r="E269" s="118">
        <f>+N269</f>
        <v>0</v>
      </c>
      <c r="F269" s="118">
        <f t="shared" si="132"/>
        <v>0</v>
      </c>
      <c r="G269" s="118">
        <f t="shared" si="128"/>
        <v>0</v>
      </c>
      <c r="H269" s="118">
        <v>249769</v>
      </c>
      <c r="I269" s="118">
        <f t="shared" ref="I269:I273" si="135">+C269+D269-E269-F269+G269</f>
        <v>249769</v>
      </c>
      <c r="J269" s="9">
        <f t="shared" si="133"/>
        <v>0</v>
      </c>
      <c r="K269" s="45" t="s">
        <v>83</v>
      </c>
      <c r="L269" s="181"/>
      <c r="M269" s="181"/>
      <c r="N269" s="181"/>
      <c r="O269" s="181"/>
      <c r="R269"/>
      <c r="S269"/>
      <c r="T269"/>
      <c r="U269"/>
    </row>
    <row r="270" spans="1:21" s="188" customFormat="1" ht="16.5">
      <c r="A270" s="58" t="str">
        <f t="shared" si="129"/>
        <v>Grace</v>
      </c>
      <c r="B270" s="59" t="s">
        <v>2</v>
      </c>
      <c r="C270" s="184">
        <v>166600</v>
      </c>
      <c r="D270" s="61">
        <f t="shared" si="130"/>
        <v>150000</v>
      </c>
      <c r="E270" s="61">
        <f t="shared" ref="E270" si="136">+N270</f>
        <v>141050</v>
      </c>
      <c r="F270" s="61">
        <f t="shared" si="132"/>
        <v>120000</v>
      </c>
      <c r="G270" s="61">
        <f t="shared" si="128"/>
        <v>0</v>
      </c>
      <c r="H270" s="184">
        <v>55550</v>
      </c>
      <c r="I270" s="184">
        <f t="shared" si="135"/>
        <v>55550</v>
      </c>
      <c r="J270" s="185">
        <f>I270-H270</f>
        <v>0</v>
      </c>
      <c r="K270" s="186" t="s">
        <v>143</v>
      </c>
      <c r="L270" s="181">
        <v>150000</v>
      </c>
      <c r="M270" s="181">
        <v>120000</v>
      </c>
      <c r="N270" s="181">
        <v>141050</v>
      </c>
      <c r="O270" s="181"/>
      <c r="R270"/>
      <c r="S270"/>
      <c r="T270"/>
      <c r="U270"/>
    </row>
    <row r="271" spans="1:21" ht="16.5">
      <c r="A271" s="58" t="str">
        <f t="shared" si="129"/>
        <v>Hurielle</v>
      </c>
      <c r="B271" s="98" t="s">
        <v>154</v>
      </c>
      <c r="C271" s="61">
        <v>28005</v>
      </c>
      <c r="D271" s="61">
        <f t="shared" si="130"/>
        <v>150000</v>
      </c>
      <c r="E271" s="61">
        <f>+N271</f>
        <v>133000</v>
      </c>
      <c r="F271" s="61">
        <f>+M271</f>
        <v>15000</v>
      </c>
      <c r="G271" s="61">
        <f t="shared" si="128"/>
        <v>0</v>
      </c>
      <c r="H271" s="61">
        <v>30005</v>
      </c>
      <c r="I271" s="61">
        <f t="shared" si="135"/>
        <v>30005</v>
      </c>
      <c r="J271" s="9">
        <f t="shared" ref="J271" si="137">I271-H271</f>
        <v>0</v>
      </c>
      <c r="K271" s="45" t="s">
        <v>197</v>
      </c>
      <c r="L271" s="181">
        <v>150000</v>
      </c>
      <c r="M271" s="181">
        <v>15000</v>
      </c>
      <c r="N271" s="181">
        <v>133000</v>
      </c>
      <c r="O271" s="181"/>
      <c r="R271"/>
      <c r="S271"/>
      <c r="T271"/>
      <c r="U271"/>
    </row>
    <row r="272" spans="1:21" s="188" customFormat="1" ht="16.5">
      <c r="A272" s="58" t="str">
        <f t="shared" si="129"/>
        <v>Merveille</v>
      </c>
      <c r="B272" s="59" t="s">
        <v>2</v>
      </c>
      <c r="C272" s="184">
        <v>18800</v>
      </c>
      <c r="D272" s="61">
        <f t="shared" si="130"/>
        <v>150000</v>
      </c>
      <c r="E272" s="61">
        <f t="shared" ref="E272:E275" si="138">+N272</f>
        <v>148000</v>
      </c>
      <c r="F272" s="61">
        <f t="shared" ref="F272:F275" si="139">+M272</f>
        <v>0</v>
      </c>
      <c r="G272" s="61">
        <f t="shared" si="128"/>
        <v>0</v>
      </c>
      <c r="H272" s="184">
        <v>20800</v>
      </c>
      <c r="I272" s="184">
        <f t="shared" si="135"/>
        <v>20800</v>
      </c>
      <c r="J272" s="185">
        <f>I272-H272</f>
        <v>0</v>
      </c>
      <c r="K272" s="186" t="s">
        <v>93</v>
      </c>
      <c r="L272" s="181">
        <v>150000</v>
      </c>
      <c r="M272" s="181">
        <v>0</v>
      </c>
      <c r="N272" s="181">
        <v>148000</v>
      </c>
      <c r="O272" s="181"/>
      <c r="R272"/>
      <c r="S272"/>
      <c r="T272"/>
      <c r="U272"/>
    </row>
    <row r="273" spans="1:21" ht="16.5">
      <c r="A273" s="58" t="str">
        <f t="shared" si="129"/>
        <v>P29</v>
      </c>
      <c r="B273" s="98" t="s">
        <v>4</v>
      </c>
      <c r="C273" s="61">
        <v>236000</v>
      </c>
      <c r="D273" s="61">
        <f t="shared" si="130"/>
        <v>270000</v>
      </c>
      <c r="E273" s="61">
        <f t="shared" si="138"/>
        <v>388300</v>
      </c>
      <c r="F273" s="61">
        <f t="shared" si="139"/>
        <v>106700</v>
      </c>
      <c r="G273" s="61">
        <f t="shared" si="128"/>
        <v>0</v>
      </c>
      <c r="H273" s="61">
        <v>11000</v>
      </c>
      <c r="I273" s="61">
        <f t="shared" si="135"/>
        <v>11000</v>
      </c>
      <c r="J273" s="9">
        <f t="shared" ref="J273:J274" si="140">I273-H273</f>
        <v>0</v>
      </c>
      <c r="K273" s="45" t="s">
        <v>29</v>
      </c>
      <c r="L273" s="181">
        <v>270000</v>
      </c>
      <c r="M273" s="181">
        <v>106700</v>
      </c>
      <c r="N273" s="181">
        <v>388300</v>
      </c>
      <c r="O273" s="181"/>
      <c r="R273"/>
      <c r="S273"/>
      <c r="T273"/>
      <c r="U273"/>
    </row>
    <row r="274" spans="1:21" ht="16.5">
      <c r="A274" s="58" t="str">
        <f t="shared" si="129"/>
        <v>T73</v>
      </c>
      <c r="B274" s="59" t="s">
        <v>4</v>
      </c>
      <c r="C274" s="61">
        <v>311700</v>
      </c>
      <c r="D274" s="61">
        <f>+L274</f>
        <v>30000</v>
      </c>
      <c r="E274" s="61">
        <f t="shared" si="138"/>
        <v>133000</v>
      </c>
      <c r="F274" s="61">
        <f t="shared" si="139"/>
        <v>35000</v>
      </c>
      <c r="G274" s="61">
        <f t="shared" si="128"/>
        <v>0</v>
      </c>
      <c r="H274" s="61">
        <v>173700</v>
      </c>
      <c r="I274" s="61">
        <f>+C274+D274-E274-F274+G274</f>
        <v>173700</v>
      </c>
      <c r="J274" s="9">
        <f t="shared" si="140"/>
        <v>0</v>
      </c>
      <c r="K274" s="45" t="s">
        <v>268</v>
      </c>
      <c r="L274" s="181">
        <v>30000</v>
      </c>
      <c r="M274" s="181">
        <v>35000</v>
      </c>
      <c r="N274" s="181">
        <v>133000</v>
      </c>
      <c r="O274" s="181"/>
    </row>
    <row r="275" spans="1:21" ht="16.5">
      <c r="A275" s="58" t="str">
        <f t="shared" si="129"/>
        <v>Tiffany</v>
      </c>
      <c r="B275" s="59" t="s">
        <v>2</v>
      </c>
      <c r="C275" s="61">
        <v>16676</v>
      </c>
      <c r="D275" s="61">
        <f t="shared" ref="D275" si="141">+L275</f>
        <v>132000</v>
      </c>
      <c r="E275" s="61">
        <f t="shared" si="138"/>
        <v>124000</v>
      </c>
      <c r="F275" s="61">
        <f t="shared" si="139"/>
        <v>0</v>
      </c>
      <c r="G275" s="61">
        <f t="shared" si="128"/>
        <v>0</v>
      </c>
      <c r="H275" s="61">
        <v>24676</v>
      </c>
      <c r="I275" s="61">
        <f>+C275+D275-E275-F275+G275</f>
        <v>24676</v>
      </c>
      <c r="J275" s="9">
        <f>I275-H275</f>
        <v>0</v>
      </c>
      <c r="K275" s="45" t="s">
        <v>113</v>
      </c>
      <c r="L275" s="181">
        <v>132000</v>
      </c>
      <c r="M275" s="181">
        <v>0</v>
      </c>
      <c r="N275" s="181">
        <v>124000</v>
      </c>
      <c r="O275" s="181"/>
    </row>
    <row r="276" spans="1:21" ht="16.5">
      <c r="A276" s="10" t="s">
        <v>50</v>
      </c>
      <c r="B276" s="11"/>
      <c r="C276" s="12">
        <f t="shared" ref="C276:I276" si="142">SUM(C261:C275)</f>
        <v>36364485</v>
      </c>
      <c r="D276" s="57">
        <f t="shared" si="142"/>
        <v>7785600</v>
      </c>
      <c r="E276" s="57">
        <f t="shared" si="142"/>
        <v>9121618</v>
      </c>
      <c r="F276" s="57">
        <f t="shared" si="142"/>
        <v>7785600</v>
      </c>
      <c r="G276" s="57">
        <f t="shared" si="142"/>
        <v>0</v>
      </c>
      <c r="H276" s="57">
        <f t="shared" si="142"/>
        <v>27242867</v>
      </c>
      <c r="I276" s="57">
        <f t="shared" si="142"/>
        <v>27242867</v>
      </c>
      <c r="J276" s="9">
        <f>I276-H276</f>
        <v>0</v>
      </c>
      <c r="K276" s="3"/>
      <c r="L276" s="47">
        <f>+SUM(L261:L275)</f>
        <v>7785600</v>
      </c>
      <c r="M276" s="47">
        <f>+SUM(M261:M275)</f>
        <v>7785600</v>
      </c>
      <c r="N276" s="47">
        <f>+SUM(N261:N275)</f>
        <v>9121618</v>
      </c>
      <c r="O276" s="47">
        <f>+SUM(O261:O275)</f>
        <v>0</v>
      </c>
    </row>
    <row r="277" spans="1:21" ht="16.5">
      <c r="A277" s="10"/>
      <c r="B277" s="11"/>
      <c r="C277" s="12"/>
      <c r="D277" s="13"/>
      <c r="E277" s="12"/>
      <c r="F277" s="13"/>
      <c r="G277" s="12"/>
      <c r="H277" s="12"/>
      <c r="I277" s="134" t="b">
        <f>I276=D279</f>
        <v>1</v>
      </c>
      <c r="J277" s="9">
        <f>H276-I276</f>
        <v>0</v>
      </c>
      <c r="L277" s="5"/>
      <c r="M277" s="5"/>
      <c r="N277" s="5"/>
      <c r="O277" s="5"/>
    </row>
    <row r="278" spans="1:21" ht="16.5">
      <c r="A278" s="10" t="s">
        <v>288</v>
      </c>
      <c r="B278" s="11" t="s">
        <v>202</v>
      </c>
      <c r="C278" s="12" t="s">
        <v>203</v>
      </c>
      <c r="D278" s="12" t="s">
        <v>289</v>
      </c>
      <c r="E278" s="12" t="s">
        <v>51</v>
      </c>
      <c r="F278" s="12"/>
      <c r="G278" s="12">
        <f>+D276-F276</f>
        <v>0</v>
      </c>
      <c r="H278" s="12"/>
      <c r="I278" s="212"/>
    </row>
    <row r="279" spans="1:21" ht="16.5">
      <c r="A279" s="14">
        <f>C276</f>
        <v>36364485</v>
      </c>
      <c r="B279" s="15">
        <f>G276</f>
        <v>0</v>
      </c>
      <c r="C279" s="12">
        <f>E276</f>
        <v>9121618</v>
      </c>
      <c r="D279" s="12">
        <f>A279+B279-C279</f>
        <v>27242867</v>
      </c>
      <c r="E279" s="13">
        <f>I276-D279</f>
        <v>0</v>
      </c>
      <c r="F279" s="12"/>
      <c r="G279" s="12"/>
      <c r="H279" s="12"/>
      <c r="I279" s="12"/>
    </row>
    <row r="280" spans="1:21" ht="16.5">
      <c r="A280" s="14"/>
      <c r="B280" s="15"/>
      <c r="C280" s="12"/>
      <c r="D280" s="12"/>
      <c r="E280" s="13"/>
      <c r="F280" s="12"/>
      <c r="G280" s="12"/>
      <c r="H280" s="12"/>
      <c r="I280" s="12"/>
    </row>
    <row r="281" spans="1:21">
      <c r="A281" s="16" t="s">
        <v>52</v>
      </c>
      <c r="B281" s="16"/>
      <c r="C281" s="16"/>
      <c r="D281" s="17"/>
      <c r="E281" s="17"/>
      <c r="F281" s="17"/>
      <c r="G281" s="17"/>
      <c r="H281" s="17"/>
      <c r="I281" s="17"/>
    </row>
    <row r="282" spans="1:21">
      <c r="A282" s="18" t="s">
        <v>290</v>
      </c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21">
      <c r="A283" s="19"/>
      <c r="B283" s="17"/>
      <c r="C283" s="20"/>
      <c r="D283" s="20"/>
      <c r="E283" s="20"/>
      <c r="F283" s="20"/>
      <c r="G283" s="20"/>
      <c r="H283" s="17"/>
      <c r="I283" s="17"/>
    </row>
    <row r="284" spans="1:21" ht="45" customHeight="1">
      <c r="A284" s="169" t="s">
        <v>53</v>
      </c>
      <c r="B284" s="171" t="s">
        <v>54</v>
      </c>
      <c r="C284" s="173" t="s">
        <v>291</v>
      </c>
      <c r="D284" s="174" t="s">
        <v>55</v>
      </c>
      <c r="E284" s="175"/>
      <c r="F284" s="175"/>
      <c r="G284" s="176"/>
      <c r="H284" s="177" t="s">
        <v>56</v>
      </c>
      <c r="I284" s="165" t="s">
        <v>57</v>
      </c>
      <c r="J284" s="210"/>
    </row>
    <row r="285" spans="1:21" ht="28.5" customHeight="1">
      <c r="A285" s="170"/>
      <c r="B285" s="172"/>
      <c r="C285" s="22"/>
      <c r="D285" s="21" t="s">
        <v>24</v>
      </c>
      <c r="E285" s="21" t="s">
        <v>25</v>
      </c>
      <c r="F285" s="22" t="s">
        <v>123</v>
      </c>
      <c r="G285" s="21" t="s">
        <v>58</v>
      </c>
      <c r="H285" s="178"/>
      <c r="I285" s="166"/>
      <c r="J285" s="168" t="s">
        <v>292</v>
      </c>
      <c r="K285" s="143"/>
    </row>
    <row r="286" spans="1:21">
      <c r="A286" s="23"/>
      <c r="B286" s="24" t="s">
        <v>59</v>
      </c>
      <c r="C286" s="25"/>
      <c r="D286" s="25"/>
      <c r="E286" s="25"/>
      <c r="F286" s="25"/>
      <c r="G286" s="25"/>
      <c r="H286" s="25"/>
      <c r="I286" s="26"/>
      <c r="J286" s="168"/>
      <c r="K286" s="143"/>
    </row>
    <row r="287" spans="1:21">
      <c r="A287" s="122" t="s">
        <v>127</v>
      </c>
      <c r="B287" s="127" t="s">
        <v>47</v>
      </c>
      <c r="C287" s="32">
        <f>+C264</f>
        <v>206020</v>
      </c>
      <c r="D287" s="31"/>
      <c r="E287" s="32">
        <f>+D264</f>
        <v>292000</v>
      </c>
      <c r="F287" s="32"/>
      <c r="G287" s="32"/>
      <c r="H287" s="55">
        <f>+F264</f>
        <v>0</v>
      </c>
      <c r="I287" s="32">
        <f>+E264</f>
        <v>424000</v>
      </c>
      <c r="J287" s="30">
        <f t="shared" ref="J287:J290" si="143">+SUM(C287:G287)-(H287+I287)</f>
        <v>74020</v>
      </c>
      <c r="K287" s="144" t="b">
        <f t="shared" ref="K287:K298" si="144">J287=I264</f>
        <v>1</v>
      </c>
    </row>
    <row r="288" spans="1:21">
      <c r="A288" s="122" t="str">
        <f>+A287</f>
        <v>AVRIL</v>
      </c>
      <c r="B288" s="127" t="s">
        <v>269</v>
      </c>
      <c r="C288" s="32">
        <f t="shared" ref="C288:C290" si="145">+C265</f>
        <v>105100</v>
      </c>
      <c r="D288" s="31"/>
      <c r="E288" s="32">
        <f t="shared" ref="E288:E290" si="146">+D265</f>
        <v>34900</v>
      </c>
      <c r="F288" s="32"/>
      <c r="G288" s="32"/>
      <c r="H288" s="55">
        <f t="shared" ref="H288:H290" si="147">+F265</f>
        <v>0</v>
      </c>
      <c r="I288" s="32">
        <f t="shared" ref="I288:I290" si="148">+E265</f>
        <v>140000</v>
      </c>
      <c r="J288" s="30">
        <f t="shared" si="143"/>
        <v>0</v>
      </c>
      <c r="K288" s="144" t="b">
        <f t="shared" si="144"/>
        <v>1</v>
      </c>
    </row>
    <row r="289" spans="1:11">
      <c r="A289" s="122" t="str">
        <f t="shared" ref="A289:A298" si="149">+A288</f>
        <v>AVRIL</v>
      </c>
      <c r="B289" s="127" t="s">
        <v>255</v>
      </c>
      <c r="C289" s="32">
        <f t="shared" si="145"/>
        <v>19350</v>
      </c>
      <c r="D289" s="31"/>
      <c r="E289" s="32">
        <f t="shared" si="146"/>
        <v>150000</v>
      </c>
      <c r="F289" s="32"/>
      <c r="G289" s="32"/>
      <c r="H289" s="55">
        <f t="shared" si="147"/>
        <v>0</v>
      </c>
      <c r="I289" s="32">
        <f t="shared" si="148"/>
        <v>141000</v>
      </c>
      <c r="J289" s="30">
        <f t="shared" si="143"/>
        <v>28350</v>
      </c>
      <c r="K289" s="144" t="b">
        <f t="shared" si="144"/>
        <v>1</v>
      </c>
    </row>
    <row r="290" spans="1:11">
      <c r="A290" s="122" t="str">
        <f t="shared" si="149"/>
        <v>AVRIL</v>
      </c>
      <c r="B290" s="127" t="s">
        <v>31</v>
      </c>
      <c r="C290" s="32">
        <f t="shared" si="145"/>
        <v>25425</v>
      </c>
      <c r="D290" s="31"/>
      <c r="E290" s="32">
        <f t="shared" si="146"/>
        <v>150000</v>
      </c>
      <c r="F290" s="32"/>
      <c r="G290" s="32"/>
      <c r="H290" s="55">
        <f t="shared" si="147"/>
        <v>0</v>
      </c>
      <c r="I290" s="32">
        <f t="shared" si="148"/>
        <v>136000</v>
      </c>
      <c r="J290" s="30">
        <f t="shared" si="143"/>
        <v>39425</v>
      </c>
      <c r="K290" s="144" t="b">
        <f t="shared" si="144"/>
        <v>1</v>
      </c>
    </row>
    <row r="291" spans="1:11">
      <c r="A291" s="122" t="str">
        <f t="shared" si="149"/>
        <v>AVRIL</v>
      </c>
      <c r="B291" s="129" t="s">
        <v>84</v>
      </c>
      <c r="C291" s="120">
        <f>+C268</f>
        <v>233614</v>
      </c>
      <c r="D291" s="123"/>
      <c r="E291" s="120">
        <f>+D268</f>
        <v>0</v>
      </c>
      <c r="F291" s="137"/>
      <c r="G291" s="137"/>
      <c r="H291" s="155">
        <f>+F268</f>
        <v>0</v>
      </c>
      <c r="I291" s="120">
        <f>+E268</f>
        <v>0</v>
      </c>
      <c r="J291" s="121">
        <f>+SUM(C291:G291)-(H291+I291)</f>
        <v>233614</v>
      </c>
      <c r="K291" s="144" t="b">
        <f t="shared" si="144"/>
        <v>1</v>
      </c>
    </row>
    <row r="292" spans="1:11">
      <c r="A292" s="122" t="str">
        <f t="shared" si="149"/>
        <v>AVRIL</v>
      </c>
      <c r="B292" s="129" t="s">
        <v>83</v>
      </c>
      <c r="C292" s="120">
        <f>+C269</f>
        <v>249769</v>
      </c>
      <c r="D292" s="123"/>
      <c r="E292" s="120">
        <f>+D269</f>
        <v>0</v>
      </c>
      <c r="F292" s="137"/>
      <c r="G292" s="137"/>
      <c r="H292" s="155">
        <f>+F269</f>
        <v>0</v>
      </c>
      <c r="I292" s="120">
        <f>+E269</f>
        <v>0</v>
      </c>
      <c r="J292" s="121">
        <f t="shared" ref="J292:J298" si="150">+SUM(C292:G292)-(H292+I292)</f>
        <v>249769</v>
      </c>
      <c r="K292" s="144" t="b">
        <f t="shared" si="144"/>
        <v>1</v>
      </c>
    </row>
    <row r="293" spans="1:11">
      <c r="A293" s="122" t="str">
        <f t="shared" si="149"/>
        <v>AVRIL</v>
      </c>
      <c r="B293" s="127" t="s">
        <v>143</v>
      </c>
      <c r="C293" s="32">
        <f>+C270</f>
        <v>166600</v>
      </c>
      <c r="D293" s="31"/>
      <c r="E293" s="32">
        <f>+D270</f>
        <v>150000</v>
      </c>
      <c r="F293" s="32"/>
      <c r="G293" s="104"/>
      <c r="H293" s="55">
        <f>+F270</f>
        <v>120000</v>
      </c>
      <c r="I293" s="32">
        <f>+E270</f>
        <v>141050</v>
      </c>
      <c r="J293" s="30">
        <f t="shared" si="150"/>
        <v>55550</v>
      </c>
      <c r="K293" s="144" t="b">
        <f t="shared" si="144"/>
        <v>1</v>
      </c>
    </row>
    <row r="294" spans="1:11">
      <c r="A294" s="122" t="str">
        <f t="shared" si="149"/>
        <v>AVRIL</v>
      </c>
      <c r="B294" s="127" t="s">
        <v>197</v>
      </c>
      <c r="C294" s="32">
        <f>+C271</f>
        <v>28005</v>
      </c>
      <c r="D294" s="31"/>
      <c r="E294" s="32">
        <f>+D271</f>
        <v>150000</v>
      </c>
      <c r="F294" s="32"/>
      <c r="G294" s="104"/>
      <c r="H294" s="55">
        <f>+F271</f>
        <v>15000</v>
      </c>
      <c r="I294" s="32">
        <f>+E271</f>
        <v>133000</v>
      </c>
      <c r="J294" s="30">
        <f t="shared" si="150"/>
        <v>30005</v>
      </c>
      <c r="K294" s="144" t="b">
        <f t="shared" si="144"/>
        <v>1</v>
      </c>
    </row>
    <row r="295" spans="1:11">
      <c r="A295" s="122" t="str">
        <f>A294</f>
        <v>AVRIL</v>
      </c>
      <c r="B295" s="127" t="s">
        <v>93</v>
      </c>
      <c r="C295" s="32">
        <f t="shared" ref="C295:C298" si="151">+C272</f>
        <v>18800</v>
      </c>
      <c r="D295" s="31"/>
      <c r="E295" s="32">
        <f t="shared" ref="E295:E298" si="152">+D272</f>
        <v>150000</v>
      </c>
      <c r="F295" s="32"/>
      <c r="G295" s="104"/>
      <c r="H295" s="55">
        <f t="shared" ref="H295:H298" si="153">+F272</f>
        <v>0</v>
      </c>
      <c r="I295" s="32">
        <f t="shared" ref="I295:I298" si="154">+E272</f>
        <v>148000</v>
      </c>
      <c r="J295" s="30">
        <f t="shared" si="150"/>
        <v>20800</v>
      </c>
      <c r="K295" s="144" t="b">
        <f t="shared" si="144"/>
        <v>1</v>
      </c>
    </row>
    <row r="296" spans="1:11">
      <c r="A296" s="122" t="str">
        <f t="shared" si="149"/>
        <v>AVRIL</v>
      </c>
      <c r="B296" s="127" t="s">
        <v>29</v>
      </c>
      <c r="C296" s="32">
        <f t="shared" si="151"/>
        <v>236000</v>
      </c>
      <c r="D296" s="31"/>
      <c r="E296" s="32">
        <f t="shared" si="152"/>
        <v>270000</v>
      </c>
      <c r="F296" s="32"/>
      <c r="G296" s="104"/>
      <c r="H296" s="55">
        <f t="shared" si="153"/>
        <v>106700</v>
      </c>
      <c r="I296" s="32">
        <f t="shared" si="154"/>
        <v>388300</v>
      </c>
      <c r="J296" s="30">
        <f t="shared" si="150"/>
        <v>11000</v>
      </c>
      <c r="K296" s="144" t="b">
        <f t="shared" si="144"/>
        <v>1</v>
      </c>
    </row>
    <row r="297" spans="1:11">
      <c r="A297" s="122" t="str">
        <f t="shared" si="149"/>
        <v>AVRIL</v>
      </c>
      <c r="B297" s="128" t="s">
        <v>268</v>
      </c>
      <c r="C297" s="32">
        <f t="shared" si="151"/>
        <v>311700</v>
      </c>
      <c r="D297" s="119"/>
      <c r="E297" s="32">
        <f t="shared" si="152"/>
        <v>30000</v>
      </c>
      <c r="F297" s="51"/>
      <c r="G297" s="138"/>
      <c r="H297" s="55">
        <f t="shared" si="153"/>
        <v>35000</v>
      </c>
      <c r="I297" s="32">
        <f t="shared" si="154"/>
        <v>133000</v>
      </c>
      <c r="J297" s="30">
        <f t="shared" si="150"/>
        <v>173700</v>
      </c>
      <c r="K297" s="144" t="b">
        <f t="shared" si="144"/>
        <v>1</v>
      </c>
    </row>
    <row r="298" spans="1:11">
      <c r="A298" s="122" t="str">
        <f t="shared" si="149"/>
        <v>AVRIL</v>
      </c>
      <c r="B298" s="128" t="s">
        <v>113</v>
      </c>
      <c r="C298" s="32">
        <f t="shared" si="151"/>
        <v>16676</v>
      </c>
      <c r="D298" s="119"/>
      <c r="E298" s="32">
        <f t="shared" si="152"/>
        <v>132000</v>
      </c>
      <c r="F298" s="51"/>
      <c r="G298" s="138"/>
      <c r="H298" s="55">
        <f t="shared" si="153"/>
        <v>0</v>
      </c>
      <c r="I298" s="32">
        <f t="shared" si="154"/>
        <v>124000</v>
      </c>
      <c r="J298" s="30">
        <f t="shared" si="150"/>
        <v>24676</v>
      </c>
      <c r="K298" s="144" t="b">
        <f t="shared" si="144"/>
        <v>1</v>
      </c>
    </row>
    <row r="299" spans="1:11">
      <c r="A299" s="34" t="s">
        <v>60</v>
      </c>
      <c r="B299" s="35"/>
      <c r="C299" s="35"/>
      <c r="D299" s="35"/>
      <c r="E299" s="35"/>
      <c r="F299" s="35"/>
      <c r="G299" s="35"/>
      <c r="H299" s="35"/>
      <c r="I299" s="35"/>
      <c r="J299" s="36"/>
      <c r="K299" s="143"/>
    </row>
    <row r="300" spans="1:11">
      <c r="A300" s="122" t="str">
        <f>A298</f>
        <v>AVRIL</v>
      </c>
      <c r="B300" s="37" t="s">
        <v>61</v>
      </c>
      <c r="C300" s="38">
        <f>+C263</f>
        <v>410707</v>
      </c>
      <c r="D300" s="49"/>
      <c r="E300" s="49">
        <f>D263</f>
        <v>6276700</v>
      </c>
      <c r="F300" s="49"/>
      <c r="G300" s="125"/>
      <c r="H300" s="51">
        <f>+F263</f>
        <v>1508900</v>
      </c>
      <c r="I300" s="126">
        <f>+E263</f>
        <v>1365190</v>
      </c>
      <c r="J300" s="30">
        <f>+SUM(C300:G300)-(H300+I300)</f>
        <v>3813317</v>
      </c>
      <c r="K300" s="144" t="b">
        <f>J300=I263</f>
        <v>1</v>
      </c>
    </row>
    <row r="301" spans="1:11">
      <c r="A301" s="43" t="s">
        <v>62</v>
      </c>
      <c r="B301" s="24"/>
      <c r="C301" s="35"/>
      <c r="D301" s="24"/>
      <c r="E301" s="24"/>
      <c r="F301" s="24"/>
      <c r="G301" s="24"/>
      <c r="H301" s="24"/>
      <c r="I301" s="24"/>
      <c r="J301" s="36"/>
      <c r="K301" s="143"/>
    </row>
    <row r="302" spans="1:11">
      <c r="A302" s="122" t="str">
        <f>+A300</f>
        <v>AVRIL</v>
      </c>
      <c r="B302" s="37" t="s">
        <v>24</v>
      </c>
      <c r="C302" s="125">
        <f>+C261</f>
        <v>19719835</v>
      </c>
      <c r="D302" s="132">
        <f>+G261</f>
        <v>0</v>
      </c>
      <c r="E302" s="49"/>
      <c r="F302" s="49"/>
      <c r="G302" s="49"/>
      <c r="H302" s="51">
        <f>+F261</f>
        <v>2000000</v>
      </c>
      <c r="I302" s="53">
        <f>+E261</f>
        <v>433345</v>
      </c>
      <c r="J302" s="30">
        <f>+SUM(C302:G302)-(H302+I302)</f>
        <v>17286490</v>
      </c>
      <c r="K302" s="144" t="b">
        <f>+J302=I261</f>
        <v>1</v>
      </c>
    </row>
    <row r="303" spans="1:11">
      <c r="A303" s="122" t="str">
        <f t="shared" ref="A303" si="155">+A302</f>
        <v>AVRIL</v>
      </c>
      <c r="B303" s="37" t="s">
        <v>64</v>
      </c>
      <c r="C303" s="125">
        <f>+C262</f>
        <v>14616884</v>
      </c>
      <c r="D303" s="49">
        <f>+G262</f>
        <v>0</v>
      </c>
      <c r="E303" s="48"/>
      <c r="F303" s="48"/>
      <c r="G303" s="48"/>
      <c r="H303" s="32">
        <f>+F262</f>
        <v>4000000</v>
      </c>
      <c r="I303" s="50">
        <f>+E262</f>
        <v>5414733</v>
      </c>
      <c r="J303" s="30">
        <f>SUM(C303:G303)-(H303+I303)</f>
        <v>5202151</v>
      </c>
      <c r="K303" s="144" t="b">
        <f>+J303=I262</f>
        <v>1</v>
      </c>
    </row>
    <row r="304" spans="1:11" ht="15.75">
      <c r="C304" s="141">
        <f>SUM(C287:C303)</f>
        <v>36364485</v>
      </c>
      <c r="I304" s="140">
        <f>SUM(I287:I303)</f>
        <v>9121618</v>
      </c>
      <c r="J304" s="105">
        <f>+SUM(J287:J303)</f>
        <v>27242867</v>
      </c>
      <c r="K304" s="5" t="b">
        <f>J304=I276</f>
        <v>1</v>
      </c>
    </row>
    <row r="305" spans="1:21" ht="15.75">
      <c r="C305" s="141"/>
      <c r="I305" s="140"/>
      <c r="J305" s="105"/>
    </row>
    <row r="306" spans="1:21" ht="15.75">
      <c r="A306" s="160"/>
      <c r="B306" s="160"/>
      <c r="C306" s="161"/>
      <c r="D306" s="160"/>
      <c r="E306" s="160"/>
      <c r="F306" s="160"/>
      <c r="G306" s="160"/>
      <c r="H306" s="160"/>
      <c r="I306" s="162"/>
      <c r="J306" s="163"/>
      <c r="K306" s="160"/>
      <c r="L306" s="164"/>
      <c r="M306" s="164"/>
      <c r="N306" s="164"/>
      <c r="O306" s="164"/>
      <c r="P306" s="160"/>
    </row>
    <row r="308" spans="1:21" ht="15.75">
      <c r="A308" s="6" t="s">
        <v>36</v>
      </c>
      <c r="B308" s="6" t="s">
        <v>1</v>
      </c>
      <c r="C308" s="6">
        <v>44986</v>
      </c>
      <c r="D308" s="7" t="s">
        <v>37</v>
      </c>
      <c r="E308" s="7" t="s">
        <v>38</v>
      </c>
      <c r="F308" s="7" t="s">
        <v>39</v>
      </c>
      <c r="G308" s="7" t="s">
        <v>40</v>
      </c>
      <c r="H308" s="6">
        <v>45016</v>
      </c>
      <c r="I308" s="7" t="s">
        <v>41</v>
      </c>
      <c r="K308" s="45"/>
      <c r="L308" s="45" t="s">
        <v>42</v>
      </c>
      <c r="M308" s="45" t="s">
        <v>43</v>
      </c>
      <c r="N308" s="45" t="s">
        <v>44</v>
      </c>
      <c r="O308" s="45" t="s">
        <v>45</v>
      </c>
    </row>
    <row r="309" spans="1:21" ht="16.5">
      <c r="A309" s="58" t="str">
        <f>K309</f>
        <v>BCI</v>
      </c>
      <c r="B309" s="59" t="s">
        <v>46</v>
      </c>
      <c r="C309" s="61">
        <v>4918207</v>
      </c>
      <c r="D309" s="61">
        <f>+L309</f>
        <v>0</v>
      </c>
      <c r="E309" s="61">
        <f>+N309</f>
        <v>693345</v>
      </c>
      <c r="F309" s="61">
        <f>+M309</f>
        <v>2000000</v>
      </c>
      <c r="G309" s="61">
        <f t="shared" ref="G309:G323" si="156">+O309</f>
        <v>17494973</v>
      </c>
      <c r="H309" s="61">
        <v>19719835</v>
      </c>
      <c r="I309" s="61">
        <f>+C309+D309-E309-F309+G309</f>
        <v>19719835</v>
      </c>
      <c r="J309" s="9">
        <f>I309-H309</f>
        <v>0</v>
      </c>
      <c r="K309" s="45" t="s">
        <v>24</v>
      </c>
      <c r="L309" s="181"/>
      <c r="M309" s="181">
        <v>2000000</v>
      </c>
      <c r="N309" s="181">
        <v>693345</v>
      </c>
      <c r="O309" s="181">
        <v>17494973</v>
      </c>
      <c r="R309"/>
      <c r="S309"/>
      <c r="T309"/>
      <c r="U309"/>
    </row>
    <row r="310" spans="1:21" ht="16.5">
      <c r="A310" s="58" t="str">
        <f t="shared" ref="A310:A323" si="157">K310</f>
        <v>BCI-Sous Compte</v>
      </c>
      <c r="B310" s="59" t="s">
        <v>46</v>
      </c>
      <c r="C310" s="61">
        <v>2231034</v>
      </c>
      <c r="D310" s="61">
        <f t="shared" ref="D310:D321" si="158">+L310</f>
        <v>0</v>
      </c>
      <c r="E310" s="61">
        <f t="shared" ref="E310:E315" si="159">+N310</f>
        <v>2724801</v>
      </c>
      <c r="F310" s="61">
        <f t="shared" ref="F310:F318" si="160">+M310</f>
        <v>4000000</v>
      </c>
      <c r="G310" s="61">
        <f t="shared" si="156"/>
        <v>19110651</v>
      </c>
      <c r="H310" s="61">
        <v>14616884</v>
      </c>
      <c r="I310" s="61">
        <f>+C310+D310-E310-F310+G310</f>
        <v>14616884</v>
      </c>
      <c r="J310" s="9">
        <f t="shared" ref="J310:J317" si="161">I310-H310</f>
        <v>0</v>
      </c>
      <c r="K310" s="45" t="s">
        <v>148</v>
      </c>
      <c r="L310" s="181"/>
      <c r="M310" s="181">
        <v>4000000</v>
      </c>
      <c r="N310" s="181">
        <v>2724801</v>
      </c>
      <c r="O310" s="181">
        <v>19110651</v>
      </c>
      <c r="R310"/>
      <c r="S310"/>
      <c r="T310"/>
      <c r="U310"/>
    </row>
    <row r="311" spans="1:21" ht="16.5">
      <c r="A311" s="58" t="str">
        <f t="shared" si="157"/>
        <v>Caisse</v>
      </c>
      <c r="B311" s="59" t="s">
        <v>25</v>
      </c>
      <c r="C311" s="61">
        <v>925495</v>
      </c>
      <c r="D311" s="61">
        <f t="shared" si="158"/>
        <v>6008000</v>
      </c>
      <c r="E311" s="61">
        <f t="shared" si="159"/>
        <v>2280788</v>
      </c>
      <c r="F311" s="61">
        <f t="shared" si="160"/>
        <v>4242000</v>
      </c>
      <c r="G311" s="61">
        <f t="shared" si="156"/>
        <v>0</v>
      </c>
      <c r="H311" s="61">
        <v>410707</v>
      </c>
      <c r="I311" s="61">
        <f>+C311+D311-E311-F311+G311</f>
        <v>410707</v>
      </c>
      <c r="J311" s="102">
        <f t="shared" si="161"/>
        <v>0</v>
      </c>
      <c r="K311" s="45" t="s">
        <v>25</v>
      </c>
      <c r="L311" s="181">
        <v>6008000</v>
      </c>
      <c r="M311" s="181">
        <v>4242000</v>
      </c>
      <c r="N311" s="181">
        <v>2280788</v>
      </c>
      <c r="O311" s="181"/>
      <c r="R311"/>
      <c r="S311"/>
      <c r="T311"/>
      <c r="U311"/>
    </row>
    <row r="312" spans="1:21" ht="16.5">
      <c r="A312" s="58" t="str">
        <f t="shared" si="157"/>
        <v>Crépin</v>
      </c>
      <c r="B312" s="59" t="s">
        <v>154</v>
      </c>
      <c r="C312" s="61">
        <v>46045</v>
      </c>
      <c r="D312" s="61">
        <f t="shared" si="158"/>
        <v>1304000</v>
      </c>
      <c r="E312" s="61">
        <f t="shared" si="159"/>
        <v>1144025</v>
      </c>
      <c r="F312" s="61">
        <f t="shared" si="160"/>
        <v>0</v>
      </c>
      <c r="G312" s="61">
        <f t="shared" si="156"/>
        <v>0</v>
      </c>
      <c r="H312" s="61">
        <v>206020</v>
      </c>
      <c r="I312" s="61">
        <f>+C312+D312-E312-F312+G312</f>
        <v>206020</v>
      </c>
      <c r="J312" s="9">
        <f t="shared" si="161"/>
        <v>0</v>
      </c>
      <c r="K312" s="45" t="s">
        <v>47</v>
      </c>
      <c r="L312" s="181">
        <v>1304000</v>
      </c>
      <c r="M312" s="181">
        <v>0</v>
      </c>
      <c r="N312" s="181">
        <v>1144025</v>
      </c>
      <c r="O312" s="181"/>
      <c r="R312"/>
      <c r="S312"/>
      <c r="T312"/>
      <c r="U312"/>
    </row>
    <row r="313" spans="1:21" ht="16.5">
      <c r="A313" s="58" t="str">
        <f t="shared" si="157"/>
        <v>D58</v>
      </c>
      <c r="B313" s="59" t="s">
        <v>4</v>
      </c>
      <c r="C313" s="61">
        <v>107500</v>
      </c>
      <c r="D313" s="61">
        <f t="shared" si="158"/>
        <v>692000</v>
      </c>
      <c r="E313" s="61">
        <f t="shared" si="159"/>
        <v>694400</v>
      </c>
      <c r="F313" s="61">
        <f t="shared" si="160"/>
        <v>0</v>
      </c>
      <c r="G313" s="61">
        <f t="shared" si="156"/>
        <v>0</v>
      </c>
      <c r="H313" s="61">
        <v>105100</v>
      </c>
      <c r="I313" s="61">
        <f>+C313+D313-E313-F313+G313</f>
        <v>105100</v>
      </c>
      <c r="J313" s="9">
        <f t="shared" si="161"/>
        <v>0</v>
      </c>
      <c r="K313" s="45" t="s">
        <v>269</v>
      </c>
      <c r="L313" s="181">
        <v>692000</v>
      </c>
      <c r="M313" s="181">
        <v>0</v>
      </c>
      <c r="N313" s="181">
        <v>694400</v>
      </c>
      <c r="O313" s="181"/>
      <c r="R313"/>
      <c r="S313"/>
      <c r="T313"/>
      <c r="U313"/>
    </row>
    <row r="314" spans="1:21" ht="16.5">
      <c r="A314" s="58" t="str">
        <f t="shared" si="157"/>
        <v>Donald</v>
      </c>
      <c r="B314" s="59" t="s">
        <v>154</v>
      </c>
      <c r="C314" s="61">
        <v>8650</v>
      </c>
      <c r="D314" s="61">
        <f t="shared" si="158"/>
        <v>130000</v>
      </c>
      <c r="E314" s="61">
        <f t="shared" si="159"/>
        <v>119300</v>
      </c>
      <c r="F314" s="61">
        <f t="shared" si="160"/>
        <v>0</v>
      </c>
      <c r="G314" s="61">
        <f t="shared" si="156"/>
        <v>0</v>
      </c>
      <c r="H314" s="61">
        <v>19350</v>
      </c>
      <c r="I314" s="61">
        <f t="shared" ref="I314:I315" si="162">+C314+D314-E314-F314+G314</f>
        <v>19350</v>
      </c>
      <c r="J314" s="9">
        <f t="shared" si="161"/>
        <v>0</v>
      </c>
      <c r="K314" s="45" t="s">
        <v>255</v>
      </c>
      <c r="L314" s="181">
        <v>130000</v>
      </c>
      <c r="M314" s="181">
        <v>0</v>
      </c>
      <c r="N314" s="181">
        <v>119300</v>
      </c>
      <c r="O314" s="181"/>
      <c r="R314"/>
      <c r="S314"/>
      <c r="T314"/>
      <c r="U314"/>
    </row>
    <row r="315" spans="1:21" ht="16.5">
      <c r="A315" s="58" t="str">
        <f t="shared" si="157"/>
        <v>Evariste</v>
      </c>
      <c r="B315" s="59" t="s">
        <v>155</v>
      </c>
      <c r="C315" s="61">
        <v>18325</v>
      </c>
      <c r="D315" s="61">
        <f t="shared" si="158"/>
        <v>164000</v>
      </c>
      <c r="E315" s="61">
        <f t="shared" si="159"/>
        <v>156900</v>
      </c>
      <c r="F315" s="61">
        <f t="shared" si="160"/>
        <v>0</v>
      </c>
      <c r="G315" s="61">
        <f t="shared" si="156"/>
        <v>0</v>
      </c>
      <c r="H315" s="61">
        <v>25425</v>
      </c>
      <c r="I315" s="61">
        <f t="shared" si="162"/>
        <v>25425</v>
      </c>
      <c r="J315" s="9">
        <f t="shared" si="161"/>
        <v>0</v>
      </c>
      <c r="K315" s="45" t="s">
        <v>31</v>
      </c>
      <c r="L315" s="181">
        <v>164000</v>
      </c>
      <c r="M315" s="181">
        <v>0</v>
      </c>
      <c r="N315" s="181">
        <v>156900</v>
      </c>
      <c r="O315" s="181"/>
      <c r="R315"/>
      <c r="S315"/>
      <c r="T315"/>
      <c r="U315"/>
    </row>
    <row r="316" spans="1:21" ht="16.5">
      <c r="A316" s="58" t="str">
        <f t="shared" si="157"/>
        <v>I55S</v>
      </c>
      <c r="B316" s="116" t="s">
        <v>4</v>
      </c>
      <c r="C316" s="118">
        <v>233614</v>
      </c>
      <c r="D316" s="118">
        <f t="shared" si="158"/>
        <v>0</v>
      </c>
      <c r="E316" s="118">
        <f>+N316</f>
        <v>0</v>
      </c>
      <c r="F316" s="118">
        <f t="shared" si="160"/>
        <v>0</v>
      </c>
      <c r="G316" s="118">
        <f t="shared" si="156"/>
        <v>0</v>
      </c>
      <c r="H316" s="118">
        <v>233614</v>
      </c>
      <c r="I316" s="118">
        <f>+C316+D316-E316-F316+G316</f>
        <v>233614</v>
      </c>
      <c r="J316" s="9">
        <f t="shared" si="161"/>
        <v>0</v>
      </c>
      <c r="K316" s="45" t="s">
        <v>84</v>
      </c>
      <c r="L316" s="181"/>
      <c r="M316" s="181"/>
      <c r="N316" s="181"/>
      <c r="O316" s="181"/>
      <c r="R316"/>
      <c r="S316"/>
      <c r="T316"/>
      <c r="U316"/>
    </row>
    <row r="317" spans="1:21" ht="16.5">
      <c r="A317" s="58" t="str">
        <f t="shared" si="157"/>
        <v>I73X</v>
      </c>
      <c r="B317" s="116" t="s">
        <v>4</v>
      </c>
      <c r="C317" s="118">
        <v>249769</v>
      </c>
      <c r="D317" s="118">
        <f t="shared" si="158"/>
        <v>0</v>
      </c>
      <c r="E317" s="118">
        <f>+N317</f>
        <v>0</v>
      </c>
      <c r="F317" s="118">
        <f t="shared" si="160"/>
        <v>0</v>
      </c>
      <c r="G317" s="118">
        <f t="shared" si="156"/>
        <v>0</v>
      </c>
      <c r="H317" s="118">
        <v>249769</v>
      </c>
      <c r="I317" s="118">
        <f t="shared" ref="I317:I321" si="163">+C317+D317-E317-F317+G317</f>
        <v>249769</v>
      </c>
      <c r="J317" s="9">
        <f t="shared" si="161"/>
        <v>0</v>
      </c>
      <c r="K317" s="45" t="s">
        <v>83</v>
      </c>
      <c r="L317" s="181"/>
      <c r="M317" s="181"/>
      <c r="N317" s="181"/>
      <c r="O317" s="181"/>
      <c r="R317"/>
      <c r="S317"/>
      <c r="T317"/>
      <c r="U317"/>
    </row>
    <row r="318" spans="1:21" s="188" customFormat="1" ht="16.5">
      <c r="A318" s="58" t="str">
        <f t="shared" si="157"/>
        <v>Grace</v>
      </c>
      <c r="B318" s="59" t="s">
        <v>2</v>
      </c>
      <c r="C318" s="184">
        <v>11250</v>
      </c>
      <c r="D318" s="61">
        <f t="shared" si="158"/>
        <v>363000</v>
      </c>
      <c r="E318" s="61">
        <f t="shared" ref="E318" si="164">+N318</f>
        <v>182650</v>
      </c>
      <c r="F318" s="61">
        <f t="shared" si="160"/>
        <v>25000</v>
      </c>
      <c r="G318" s="61">
        <f t="shared" si="156"/>
        <v>0</v>
      </c>
      <c r="H318" s="184">
        <v>166600</v>
      </c>
      <c r="I318" s="184">
        <f t="shared" si="163"/>
        <v>166600</v>
      </c>
      <c r="J318" s="185">
        <f>I318-H318</f>
        <v>0</v>
      </c>
      <c r="K318" s="186" t="s">
        <v>143</v>
      </c>
      <c r="L318" s="181">
        <v>363000</v>
      </c>
      <c r="M318" s="181">
        <v>25000</v>
      </c>
      <c r="N318" s="181">
        <v>182650</v>
      </c>
      <c r="O318" s="181"/>
      <c r="R318"/>
      <c r="S318"/>
      <c r="T318"/>
      <c r="U318"/>
    </row>
    <row r="319" spans="1:21" ht="16.5">
      <c r="A319" s="58" t="str">
        <f t="shared" si="157"/>
        <v>Hurielle</v>
      </c>
      <c r="B319" s="98" t="s">
        <v>154</v>
      </c>
      <c r="C319" s="61">
        <v>39355</v>
      </c>
      <c r="D319" s="61">
        <f t="shared" si="158"/>
        <v>185000</v>
      </c>
      <c r="E319" s="61">
        <f>+N319</f>
        <v>188350</v>
      </c>
      <c r="F319" s="61">
        <f>+M319</f>
        <v>8000</v>
      </c>
      <c r="G319" s="61">
        <f t="shared" si="156"/>
        <v>0</v>
      </c>
      <c r="H319" s="61">
        <v>28005</v>
      </c>
      <c r="I319" s="61">
        <f t="shared" si="163"/>
        <v>28005</v>
      </c>
      <c r="J319" s="9">
        <f t="shared" ref="J319" si="165">I319-H319</f>
        <v>0</v>
      </c>
      <c r="K319" s="45" t="s">
        <v>197</v>
      </c>
      <c r="L319" s="181">
        <v>185000</v>
      </c>
      <c r="M319" s="181">
        <v>8000</v>
      </c>
      <c r="N319" s="181">
        <v>188350</v>
      </c>
      <c r="O319" s="181"/>
      <c r="R319"/>
      <c r="S319"/>
      <c r="T319"/>
      <c r="U319"/>
    </row>
    <row r="320" spans="1:21" s="188" customFormat="1" ht="16.5">
      <c r="A320" s="58" t="str">
        <f t="shared" si="157"/>
        <v>Merveille</v>
      </c>
      <c r="B320" s="59" t="s">
        <v>2</v>
      </c>
      <c r="C320" s="184">
        <v>14300</v>
      </c>
      <c r="D320" s="61">
        <f t="shared" si="158"/>
        <v>35000</v>
      </c>
      <c r="E320" s="61">
        <f t="shared" ref="E320:E323" si="166">+N320</f>
        <v>30500</v>
      </c>
      <c r="F320" s="61">
        <f t="shared" ref="F320:F323" si="167">+M320</f>
        <v>0</v>
      </c>
      <c r="G320" s="61">
        <f t="shared" si="156"/>
        <v>0</v>
      </c>
      <c r="H320" s="184">
        <v>18800</v>
      </c>
      <c r="I320" s="184">
        <f t="shared" si="163"/>
        <v>18800</v>
      </c>
      <c r="J320" s="185">
        <f>I320-H320</f>
        <v>0</v>
      </c>
      <c r="K320" s="186" t="s">
        <v>93</v>
      </c>
      <c r="L320" s="181">
        <v>35000</v>
      </c>
      <c r="M320" s="181">
        <v>0</v>
      </c>
      <c r="N320" s="181">
        <v>30500</v>
      </c>
      <c r="O320" s="181"/>
      <c r="R320"/>
      <c r="S320"/>
      <c r="T320"/>
      <c r="U320"/>
    </row>
    <row r="321" spans="1:21" ht="16.5">
      <c r="A321" s="58" t="str">
        <f t="shared" si="157"/>
        <v>P29</v>
      </c>
      <c r="B321" s="98" t="s">
        <v>4</v>
      </c>
      <c r="C321" s="61">
        <v>100600</v>
      </c>
      <c r="D321" s="61">
        <f t="shared" si="158"/>
        <v>589000</v>
      </c>
      <c r="E321" s="61">
        <f t="shared" si="166"/>
        <v>453600</v>
      </c>
      <c r="F321" s="61">
        <f t="shared" si="167"/>
        <v>0</v>
      </c>
      <c r="G321" s="61">
        <f t="shared" si="156"/>
        <v>0</v>
      </c>
      <c r="H321" s="61">
        <v>236000</v>
      </c>
      <c r="I321" s="61">
        <f t="shared" si="163"/>
        <v>236000</v>
      </c>
      <c r="J321" s="9">
        <f t="shared" ref="J321:J322" si="168">I321-H321</f>
        <v>0</v>
      </c>
      <c r="K321" s="45" t="s">
        <v>29</v>
      </c>
      <c r="L321" s="181">
        <v>589000</v>
      </c>
      <c r="M321" s="181">
        <v>0</v>
      </c>
      <c r="N321" s="181">
        <v>453600</v>
      </c>
      <c r="O321" s="181"/>
      <c r="R321"/>
      <c r="S321"/>
      <c r="T321"/>
      <c r="U321"/>
    </row>
    <row r="322" spans="1:21" ht="16.5">
      <c r="A322" s="58" t="str">
        <f t="shared" si="157"/>
        <v>T73</v>
      </c>
      <c r="B322" s="59" t="s">
        <v>4</v>
      </c>
      <c r="C322" s="61">
        <v>208300</v>
      </c>
      <c r="D322" s="61">
        <f>+L322</f>
        <v>805000</v>
      </c>
      <c r="E322" s="61">
        <f t="shared" si="166"/>
        <v>701600</v>
      </c>
      <c r="F322" s="61">
        <f t="shared" si="167"/>
        <v>0</v>
      </c>
      <c r="G322" s="61">
        <f t="shared" si="156"/>
        <v>0</v>
      </c>
      <c r="H322" s="61">
        <v>311700</v>
      </c>
      <c r="I322" s="61">
        <f>+C322+D322-E322-F322+G322</f>
        <v>311700</v>
      </c>
      <c r="J322" s="9">
        <f t="shared" si="168"/>
        <v>0</v>
      </c>
      <c r="K322" s="45" t="s">
        <v>268</v>
      </c>
      <c r="L322" s="181">
        <v>805000</v>
      </c>
      <c r="M322" s="181">
        <v>0</v>
      </c>
      <c r="N322" s="181">
        <v>701600</v>
      </c>
      <c r="O322" s="181"/>
    </row>
    <row r="323" spans="1:21" ht="16.5">
      <c r="A323" s="58" t="str">
        <f t="shared" si="157"/>
        <v>Tiffany</v>
      </c>
      <c r="B323" s="59" t="s">
        <v>2</v>
      </c>
      <c r="C323" s="61">
        <v>26676</v>
      </c>
      <c r="D323" s="61">
        <f t="shared" ref="D323" si="169">+L323</f>
        <v>0</v>
      </c>
      <c r="E323" s="61">
        <f t="shared" si="166"/>
        <v>10000</v>
      </c>
      <c r="F323" s="61">
        <f t="shared" si="167"/>
        <v>0</v>
      </c>
      <c r="G323" s="61">
        <f t="shared" si="156"/>
        <v>0</v>
      </c>
      <c r="H323" s="61">
        <v>16676</v>
      </c>
      <c r="I323" s="61">
        <f>+C323+D323-E323-F323+G323</f>
        <v>16676</v>
      </c>
      <c r="J323" s="9">
        <f>I323-H323</f>
        <v>0</v>
      </c>
      <c r="K323" s="45" t="s">
        <v>113</v>
      </c>
      <c r="L323" s="181">
        <v>0</v>
      </c>
      <c r="M323" s="181">
        <v>0</v>
      </c>
      <c r="N323" s="181">
        <v>10000</v>
      </c>
      <c r="O323" s="181"/>
    </row>
    <row r="324" spans="1:21" ht="16.5">
      <c r="A324" s="10" t="s">
        <v>50</v>
      </c>
      <c r="B324" s="11"/>
      <c r="C324" s="12">
        <f t="shared" ref="C324:I324" si="170">SUM(C309:C323)</f>
        <v>9139120</v>
      </c>
      <c r="D324" s="57">
        <f t="shared" si="170"/>
        <v>10275000</v>
      </c>
      <c r="E324" s="57">
        <f t="shared" si="170"/>
        <v>9380259</v>
      </c>
      <c r="F324" s="57">
        <f t="shared" si="170"/>
        <v>10275000</v>
      </c>
      <c r="G324" s="57">
        <f t="shared" si="170"/>
        <v>36605624</v>
      </c>
      <c r="H324" s="57">
        <f t="shared" si="170"/>
        <v>36364485</v>
      </c>
      <c r="I324" s="57">
        <f t="shared" si="170"/>
        <v>36364485</v>
      </c>
      <c r="J324" s="9">
        <f>I324-H324</f>
        <v>0</v>
      </c>
      <c r="K324" s="3"/>
      <c r="L324" s="47">
        <f>+SUM(L309:L323)</f>
        <v>10275000</v>
      </c>
      <c r="M324" s="47">
        <f>+SUM(M309:M323)</f>
        <v>10275000</v>
      </c>
      <c r="N324" s="47">
        <f>+SUM(N309:N323)</f>
        <v>9380259</v>
      </c>
      <c r="O324" s="47">
        <f>+SUM(O309:O323)</f>
        <v>36605624</v>
      </c>
    </row>
    <row r="325" spans="1:21" ht="16.5">
      <c r="A325" s="10"/>
      <c r="B325" s="11"/>
      <c r="C325" s="12"/>
      <c r="D325" s="13"/>
      <c r="E325" s="12"/>
      <c r="F325" s="13"/>
      <c r="G325" s="12"/>
      <c r="H325" s="12"/>
      <c r="I325" s="134" t="b">
        <f>I324=D327</f>
        <v>1</v>
      </c>
      <c r="J325" s="9">
        <f>H324-I324</f>
        <v>0</v>
      </c>
      <c r="L325" s="5"/>
      <c r="M325" s="5"/>
      <c r="N325" s="5"/>
      <c r="O325" s="5"/>
    </row>
    <row r="326" spans="1:21" ht="16.5">
      <c r="A326" s="10" t="s">
        <v>280</v>
      </c>
      <c r="B326" s="11" t="s">
        <v>190</v>
      </c>
      <c r="C326" s="12" t="s">
        <v>281</v>
      </c>
      <c r="D326" s="12" t="s">
        <v>282</v>
      </c>
      <c r="E326" s="12" t="s">
        <v>51</v>
      </c>
      <c r="F326" s="12"/>
      <c r="G326" s="12">
        <f>+D324-F324</f>
        <v>0</v>
      </c>
      <c r="H326" s="12"/>
      <c r="I326" s="212"/>
    </row>
    <row r="327" spans="1:21" ht="16.5">
      <c r="A327" s="14">
        <f>C324</f>
        <v>9139120</v>
      </c>
      <c r="B327" s="15">
        <f>G324</f>
        <v>36605624</v>
      </c>
      <c r="C327" s="12">
        <f>E324</f>
        <v>9380259</v>
      </c>
      <c r="D327" s="12">
        <f>A327+B327-C327</f>
        <v>36364485</v>
      </c>
      <c r="E327" s="13">
        <f>I324-D327</f>
        <v>0</v>
      </c>
      <c r="F327" s="12"/>
      <c r="G327" s="12"/>
      <c r="H327" s="12"/>
      <c r="I327" s="12"/>
    </row>
    <row r="328" spans="1:21" ht="16.5">
      <c r="A328" s="14"/>
      <c r="B328" s="15"/>
      <c r="C328" s="12"/>
      <c r="D328" s="12"/>
      <c r="E328" s="13"/>
      <c r="F328" s="12"/>
      <c r="G328" s="12"/>
      <c r="H328" s="12"/>
      <c r="I328" s="12"/>
    </row>
    <row r="329" spans="1:21">
      <c r="A329" s="16" t="s">
        <v>52</v>
      </c>
      <c r="B329" s="16"/>
      <c r="C329" s="16"/>
      <c r="D329" s="17"/>
      <c r="E329" s="17"/>
      <c r="F329" s="17"/>
      <c r="G329" s="17"/>
      <c r="H329" s="17"/>
      <c r="I329" s="17"/>
    </row>
    <row r="330" spans="1:21">
      <c r="A330" s="18" t="s">
        <v>283</v>
      </c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21">
      <c r="A331" s="19"/>
      <c r="B331" s="17"/>
      <c r="C331" s="20"/>
      <c r="D331" s="20"/>
      <c r="E331" s="20"/>
      <c r="F331" s="20"/>
      <c r="G331" s="20"/>
      <c r="H331" s="17"/>
      <c r="I331" s="17"/>
    </row>
    <row r="332" spans="1:21" ht="45" customHeight="1">
      <c r="A332" s="169" t="s">
        <v>53</v>
      </c>
      <c r="B332" s="171" t="s">
        <v>54</v>
      </c>
      <c r="C332" s="173" t="s">
        <v>284</v>
      </c>
      <c r="D332" s="174" t="s">
        <v>55</v>
      </c>
      <c r="E332" s="175"/>
      <c r="F332" s="175"/>
      <c r="G332" s="176"/>
      <c r="H332" s="177" t="s">
        <v>56</v>
      </c>
      <c r="I332" s="165" t="s">
        <v>57</v>
      </c>
      <c r="J332" s="210"/>
    </row>
    <row r="333" spans="1:21" ht="28.5" customHeight="1">
      <c r="A333" s="170"/>
      <c r="B333" s="172"/>
      <c r="C333" s="22"/>
      <c r="D333" s="21" t="s">
        <v>24</v>
      </c>
      <c r="E333" s="21" t="s">
        <v>25</v>
      </c>
      <c r="F333" s="22" t="s">
        <v>123</v>
      </c>
      <c r="G333" s="21" t="s">
        <v>58</v>
      </c>
      <c r="H333" s="178"/>
      <c r="I333" s="166"/>
      <c r="J333" s="168" t="s">
        <v>285</v>
      </c>
      <c r="K333" s="143"/>
    </row>
    <row r="334" spans="1:21">
      <c r="A334" s="23"/>
      <c r="B334" s="24" t="s">
        <v>59</v>
      </c>
      <c r="C334" s="25"/>
      <c r="D334" s="25"/>
      <c r="E334" s="25"/>
      <c r="F334" s="25"/>
      <c r="G334" s="25"/>
      <c r="H334" s="25"/>
      <c r="I334" s="26"/>
      <c r="J334" s="168"/>
      <c r="K334" s="143"/>
    </row>
    <row r="335" spans="1:21">
      <c r="A335" s="122" t="s">
        <v>120</v>
      </c>
      <c r="B335" s="127" t="s">
        <v>47</v>
      </c>
      <c r="C335" s="32">
        <f>+C312</f>
        <v>46045</v>
      </c>
      <c r="D335" s="31"/>
      <c r="E335" s="32">
        <f>+D312</f>
        <v>1304000</v>
      </c>
      <c r="F335" s="32"/>
      <c r="G335" s="32"/>
      <c r="H335" s="55">
        <f>+F312</f>
        <v>0</v>
      </c>
      <c r="I335" s="32">
        <f>+E312</f>
        <v>1144025</v>
      </c>
      <c r="J335" s="30">
        <f t="shared" ref="J335:J338" si="171">+SUM(C335:G335)-(H335+I335)</f>
        <v>206020</v>
      </c>
      <c r="K335" s="144" t="b">
        <f t="shared" ref="K335:K346" si="172">J335=I312</f>
        <v>1</v>
      </c>
    </row>
    <row r="336" spans="1:21">
      <c r="A336" s="122" t="str">
        <f>+A335</f>
        <v>MARS</v>
      </c>
      <c r="B336" s="127" t="s">
        <v>269</v>
      </c>
      <c r="C336" s="32">
        <f t="shared" ref="C336:C338" si="173">+C313</f>
        <v>107500</v>
      </c>
      <c r="D336" s="31"/>
      <c r="E336" s="32">
        <f t="shared" ref="E336:E338" si="174">+D313</f>
        <v>692000</v>
      </c>
      <c r="F336" s="32"/>
      <c r="G336" s="32"/>
      <c r="H336" s="55">
        <f t="shared" ref="H336:H338" si="175">+F313</f>
        <v>0</v>
      </c>
      <c r="I336" s="32">
        <f t="shared" ref="I336:I338" si="176">+E313</f>
        <v>694400</v>
      </c>
      <c r="J336" s="30">
        <f t="shared" si="171"/>
        <v>105100</v>
      </c>
      <c r="K336" s="144" t="b">
        <f t="shared" si="172"/>
        <v>1</v>
      </c>
    </row>
    <row r="337" spans="1:11">
      <c r="A337" s="122" t="str">
        <f t="shared" ref="A337:A346" si="177">+A336</f>
        <v>MARS</v>
      </c>
      <c r="B337" s="127" t="s">
        <v>255</v>
      </c>
      <c r="C337" s="32">
        <f t="shared" si="173"/>
        <v>8650</v>
      </c>
      <c r="D337" s="31"/>
      <c r="E337" s="32">
        <f t="shared" si="174"/>
        <v>130000</v>
      </c>
      <c r="F337" s="32"/>
      <c r="G337" s="32"/>
      <c r="H337" s="55">
        <f t="shared" si="175"/>
        <v>0</v>
      </c>
      <c r="I337" s="32">
        <f t="shared" si="176"/>
        <v>119300</v>
      </c>
      <c r="J337" s="30">
        <f t="shared" si="171"/>
        <v>19350</v>
      </c>
      <c r="K337" s="144" t="b">
        <f t="shared" si="172"/>
        <v>1</v>
      </c>
    </row>
    <row r="338" spans="1:11">
      <c r="A338" s="122" t="str">
        <f t="shared" si="177"/>
        <v>MARS</v>
      </c>
      <c r="B338" s="127" t="s">
        <v>31</v>
      </c>
      <c r="C338" s="32">
        <f t="shared" si="173"/>
        <v>18325</v>
      </c>
      <c r="D338" s="31"/>
      <c r="E338" s="32">
        <f t="shared" si="174"/>
        <v>164000</v>
      </c>
      <c r="F338" s="32"/>
      <c r="G338" s="32"/>
      <c r="H338" s="55">
        <f t="shared" si="175"/>
        <v>0</v>
      </c>
      <c r="I338" s="32">
        <f t="shared" si="176"/>
        <v>156900</v>
      </c>
      <c r="J338" s="30">
        <f t="shared" si="171"/>
        <v>25425</v>
      </c>
      <c r="K338" s="144" t="b">
        <f t="shared" si="172"/>
        <v>1</v>
      </c>
    </row>
    <row r="339" spans="1:11">
      <c r="A339" s="122" t="str">
        <f t="shared" si="177"/>
        <v>MARS</v>
      </c>
      <c r="B339" s="129" t="s">
        <v>84</v>
      </c>
      <c r="C339" s="120">
        <f>+C316</f>
        <v>233614</v>
      </c>
      <c r="D339" s="123"/>
      <c r="E339" s="120">
        <f>+D316</f>
        <v>0</v>
      </c>
      <c r="F339" s="137"/>
      <c r="G339" s="137"/>
      <c r="H339" s="155">
        <f>+F316</f>
        <v>0</v>
      </c>
      <c r="I339" s="120">
        <f>+E316</f>
        <v>0</v>
      </c>
      <c r="J339" s="121">
        <f>+SUM(C339:G339)-(H339+I339)</f>
        <v>233614</v>
      </c>
      <c r="K339" s="144" t="b">
        <f t="shared" si="172"/>
        <v>1</v>
      </c>
    </row>
    <row r="340" spans="1:11">
      <c r="A340" s="122" t="str">
        <f t="shared" si="177"/>
        <v>MARS</v>
      </c>
      <c r="B340" s="129" t="s">
        <v>83</v>
      </c>
      <c r="C340" s="120">
        <f>+C317</f>
        <v>249769</v>
      </c>
      <c r="D340" s="123"/>
      <c r="E340" s="120">
        <f>+D317</f>
        <v>0</v>
      </c>
      <c r="F340" s="137"/>
      <c r="G340" s="137"/>
      <c r="H340" s="155">
        <f>+F317</f>
        <v>0</v>
      </c>
      <c r="I340" s="120">
        <f>+E317</f>
        <v>0</v>
      </c>
      <c r="J340" s="121">
        <f t="shared" ref="J340:J346" si="178">+SUM(C340:G340)-(H340+I340)</f>
        <v>249769</v>
      </c>
      <c r="K340" s="144" t="b">
        <f t="shared" si="172"/>
        <v>1</v>
      </c>
    </row>
    <row r="341" spans="1:11">
      <c r="A341" s="122" t="str">
        <f t="shared" si="177"/>
        <v>MARS</v>
      </c>
      <c r="B341" s="127" t="s">
        <v>143</v>
      </c>
      <c r="C341" s="32">
        <f>+C318</f>
        <v>11250</v>
      </c>
      <c r="D341" s="31"/>
      <c r="E341" s="32">
        <f>+D318</f>
        <v>363000</v>
      </c>
      <c r="F341" s="32"/>
      <c r="G341" s="104"/>
      <c r="H341" s="55">
        <f>+F318</f>
        <v>25000</v>
      </c>
      <c r="I341" s="32">
        <f>+E318</f>
        <v>182650</v>
      </c>
      <c r="J341" s="30">
        <f t="shared" si="178"/>
        <v>166600</v>
      </c>
      <c r="K341" s="144" t="b">
        <f t="shared" si="172"/>
        <v>1</v>
      </c>
    </row>
    <row r="342" spans="1:11">
      <c r="A342" s="122" t="str">
        <f t="shared" si="177"/>
        <v>MARS</v>
      </c>
      <c r="B342" s="127" t="s">
        <v>197</v>
      </c>
      <c r="C342" s="32">
        <f>+C319</f>
        <v>39355</v>
      </c>
      <c r="D342" s="31"/>
      <c r="E342" s="32">
        <f>+D319</f>
        <v>185000</v>
      </c>
      <c r="F342" s="32"/>
      <c r="G342" s="104"/>
      <c r="H342" s="55">
        <f>+F319</f>
        <v>8000</v>
      </c>
      <c r="I342" s="32">
        <f>+E319</f>
        <v>188350</v>
      </c>
      <c r="J342" s="30">
        <f t="shared" si="178"/>
        <v>28005</v>
      </c>
      <c r="K342" s="144" t="b">
        <f t="shared" si="172"/>
        <v>1</v>
      </c>
    </row>
    <row r="343" spans="1:11">
      <c r="A343" s="122" t="str">
        <f>A342</f>
        <v>MARS</v>
      </c>
      <c r="B343" s="127" t="s">
        <v>93</v>
      </c>
      <c r="C343" s="32">
        <f t="shared" ref="C343:C346" si="179">+C320</f>
        <v>14300</v>
      </c>
      <c r="D343" s="31"/>
      <c r="E343" s="32">
        <f t="shared" ref="E343:E346" si="180">+D320</f>
        <v>35000</v>
      </c>
      <c r="F343" s="32"/>
      <c r="G343" s="104"/>
      <c r="H343" s="55">
        <f t="shared" ref="H343:H346" si="181">+F320</f>
        <v>0</v>
      </c>
      <c r="I343" s="32">
        <f t="shared" ref="I343:I346" si="182">+E320</f>
        <v>30500</v>
      </c>
      <c r="J343" s="30">
        <f t="shared" si="178"/>
        <v>18800</v>
      </c>
      <c r="K343" s="144" t="b">
        <f t="shared" si="172"/>
        <v>1</v>
      </c>
    </row>
    <row r="344" spans="1:11">
      <c r="A344" s="122" t="str">
        <f t="shared" si="177"/>
        <v>MARS</v>
      </c>
      <c r="B344" s="127" t="s">
        <v>29</v>
      </c>
      <c r="C344" s="32">
        <f t="shared" si="179"/>
        <v>100600</v>
      </c>
      <c r="D344" s="31"/>
      <c r="E344" s="32">
        <f t="shared" si="180"/>
        <v>589000</v>
      </c>
      <c r="F344" s="32"/>
      <c r="G344" s="104"/>
      <c r="H344" s="55">
        <f t="shared" si="181"/>
        <v>0</v>
      </c>
      <c r="I344" s="32">
        <f t="shared" si="182"/>
        <v>453600</v>
      </c>
      <c r="J344" s="30">
        <f t="shared" si="178"/>
        <v>236000</v>
      </c>
      <c r="K344" s="144" t="b">
        <f t="shared" si="172"/>
        <v>1</v>
      </c>
    </row>
    <row r="345" spans="1:11">
      <c r="A345" s="122" t="str">
        <f t="shared" si="177"/>
        <v>MARS</v>
      </c>
      <c r="B345" s="128" t="s">
        <v>268</v>
      </c>
      <c r="C345" s="32">
        <f t="shared" si="179"/>
        <v>208300</v>
      </c>
      <c r="D345" s="119"/>
      <c r="E345" s="32">
        <f t="shared" si="180"/>
        <v>805000</v>
      </c>
      <c r="F345" s="51"/>
      <c r="G345" s="138"/>
      <c r="H345" s="55">
        <f t="shared" si="181"/>
        <v>0</v>
      </c>
      <c r="I345" s="32">
        <f t="shared" si="182"/>
        <v>701600</v>
      </c>
      <c r="J345" s="30">
        <f t="shared" si="178"/>
        <v>311700</v>
      </c>
      <c r="K345" s="144" t="b">
        <f t="shared" si="172"/>
        <v>1</v>
      </c>
    </row>
    <row r="346" spans="1:11">
      <c r="A346" s="122" t="str">
        <f t="shared" si="177"/>
        <v>MARS</v>
      </c>
      <c r="B346" s="128" t="s">
        <v>113</v>
      </c>
      <c r="C346" s="32">
        <f t="shared" si="179"/>
        <v>26676</v>
      </c>
      <c r="D346" s="119"/>
      <c r="E346" s="32">
        <f t="shared" si="180"/>
        <v>0</v>
      </c>
      <c r="F346" s="51"/>
      <c r="G346" s="138"/>
      <c r="H346" s="55">
        <f t="shared" si="181"/>
        <v>0</v>
      </c>
      <c r="I346" s="32">
        <f t="shared" si="182"/>
        <v>10000</v>
      </c>
      <c r="J346" s="30">
        <f t="shared" si="178"/>
        <v>16676</v>
      </c>
      <c r="K346" s="144" t="b">
        <f t="shared" si="172"/>
        <v>1</v>
      </c>
    </row>
    <row r="347" spans="1:11">
      <c r="A347" s="34" t="s">
        <v>60</v>
      </c>
      <c r="B347" s="35"/>
      <c r="C347" s="35"/>
      <c r="D347" s="35"/>
      <c r="E347" s="35"/>
      <c r="F347" s="35"/>
      <c r="G347" s="35"/>
      <c r="H347" s="35"/>
      <c r="I347" s="35"/>
      <c r="J347" s="36"/>
      <c r="K347" s="143"/>
    </row>
    <row r="348" spans="1:11">
      <c r="A348" s="122" t="str">
        <f>A346</f>
        <v>MARS</v>
      </c>
      <c r="B348" s="37" t="s">
        <v>61</v>
      </c>
      <c r="C348" s="38">
        <f>+C311</f>
        <v>925495</v>
      </c>
      <c r="D348" s="49"/>
      <c r="E348" s="49">
        <f>D311</f>
        <v>6008000</v>
      </c>
      <c r="F348" s="49"/>
      <c r="G348" s="125"/>
      <c r="H348" s="51">
        <f>+F311</f>
        <v>4242000</v>
      </c>
      <c r="I348" s="126">
        <f>+E311</f>
        <v>2280788</v>
      </c>
      <c r="J348" s="30">
        <f>+SUM(C348:G348)-(H348+I348)</f>
        <v>410707</v>
      </c>
      <c r="K348" s="144" t="b">
        <f>J348=I311</f>
        <v>1</v>
      </c>
    </row>
    <row r="349" spans="1:11">
      <c r="A349" s="43" t="s">
        <v>62</v>
      </c>
      <c r="B349" s="24"/>
      <c r="C349" s="35"/>
      <c r="D349" s="24"/>
      <c r="E349" s="24"/>
      <c r="F349" s="24"/>
      <c r="G349" s="24"/>
      <c r="H349" s="24"/>
      <c r="I349" s="24"/>
      <c r="J349" s="36"/>
      <c r="K349" s="143"/>
    </row>
    <row r="350" spans="1:11">
      <c r="A350" s="122" t="str">
        <f>+A348</f>
        <v>MARS</v>
      </c>
      <c r="B350" s="37" t="s">
        <v>24</v>
      </c>
      <c r="C350" s="125">
        <f>+C309</f>
        <v>4918207</v>
      </c>
      <c r="D350" s="132">
        <f>+G309</f>
        <v>17494973</v>
      </c>
      <c r="E350" s="49"/>
      <c r="F350" s="49"/>
      <c r="G350" s="49"/>
      <c r="H350" s="51">
        <f>+F309</f>
        <v>2000000</v>
      </c>
      <c r="I350" s="53">
        <f>+E309</f>
        <v>693345</v>
      </c>
      <c r="J350" s="30">
        <f>+SUM(C350:G350)-(H350+I350)</f>
        <v>19719835</v>
      </c>
      <c r="K350" s="144" t="b">
        <f>+J350=I309</f>
        <v>1</v>
      </c>
    </row>
    <row r="351" spans="1:11">
      <c r="A351" s="122" t="str">
        <f t="shared" ref="A351" si="183">+A350</f>
        <v>MARS</v>
      </c>
      <c r="B351" s="37" t="s">
        <v>64</v>
      </c>
      <c r="C351" s="125">
        <f>+C310</f>
        <v>2231034</v>
      </c>
      <c r="D351" s="49">
        <f>+G310</f>
        <v>19110651</v>
      </c>
      <c r="E351" s="48"/>
      <c r="F351" s="48"/>
      <c r="G351" s="48"/>
      <c r="H351" s="32">
        <f>+F310</f>
        <v>4000000</v>
      </c>
      <c r="I351" s="50">
        <f>+E310</f>
        <v>2724801</v>
      </c>
      <c r="J351" s="30">
        <f>SUM(C351:G351)-(H351+I351)</f>
        <v>14616884</v>
      </c>
      <c r="K351" s="144" t="b">
        <f>+J351=I310</f>
        <v>1</v>
      </c>
    </row>
    <row r="352" spans="1:11" ht="15.75">
      <c r="C352" s="141">
        <f>SUM(C335:C351)</f>
        <v>9139120</v>
      </c>
      <c r="I352" s="140">
        <f>SUM(I335:I351)</f>
        <v>9380259</v>
      </c>
      <c r="J352" s="105">
        <f>+SUM(J335:J351)</f>
        <v>36364485</v>
      </c>
      <c r="K352" s="5" t="b">
        <f>J352=I324</f>
        <v>1</v>
      </c>
    </row>
    <row r="353" spans="1:16" ht="15.75">
      <c r="C353" s="141"/>
      <c r="I353" s="140"/>
      <c r="J353" s="105"/>
    </row>
    <row r="354" spans="1:16" ht="15.75">
      <c r="A354" s="160"/>
      <c r="B354" s="160"/>
      <c r="C354" s="161"/>
      <c r="D354" s="160"/>
      <c r="E354" s="160"/>
      <c r="F354" s="160"/>
      <c r="G354" s="160"/>
      <c r="H354" s="160"/>
      <c r="I354" s="162"/>
      <c r="J354" s="163"/>
      <c r="K354" s="160"/>
      <c r="L354" s="164"/>
      <c r="M354" s="164"/>
      <c r="N354" s="164"/>
      <c r="O354" s="164"/>
      <c r="P354" s="160"/>
    </row>
    <row r="355" spans="1:16" ht="15.75" customHeight="1"/>
    <row r="356" spans="1:16" ht="15.75">
      <c r="A356" s="6" t="s">
        <v>36</v>
      </c>
      <c r="B356" s="6" t="s">
        <v>1</v>
      </c>
      <c r="C356" s="6">
        <v>44958</v>
      </c>
      <c r="D356" s="7" t="s">
        <v>37</v>
      </c>
      <c r="E356" s="7" t="s">
        <v>38</v>
      </c>
      <c r="F356" s="7" t="s">
        <v>39</v>
      </c>
      <c r="G356" s="7" t="s">
        <v>40</v>
      </c>
      <c r="H356" s="6">
        <v>44985</v>
      </c>
      <c r="I356" s="7" t="s">
        <v>41</v>
      </c>
      <c r="K356" s="45"/>
      <c r="L356" s="45" t="s">
        <v>42</v>
      </c>
      <c r="M356" s="45" t="s">
        <v>43</v>
      </c>
      <c r="N356" s="45" t="s">
        <v>44</v>
      </c>
      <c r="O356" s="45" t="s">
        <v>45</v>
      </c>
    </row>
    <row r="357" spans="1:16" ht="16.5">
      <c r="A357" s="58" t="str">
        <f>K357</f>
        <v>BCI</v>
      </c>
      <c r="B357" s="59" t="s">
        <v>46</v>
      </c>
      <c r="C357" s="61">
        <v>9351552</v>
      </c>
      <c r="D357" s="61">
        <f>+L357</f>
        <v>0</v>
      </c>
      <c r="E357" s="61">
        <f>+N357</f>
        <v>433345</v>
      </c>
      <c r="F357" s="61">
        <f>+M357</f>
        <v>4000000</v>
      </c>
      <c r="G357" s="61">
        <f t="shared" ref="G357:G367" si="184">+O357</f>
        <v>0</v>
      </c>
      <c r="H357" s="61">
        <v>4918207</v>
      </c>
      <c r="I357" s="61">
        <f>+C357+D357-E357-F357+G357</f>
        <v>4918207</v>
      </c>
      <c r="J357" s="9">
        <f>I357-H357</f>
        <v>0</v>
      </c>
      <c r="K357" s="45" t="s">
        <v>24</v>
      </c>
      <c r="L357" s="47">
        <v>0</v>
      </c>
      <c r="M357" s="47">
        <v>4000000</v>
      </c>
      <c r="N357" s="47">
        <v>433345</v>
      </c>
      <c r="O357" s="47">
        <v>0</v>
      </c>
    </row>
    <row r="358" spans="1:16" ht="16.5">
      <c r="A358" s="58" t="str">
        <f t="shared" ref="A358:A371" si="185">K358</f>
        <v>BCI-Sous Compte</v>
      </c>
      <c r="B358" s="59" t="s">
        <v>46</v>
      </c>
      <c r="C358" s="61">
        <v>6338553</v>
      </c>
      <c r="D358" s="61">
        <f t="shared" ref="D358:D369" si="186">+L358</f>
        <v>0</v>
      </c>
      <c r="E358" s="61">
        <f t="shared" ref="E358:E363" si="187">+N358</f>
        <v>4107519</v>
      </c>
      <c r="F358" s="61">
        <f t="shared" ref="F358:F366" si="188">+M358</f>
        <v>0</v>
      </c>
      <c r="G358" s="61">
        <f t="shared" si="184"/>
        <v>0</v>
      </c>
      <c r="H358" s="61">
        <v>2231034</v>
      </c>
      <c r="I358" s="61">
        <f>+C358+D358-E358-F358+G358</f>
        <v>2231034</v>
      </c>
      <c r="J358" s="9">
        <f t="shared" ref="J358:J365" si="189">I358-H358</f>
        <v>0</v>
      </c>
      <c r="K358" s="45" t="s">
        <v>148</v>
      </c>
      <c r="L358" s="46">
        <v>0</v>
      </c>
      <c r="M358" s="47">
        <v>0</v>
      </c>
      <c r="N358" s="47">
        <v>4107519</v>
      </c>
      <c r="O358" s="47">
        <v>0</v>
      </c>
    </row>
    <row r="359" spans="1:16" ht="16.5">
      <c r="A359" s="58" t="str">
        <f t="shared" si="185"/>
        <v>Caisse</v>
      </c>
      <c r="B359" s="59" t="s">
        <v>25</v>
      </c>
      <c r="C359" s="61">
        <v>899588</v>
      </c>
      <c r="D359" s="61">
        <f t="shared" si="186"/>
        <v>4313500</v>
      </c>
      <c r="E359" s="61">
        <f t="shared" si="187"/>
        <v>1771593</v>
      </c>
      <c r="F359" s="61">
        <f t="shared" si="188"/>
        <v>2516000</v>
      </c>
      <c r="G359" s="61">
        <f t="shared" si="184"/>
        <v>0</v>
      </c>
      <c r="H359" s="61">
        <v>925495</v>
      </c>
      <c r="I359" s="61">
        <f>+C359+D359-E359-F359+G359</f>
        <v>925495</v>
      </c>
      <c r="J359" s="102">
        <f t="shared" si="189"/>
        <v>0</v>
      </c>
      <c r="K359" s="45" t="s">
        <v>25</v>
      </c>
      <c r="L359" s="47">
        <v>4313500</v>
      </c>
      <c r="M359" s="47">
        <v>2516000</v>
      </c>
      <c r="N359" s="47">
        <v>1771593</v>
      </c>
      <c r="O359" s="47">
        <v>0</v>
      </c>
    </row>
    <row r="360" spans="1:16" ht="16.5">
      <c r="A360" s="58" t="str">
        <f t="shared" si="185"/>
        <v>Crépin</v>
      </c>
      <c r="B360" s="59" t="s">
        <v>154</v>
      </c>
      <c r="C360" s="61">
        <v>89205</v>
      </c>
      <c r="D360" s="61">
        <f t="shared" si="186"/>
        <v>337000</v>
      </c>
      <c r="E360" s="61">
        <f t="shared" si="187"/>
        <v>350160</v>
      </c>
      <c r="F360" s="61">
        <f t="shared" si="188"/>
        <v>30000</v>
      </c>
      <c r="G360" s="61">
        <f t="shared" si="184"/>
        <v>0</v>
      </c>
      <c r="H360" s="61">
        <v>46045</v>
      </c>
      <c r="I360" s="61">
        <f>+C360+D360-E360-F360+G360</f>
        <v>46045</v>
      </c>
      <c r="J360" s="9">
        <f t="shared" si="189"/>
        <v>0</v>
      </c>
      <c r="K360" s="45" t="s">
        <v>47</v>
      </c>
      <c r="L360" s="47">
        <v>337000</v>
      </c>
      <c r="M360" s="47">
        <v>30000</v>
      </c>
      <c r="N360" s="47">
        <v>350160</v>
      </c>
      <c r="O360" s="47">
        <v>0</v>
      </c>
    </row>
    <row r="361" spans="1:16" ht="16.5">
      <c r="A361" s="58" t="str">
        <f t="shared" si="185"/>
        <v>D58</v>
      </c>
      <c r="B361" s="59" t="s">
        <v>4</v>
      </c>
      <c r="C361" s="61">
        <v>18500</v>
      </c>
      <c r="D361" s="61">
        <f t="shared" si="186"/>
        <v>287000</v>
      </c>
      <c r="E361" s="61">
        <f t="shared" si="187"/>
        <v>198000</v>
      </c>
      <c r="F361" s="61">
        <f t="shared" si="188"/>
        <v>0</v>
      </c>
      <c r="G361" s="61">
        <f t="shared" si="184"/>
        <v>0</v>
      </c>
      <c r="H361" s="61">
        <v>107500</v>
      </c>
      <c r="I361" s="61">
        <f>+C361+D361-E361-F361+G361</f>
        <v>107500</v>
      </c>
      <c r="J361" s="9">
        <f t="shared" si="189"/>
        <v>0</v>
      </c>
      <c r="K361" s="45" t="s">
        <v>269</v>
      </c>
      <c r="L361" s="47">
        <v>287000</v>
      </c>
      <c r="M361" s="47">
        <v>0</v>
      </c>
      <c r="N361" s="47">
        <v>198000</v>
      </c>
      <c r="O361" s="47">
        <v>0</v>
      </c>
    </row>
    <row r="362" spans="1:16" ht="16.5">
      <c r="A362" s="58" t="str">
        <f t="shared" si="185"/>
        <v>Donald</v>
      </c>
      <c r="B362" s="59" t="s">
        <v>154</v>
      </c>
      <c r="C362" s="61">
        <v>10650</v>
      </c>
      <c r="D362" s="61">
        <f t="shared" si="186"/>
        <v>30000</v>
      </c>
      <c r="E362" s="61">
        <f t="shared" si="187"/>
        <v>32000</v>
      </c>
      <c r="F362" s="61">
        <f t="shared" si="188"/>
        <v>0</v>
      </c>
      <c r="G362" s="61">
        <f t="shared" si="184"/>
        <v>0</v>
      </c>
      <c r="H362" s="61">
        <v>8650</v>
      </c>
      <c r="I362" s="61">
        <f t="shared" ref="I362:I363" si="190">+C362+D362-E362-F362+G362</f>
        <v>8650</v>
      </c>
      <c r="J362" s="9">
        <f t="shared" si="189"/>
        <v>0</v>
      </c>
      <c r="K362" s="45" t="s">
        <v>255</v>
      </c>
      <c r="L362" s="47">
        <v>30000</v>
      </c>
      <c r="M362" s="47">
        <v>0</v>
      </c>
      <c r="N362" s="47">
        <v>32000</v>
      </c>
      <c r="O362" s="47">
        <v>0</v>
      </c>
    </row>
    <row r="363" spans="1:16" ht="16.5">
      <c r="A363" s="58" t="str">
        <f t="shared" si="185"/>
        <v>Evariste</v>
      </c>
      <c r="B363" s="59" t="s">
        <v>155</v>
      </c>
      <c r="C363" s="61">
        <v>8325</v>
      </c>
      <c r="D363" s="61">
        <f t="shared" si="186"/>
        <v>295000</v>
      </c>
      <c r="E363" s="61">
        <f t="shared" si="187"/>
        <v>135000</v>
      </c>
      <c r="F363" s="61">
        <f t="shared" si="188"/>
        <v>150000</v>
      </c>
      <c r="G363" s="61">
        <f t="shared" si="184"/>
        <v>0</v>
      </c>
      <c r="H363" s="61">
        <v>18325</v>
      </c>
      <c r="I363" s="61">
        <f t="shared" si="190"/>
        <v>18325</v>
      </c>
      <c r="J363" s="9">
        <f t="shared" si="189"/>
        <v>0</v>
      </c>
      <c r="K363" s="45" t="s">
        <v>31</v>
      </c>
      <c r="L363" s="47">
        <v>295000</v>
      </c>
      <c r="M363" s="47">
        <v>150000</v>
      </c>
      <c r="N363" s="47">
        <v>135000</v>
      </c>
      <c r="O363" s="47">
        <v>0</v>
      </c>
    </row>
    <row r="364" spans="1:16" ht="16.5">
      <c r="A364" s="58" t="str">
        <f t="shared" si="185"/>
        <v>I55S</v>
      </c>
      <c r="B364" s="116" t="s">
        <v>4</v>
      </c>
      <c r="C364" s="118">
        <v>233614</v>
      </c>
      <c r="D364" s="118">
        <f t="shared" si="186"/>
        <v>0</v>
      </c>
      <c r="E364" s="118">
        <f>+N364</f>
        <v>0</v>
      </c>
      <c r="F364" s="118">
        <f t="shared" si="188"/>
        <v>0</v>
      </c>
      <c r="G364" s="118">
        <f t="shared" si="184"/>
        <v>0</v>
      </c>
      <c r="H364" s="118">
        <v>233614</v>
      </c>
      <c r="I364" s="118">
        <f>+C364+D364-E364-F364+G364</f>
        <v>233614</v>
      </c>
      <c r="J364" s="9">
        <f t="shared" si="189"/>
        <v>0</v>
      </c>
      <c r="K364" s="45" t="s">
        <v>84</v>
      </c>
      <c r="L364" s="47">
        <v>0</v>
      </c>
      <c r="M364" s="47">
        <v>0</v>
      </c>
      <c r="N364" s="47">
        <v>0</v>
      </c>
      <c r="O364" s="47">
        <v>0</v>
      </c>
    </row>
    <row r="365" spans="1:16" ht="16.5">
      <c r="A365" s="58" t="str">
        <f t="shared" si="185"/>
        <v>I73X</v>
      </c>
      <c r="B365" s="116" t="s">
        <v>4</v>
      </c>
      <c r="C365" s="118">
        <v>249769</v>
      </c>
      <c r="D365" s="118">
        <f t="shared" si="186"/>
        <v>0</v>
      </c>
      <c r="E365" s="118">
        <f>+N365</f>
        <v>0</v>
      </c>
      <c r="F365" s="118">
        <f t="shared" si="188"/>
        <v>0</v>
      </c>
      <c r="G365" s="118">
        <f t="shared" si="184"/>
        <v>0</v>
      </c>
      <c r="H365" s="118">
        <v>249769</v>
      </c>
      <c r="I365" s="118">
        <f t="shared" ref="I365:I367" si="191">+C365+D365-E365-F365+G365</f>
        <v>249769</v>
      </c>
      <c r="J365" s="9">
        <f t="shared" si="189"/>
        <v>0</v>
      </c>
      <c r="K365" s="45" t="s">
        <v>83</v>
      </c>
      <c r="L365" s="47">
        <v>0</v>
      </c>
      <c r="M365" s="47">
        <v>0</v>
      </c>
      <c r="N365" s="47">
        <v>0</v>
      </c>
      <c r="O365" s="47">
        <v>0</v>
      </c>
    </row>
    <row r="366" spans="1:16" s="188" customFormat="1" ht="16.5">
      <c r="A366" s="58" t="str">
        <f t="shared" si="185"/>
        <v>Grace</v>
      </c>
      <c r="B366" s="59" t="s">
        <v>2</v>
      </c>
      <c r="C366" s="184">
        <v>20750</v>
      </c>
      <c r="D366" s="61">
        <f t="shared" si="186"/>
        <v>0</v>
      </c>
      <c r="E366" s="61">
        <f t="shared" ref="E366" si="192">+N366</f>
        <v>9500</v>
      </c>
      <c r="F366" s="61">
        <f t="shared" si="188"/>
        <v>0</v>
      </c>
      <c r="G366" s="61">
        <f t="shared" si="184"/>
        <v>0</v>
      </c>
      <c r="H366" s="184">
        <v>11250</v>
      </c>
      <c r="I366" s="184">
        <f t="shared" si="191"/>
        <v>11250</v>
      </c>
      <c r="J366" s="185">
        <f>I366-H366</f>
        <v>0</v>
      </c>
      <c r="K366" s="186" t="s">
        <v>143</v>
      </c>
      <c r="L366" s="187">
        <v>0</v>
      </c>
      <c r="M366" s="187">
        <v>0</v>
      </c>
      <c r="N366" s="47">
        <v>9500</v>
      </c>
      <c r="O366" s="187">
        <v>0</v>
      </c>
    </row>
    <row r="367" spans="1:16" ht="16.5">
      <c r="A367" s="58" t="str">
        <f t="shared" si="185"/>
        <v>Hurielle</v>
      </c>
      <c r="B367" s="98" t="s">
        <v>154</v>
      </c>
      <c r="C367" s="61">
        <v>153550</v>
      </c>
      <c r="D367" s="61">
        <f t="shared" si="186"/>
        <v>628000</v>
      </c>
      <c r="E367" s="61">
        <f>+N367</f>
        <v>638695</v>
      </c>
      <c r="F367" s="61">
        <f>+M367</f>
        <v>103500</v>
      </c>
      <c r="G367" s="61">
        <f t="shared" si="184"/>
        <v>0</v>
      </c>
      <c r="H367" s="61">
        <v>39355</v>
      </c>
      <c r="I367" s="61">
        <f t="shared" si="191"/>
        <v>39355</v>
      </c>
      <c r="J367" s="9">
        <f t="shared" ref="J367" si="193">I367-H367</f>
        <v>0</v>
      </c>
      <c r="K367" s="45" t="s">
        <v>197</v>
      </c>
      <c r="L367" s="47">
        <v>628000</v>
      </c>
      <c r="M367" s="47">
        <v>103500</v>
      </c>
      <c r="N367" s="47">
        <v>638695</v>
      </c>
      <c r="O367" s="47">
        <v>0</v>
      </c>
    </row>
    <row r="368" spans="1:16" s="188" customFormat="1" ht="16.5">
      <c r="A368" s="58" t="str">
        <f t="shared" si="185"/>
        <v>Merveille</v>
      </c>
      <c r="B368" s="59" t="s">
        <v>2</v>
      </c>
      <c r="C368" s="184">
        <v>70300</v>
      </c>
      <c r="D368" s="61">
        <f t="shared" si="186"/>
        <v>3000</v>
      </c>
      <c r="E368" s="61">
        <f t="shared" ref="E368:E371" si="194">+N368</f>
        <v>29000</v>
      </c>
      <c r="F368" s="61">
        <f t="shared" ref="F368:F371" si="195">+M368</f>
        <v>30000</v>
      </c>
      <c r="G368" s="61">
        <f t="shared" ref="G368:G371" si="196">+O368</f>
        <v>0</v>
      </c>
      <c r="H368" s="184">
        <v>14300</v>
      </c>
      <c r="I368" s="184">
        <f t="shared" ref="I368:I369" si="197">+C368+D368-E368-F368+G368</f>
        <v>14300</v>
      </c>
      <c r="J368" s="185">
        <f>I368-H368</f>
        <v>0</v>
      </c>
      <c r="K368" s="186" t="s">
        <v>93</v>
      </c>
      <c r="L368" s="187">
        <v>3000</v>
      </c>
      <c r="M368" s="187">
        <v>30000</v>
      </c>
      <c r="N368" s="47">
        <v>29000</v>
      </c>
      <c r="O368" s="187">
        <v>0</v>
      </c>
    </row>
    <row r="369" spans="1:15" ht="16.5">
      <c r="A369" s="58" t="str">
        <f t="shared" si="185"/>
        <v>P29</v>
      </c>
      <c r="B369" s="98" t="s">
        <v>4</v>
      </c>
      <c r="C369" s="61">
        <v>99100</v>
      </c>
      <c r="D369" s="61">
        <f t="shared" si="186"/>
        <v>224000</v>
      </c>
      <c r="E369" s="61">
        <f t="shared" si="194"/>
        <v>222500</v>
      </c>
      <c r="F369" s="61">
        <f t="shared" si="195"/>
        <v>0</v>
      </c>
      <c r="G369" s="61">
        <f t="shared" si="196"/>
        <v>0</v>
      </c>
      <c r="H369" s="61">
        <v>100600</v>
      </c>
      <c r="I369" s="61">
        <f t="shared" si="197"/>
        <v>100600</v>
      </c>
      <c r="J369" s="9">
        <f t="shared" ref="J369:J370" si="198">I369-H369</f>
        <v>0</v>
      </c>
      <c r="K369" s="45" t="s">
        <v>29</v>
      </c>
      <c r="L369" s="47">
        <v>224000</v>
      </c>
      <c r="M369" s="47">
        <v>0</v>
      </c>
      <c r="N369" s="47">
        <v>222500</v>
      </c>
      <c r="O369" s="47">
        <v>0</v>
      </c>
    </row>
    <row r="370" spans="1:15" ht="16.5">
      <c r="A370" s="58" t="str">
        <f t="shared" si="185"/>
        <v>T73</v>
      </c>
      <c r="B370" s="59" t="s">
        <v>4</v>
      </c>
      <c r="C370" s="61">
        <v>13900</v>
      </c>
      <c r="D370" s="61">
        <f>+L370</f>
        <v>672000</v>
      </c>
      <c r="E370" s="61">
        <f t="shared" si="194"/>
        <v>477600</v>
      </c>
      <c r="F370" s="61">
        <f t="shared" si="195"/>
        <v>0</v>
      </c>
      <c r="G370" s="61">
        <f t="shared" si="196"/>
        <v>0</v>
      </c>
      <c r="H370" s="61">
        <v>208300</v>
      </c>
      <c r="I370" s="61">
        <f>+C370+D370-E370-F370+G370</f>
        <v>208300</v>
      </c>
      <c r="J370" s="9">
        <f t="shared" si="198"/>
        <v>0</v>
      </c>
      <c r="K370" s="45" t="s">
        <v>268</v>
      </c>
      <c r="L370" s="47">
        <v>672000</v>
      </c>
      <c r="M370" s="47">
        <v>0</v>
      </c>
      <c r="N370" s="187">
        <v>477600</v>
      </c>
      <c r="O370" s="47">
        <v>0</v>
      </c>
    </row>
    <row r="371" spans="1:15" ht="16.5">
      <c r="A371" s="58" t="str">
        <f t="shared" si="185"/>
        <v>Tiffany</v>
      </c>
      <c r="B371" s="59" t="s">
        <v>2</v>
      </c>
      <c r="C371" s="61">
        <v>-3324</v>
      </c>
      <c r="D371" s="61">
        <f t="shared" ref="D371" si="199">+L371</f>
        <v>40000</v>
      </c>
      <c r="E371" s="61">
        <f t="shared" si="194"/>
        <v>10000</v>
      </c>
      <c r="F371" s="61">
        <f t="shared" si="195"/>
        <v>0</v>
      </c>
      <c r="G371" s="61">
        <f t="shared" si="196"/>
        <v>0</v>
      </c>
      <c r="H371" s="61">
        <v>26676</v>
      </c>
      <c r="I371" s="61">
        <f>+C371+D371-E371-F371+G371</f>
        <v>26676</v>
      </c>
      <c r="J371" s="9">
        <f>I371-H371</f>
        <v>0</v>
      </c>
      <c r="K371" s="45" t="s">
        <v>113</v>
      </c>
      <c r="L371" s="47">
        <v>40000</v>
      </c>
      <c r="M371" s="47">
        <v>0</v>
      </c>
      <c r="N371" s="47">
        <v>10000</v>
      </c>
      <c r="O371" s="47">
        <v>0</v>
      </c>
    </row>
    <row r="372" spans="1:15" ht="16.5">
      <c r="A372" s="10" t="s">
        <v>50</v>
      </c>
      <c r="B372" s="11"/>
      <c r="C372" s="12">
        <f t="shared" ref="C372:I372" si="200">SUM(C357:C371)</f>
        <v>17554032</v>
      </c>
      <c r="D372" s="57">
        <f t="shared" si="200"/>
        <v>6829500</v>
      </c>
      <c r="E372" s="57">
        <f t="shared" si="200"/>
        <v>8414912</v>
      </c>
      <c r="F372" s="57">
        <f t="shared" si="200"/>
        <v>6829500</v>
      </c>
      <c r="G372" s="57">
        <f t="shared" si="200"/>
        <v>0</v>
      </c>
      <c r="H372" s="57">
        <f t="shared" si="200"/>
        <v>9139120</v>
      </c>
      <c r="I372" s="57">
        <f t="shared" si="200"/>
        <v>9139120</v>
      </c>
      <c r="J372" s="9">
        <f>I372-H372</f>
        <v>0</v>
      </c>
      <c r="K372" s="3"/>
      <c r="L372" s="47">
        <f>+SUM(L357:L371)</f>
        <v>6829500</v>
      </c>
      <c r="M372" s="47">
        <f>+SUM(M357:M371)</f>
        <v>6829500</v>
      </c>
      <c r="N372" s="47">
        <f>+SUM(N357:N371)</f>
        <v>8414912</v>
      </c>
      <c r="O372" s="47">
        <f>+SUM(O357:O371)</f>
        <v>0</v>
      </c>
    </row>
    <row r="373" spans="1:15" ht="16.5">
      <c r="A373" s="10"/>
      <c r="B373" s="11"/>
      <c r="C373" s="12"/>
      <c r="D373" s="13"/>
      <c r="E373" s="12"/>
      <c r="F373" s="13"/>
      <c r="G373" s="12"/>
      <c r="H373" s="12"/>
      <c r="I373" s="134" t="b">
        <f>I372=D375</f>
        <v>1</v>
      </c>
      <c r="J373" s="9">
        <f>H372-I372</f>
        <v>0</v>
      </c>
      <c r="L373" s="5"/>
      <c r="M373" s="5"/>
      <c r="N373" s="5"/>
      <c r="O373" s="5"/>
    </row>
    <row r="374" spans="1:15" ht="16.5">
      <c r="A374" s="10" t="s">
        <v>276</v>
      </c>
      <c r="B374" s="11" t="s">
        <v>183</v>
      </c>
      <c r="C374" s="12" t="s">
        <v>184</v>
      </c>
      <c r="D374" s="12" t="s">
        <v>277</v>
      </c>
      <c r="E374" s="12" t="s">
        <v>51</v>
      </c>
      <c r="F374" s="12"/>
      <c r="G374" s="12">
        <f>+D372-F372</f>
        <v>0</v>
      </c>
      <c r="H374" s="12"/>
      <c r="I374" s="12"/>
    </row>
    <row r="375" spans="1:15" ht="16.5">
      <c r="A375" s="14">
        <f>C372</f>
        <v>17554032</v>
      </c>
      <c r="B375" s="15">
        <f>G372</f>
        <v>0</v>
      </c>
      <c r="C375" s="12">
        <f>E372</f>
        <v>8414912</v>
      </c>
      <c r="D375" s="12">
        <f>A375+B375-C375</f>
        <v>9139120</v>
      </c>
      <c r="E375" s="13">
        <f>I372-D375</f>
        <v>0</v>
      </c>
      <c r="F375" s="12"/>
      <c r="G375" s="12"/>
      <c r="H375" s="12"/>
      <c r="I375" s="12"/>
    </row>
    <row r="376" spans="1:15" ht="16.5">
      <c r="A376" s="14"/>
      <c r="B376" s="15"/>
      <c r="C376" s="12"/>
      <c r="D376" s="12"/>
      <c r="E376" s="13"/>
      <c r="F376" s="12"/>
      <c r="G376" s="12"/>
      <c r="H376" s="12"/>
      <c r="I376" s="12"/>
    </row>
    <row r="377" spans="1:15">
      <c r="A377" s="16" t="s">
        <v>52</v>
      </c>
      <c r="B377" s="16"/>
      <c r="C377" s="16"/>
      <c r="D377" s="17"/>
      <c r="E377" s="17"/>
      <c r="F377" s="17"/>
      <c r="G377" s="17"/>
      <c r="H377" s="17"/>
      <c r="I377" s="17"/>
    </row>
    <row r="378" spans="1:15">
      <c r="A378" s="18" t="s">
        <v>286</v>
      </c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5">
      <c r="A379" s="19"/>
      <c r="B379" s="17"/>
      <c r="C379" s="20"/>
      <c r="D379" s="20"/>
      <c r="E379" s="20"/>
      <c r="F379" s="20"/>
      <c r="G379" s="20"/>
      <c r="H379" s="17"/>
      <c r="I379" s="17"/>
    </row>
    <row r="380" spans="1:15" ht="45" customHeight="1">
      <c r="A380" s="169" t="s">
        <v>53</v>
      </c>
      <c r="B380" s="171" t="s">
        <v>54</v>
      </c>
      <c r="C380" s="173" t="s">
        <v>279</v>
      </c>
      <c r="D380" s="174" t="s">
        <v>55</v>
      </c>
      <c r="E380" s="175"/>
      <c r="F380" s="175"/>
      <c r="G380" s="176"/>
      <c r="H380" s="177" t="s">
        <v>56</v>
      </c>
      <c r="I380" s="165" t="s">
        <v>57</v>
      </c>
      <c r="J380" s="210"/>
    </row>
    <row r="381" spans="1:15" ht="28.5" customHeight="1">
      <c r="A381" s="170"/>
      <c r="B381" s="172"/>
      <c r="C381" s="22"/>
      <c r="D381" s="21" t="s">
        <v>24</v>
      </c>
      <c r="E381" s="21" t="s">
        <v>25</v>
      </c>
      <c r="F381" s="22" t="s">
        <v>123</v>
      </c>
      <c r="G381" s="21" t="s">
        <v>58</v>
      </c>
      <c r="H381" s="178"/>
      <c r="I381" s="166"/>
      <c r="J381" s="168" t="s">
        <v>278</v>
      </c>
      <c r="K381" s="143"/>
    </row>
    <row r="382" spans="1:15">
      <c r="A382" s="23"/>
      <c r="B382" s="24" t="s">
        <v>59</v>
      </c>
      <c r="C382" s="25"/>
      <c r="D382" s="25"/>
      <c r="E382" s="25"/>
      <c r="F382" s="25"/>
      <c r="G382" s="25"/>
      <c r="H382" s="25"/>
      <c r="I382" s="26"/>
      <c r="J382" s="168"/>
      <c r="K382" s="143"/>
    </row>
    <row r="383" spans="1:15">
      <c r="A383" s="122" t="s">
        <v>115</v>
      </c>
      <c r="B383" s="127" t="s">
        <v>47</v>
      </c>
      <c r="C383" s="32">
        <f>+C360</f>
        <v>89205</v>
      </c>
      <c r="D383" s="31"/>
      <c r="E383" s="32">
        <f>+D360</f>
        <v>337000</v>
      </c>
      <c r="F383" s="32"/>
      <c r="G383" s="32"/>
      <c r="H383" s="55">
        <f>+F360</f>
        <v>30000</v>
      </c>
      <c r="I383" s="32">
        <f>+E360</f>
        <v>350160</v>
      </c>
      <c r="J383" s="30">
        <f t="shared" ref="J383:J386" si="201">+SUM(C383:G383)-(H383+I383)</f>
        <v>46045</v>
      </c>
      <c r="K383" s="144" t="b">
        <f t="shared" ref="K383:K394" si="202">J383=I360</f>
        <v>1</v>
      </c>
    </row>
    <row r="384" spans="1:15">
      <c r="A384" s="122" t="str">
        <f>+A383</f>
        <v>FEVRIER</v>
      </c>
      <c r="B384" s="127" t="s">
        <v>269</v>
      </c>
      <c r="C384" s="32">
        <f t="shared" ref="C384:C386" si="203">+C361</f>
        <v>18500</v>
      </c>
      <c r="D384" s="31"/>
      <c r="E384" s="32">
        <f t="shared" ref="E384:E386" si="204">+D361</f>
        <v>287000</v>
      </c>
      <c r="F384" s="32"/>
      <c r="G384" s="32"/>
      <c r="H384" s="55">
        <f t="shared" ref="H384:H386" si="205">+F361</f>
        <v>0</v>
      </c>
      <c r="I384" s="32">
        <f t="shared" ref="I384:I386" si="206">+E361</f>
        <v>198000</v>
      </c>
      <c r="J384" s="30">
        <f t="shared" si="201"/>
        <v>107500</v>
      </c>
      <c r="K384" s="144" t="b">
        <f t="shared" si="202"/>
        <v>1</v>
      </c>
    </row>
    <row r="385" spans="1:11">
      <c r="A385" s="122" t="str">
        <f t="shared" ref="A385:A394" si="207">+A384</f>
        <v>FEVRIER</v>
      </c>
      <c r="B385" s="127" t="s">
        <v>255</v>
      </c>
      <c r="C385" s="32">
        <f t="shared" si="203"/>
        <v>10650</v>
      </c>
      <c r="D385" s="31"/>
      <c r="E385" s="32">
        <f t="shared" si="204"/>
        <v>30000</v>
      </c>
      <c r="F385" s="32"/>
      <c r="G385" s="32"/>
      <c r="H385" s="55">
        <f t="shared" si="205"/>
        <v>0</v>
      </c>
      <c r="I385" s="32">
        <f t="shared" si="206"/>
        <v>32000</v>
      </c>
      <c r="J385" s="30">
        <f t="shared" si="201"/>
        <v>8650</v>
      </c>
      <c r="K385" s="144" t="b">
        <f t="shared" si="202"/>
        <v>1</v>
      </c>
    </row>
    <row r="386" spans="1:11">
      <c r="A386" s="122" t="str">
        <f t="shared" si="207"/>
        <v>FEVRIER</v>
      </c>
      <c r="B386" s="127" t="s">
        <v>31</v>
      </c>
      <c r="C386" s="32">
        <f t="shared" si="203"/>
        <v>8325</v>
      </c>
      <c r="D386" s="31"/>
      <c r="E386" s="32">
        <f t="shared" si="204"/>
        <v>295000</v>
      </c>
      <c r="F386" s="32"/>
      <c r="G386" s="32"/>
      <c r="H386" s="55">
        <f t="shared" si="205"/>
        <v>150000</v>
      </c>
      <c r="I386" s="32">
        <f t="shared" si="206"/>
        <v>135000</v>
      </c>
      <c r="J386" s="30">
        <f t="shared" si="201"/>
        <v>18325</v>
      </c>
      <c r="K386" s="144" t="b">
        <f t="shared" si="202"/>
        <v>1</v>
      </c>
    </row>
    <row r="387" spans="1:11">
      <c r="A387" s="122" t="str">
        <f t="shared" si="207"/>
        <v>FEVRIER</v>
      </c>
      <c r="B387" s="129" t="s">
        <v>84</v>
      </c>
      <c r="C387" s="120">
        <f>+C364</f>
        <v>233614</v>
      </c>
      <c r="D387" s="123"/>
      <c r="E387" s="120">
        <f>+D364</f>
        <v>0</v>
      </c>
      <c r="F387" s="137"/>
      <c r="G387" s="137"/>
      <c r="H387" s="155">
        <f>+F364</f>
        <v>0</v>
      </c>
      <c r="I387" s="120">
        <f>+E364</f>
        <v>0</v>
      </c>
      <c r="J387" s="121">
        <f>+SUM(C387:G387)-(H387+I387)</f>
        <v>233614</v>
      </c>
      <c r="K387" s="144" t="b">
        <f t="shared" si="202"/>
        <v>1</v>
      </c>
    </row>
    <row r="388" spans="1:11">
      <c r="A388" s="122" t="str">
        <f t="shared" si="207"/>
        <v>FEVRIER</v>
      </c>
      <c r="B388" s="129" t="s">
        <v>83</v>
      </c>
      <c r="C388" s="120">
        <f>+C365</f>
        <v>249769</v>
      </c>
      <c r="D388" s="123"/>
      <c r="E388" s="120">
        <f>+D365</f>
        <v>0</v>
      </c>
      <c r="F388" s="137"/>
      <c r="G388" s="137"/>
      <c r="H388" s="155">
        <f>+F365</f>
        <v>0</v>
      </c>
      <c r="I388" s="120">
        <f>+E365</f>
        <v>0</v>
      </c>
      <c r="J388" s="121">
        <f t="shared" ref="J388:J394" si="208">+SUM(C388:G388)-(H388+I388)</f>
        <v>249769</v>
      </c>
      <c r="K388" s="144" t="b">
        <f t="shared" si="202"/>
        <v>1</v>
      </c>
    </row>
    <row r="389" spans="1:11">
      <c r="A389" s="122" t="str">
        <f t="shared" si="207"/>
        <v>FEVRIER</v>
      </c>
      <c r="B389" s="127" t="s">
        <v>143</v>
      </c>
      <c r="C389" s="32">
        <f>+C366</f>
        <v>20750</v>
      </c>
      <c r="D389" s="31"/>
      <c r="E389" s="32">
        <f>+D366</f>
        <v>0</v>
      </c>
      <c r="F389" s="32"/>
      <c r="G389" s="104"/>
      <c r="H389" s="55">
        <f>+F366</f>
        <v>0</v>
      </c>
      <c r="I389" s="32">
        <f>+E366</f>
        <v>9500</v>
      </c>
      <c r="J389" s="30">
        <f t="shared" si="208"/>
        <v>11250</v>
      </c>
      <c r="K389" s="144" t="b">
        <f t="shared" si="202"/>
        <v>1</v>
      </c>
    </row>
    <row r="390" spans="1:11">
      <c r="A390" s="122" t="str">
        <f t="shared" si="207"/>
        <v>FEVRIER</v>
      </c>
      <c r="B390" s="127" t="s">
        <v>197</v>
      </c>
      <c r="C390" s="32">
        <f>+C367</f>
        <v>153550</v>
      </c>
      <c r="D390" s="31"/>
      <c r="E390" s="32">
        <f>+D367</f>
        <v>628000</v>
      </c>
      <c r="F390" s="32"/>
      <c r="G390" s="104"/>
      <c r="H390" s="55">
        <f>+F367</f>
        <v>103500</v>
      </c>
      <c r="I390" s="32">
        <f>+E367</f>
        <v>638695</v>
      </c>
      <c r="J390" s="30">
        <f t="shared" si="208"/>
        <v>39355</v>
      </c>
      <c r="K390" s="144" t="b">
        <f t="shared" si="202"/>
        <v>1</v>
      </c>
    </row>
    <row r="391" spans="1:11">
      <c r="A391" s="122" t="str">
        <f>A390</f>
        <v>FEVRIER</v>
      </c>
      <c r="B391" s="127" t="s">
        <v>93</v>
      </c>
      <c r="C391" s="32">
        <f t="shared" ref="C391:C394" si="209">+C368</f>
        <v>70300</v>
      </c>
      <c r="D391" s="31"/>
      <c r="E391" s="32">
        <f t="shared" ref="E391:E394" si="210">+D368</f>
        <v>3000</v>
      </c>
      <c r="F391" s="32"/>
      <c r="G391" s="104"/>
      <c r="H391" s="55">
        <f t="shared" ref="H391:H394" si="211">+F368</f>
        <v>30000</v>
      </c>
      <c r="I391" s="32">
        <f t="shared" ref="I391:I394" si="212">+E368</f>
        <v>29000</v>
      </c>
      <c r="J391" s="30">
        <f t="shared" si="208"/>
        <v>14300</v>
      </c>
      <c r="K391" s="144" t="b">
        <f t="shared" si="202"/>
        <v>1</v>
      </c>
    </row>
    <row r="392" spans="1:11">
      <c r="A392" s="122" t="str">
        <f t="shared" si="207"/>
        <v>FEVRIER</v>
      </c>
      <c r="B392" s="127" t="s">
        <v>29</v>
      </c>
      <c r="C392" s="32">
        <f t="shared" si="209"/>
        <v>99100</v>
      </c>
      <c r="D392" s="31"/>
      <c r="E392" s="32">
        <f t="shared" si="210"/>
        <v>224000</v>
      </c>
      <c r="F392" s="32"/>
      <c r="G392" s="104"/>
      <c r="H392" s="55">
        <f t="shared" si="211"/>
        <v>0</v>
      </c>
      <c r="I392" s="32">
        <f t="shared" si="212"/>
        <v>222500</v>
      </c>
      <c r="J392" s="30">
        <f t="shared" si="208"/>
        <v>100600</v>
      </c>
      <c r="K392" s="144" t="b">
        <f t="shared" si="202"/>
        <v>1</v>
      </c>
    </row>
    <row r="393" spans="1:11">
      <c r="A393" s="122" t="str">
        <f t="shared" si="207"/>
        <v>FEVRIER</v>
      </c>
      <c r="B393" s="128" t="s">
        <v>268</v>
      </c>
      <c r="C393" s="32">
        <f t="shared" si="209"/>
        <v>13900</v>
      </c>
      <c r="D393" s="119"/>
      <c r="E393" s="32">
        <f t="shared" si="210"/>
        <v>672000</v>
      </c>
      <c r="F393" s="51"/>
      <c r="G393" s="138"/>
      <c r="H393" s="55">
        <f t="shared" si="211"/>
        <v>0</v>
      </c>
      <c r="I393" s="32">
        <f t="shared" si="212"/>
        <v>477600</v>
      </c>
      <c r="J393" s="30">
        <f t="shared" si="208"/>
        <v>208300</v>
      </c>
      <c r="K393" s="144" t="b">
        <f t="shared" si="202"/>
        <v>1</v>
      </c>
    </row>
    <row r="394" spans="1:11">
      <c r="A394" s="122" t="str">
        <f t="shared" si="207"/>
        <v>FEVRIER</v>
      </c>
      <c r="B394" s="128" t="s">
        <v>113</v>
      </c>
      <c r="C394" s="32">
        <f t="shared" si="209"/>
        <v>-3324</v>
      </c>
      <c r="D394" s="119"/>
      <c r="E394" s="32">
        <f t="shared" si="210"/>
        <v>40000</v>
      </c>
      <c r="F394" s="51"/>
      <c r="G394" s="138"/>
      <c r="H394" s="55">
        <f t="shared" si="211"/>
        <v>0</v>
      </c>
      <c r="I394" s="32">
        <f t="shared" si="212"/>
        <v>10000</v>
      </c>
      <c r="J394" s="30">
        <f t="shared" si="208"/>
        <v>26676</v>
      </c>
      <c r="K394" s="144" t="b">
        <f t="shared" si="202"/>
        <v>1</v>
      </c>
    </row>
    <row r="395" spans="1:11">
      <c r="A395" s="34" t="s">
        <v>60</v>
      </c>
      <c r="B395" s="35"/>
      <c r="C395" s="35"/>
      <c r="D395" s="35"/>
      <c r="E395" s="35"/>
      <c r="F395" s="35"/>
      <c r="G395" s="35"/>
      <c r="H395" s="35"/>
      <c r="I395" s="35"/>
      <c r="J395" s="36"/>
      <c r="K395" s="143"/>
    </row>
    <row r="396" spans="1:11">
      <c r="A396" s="122" t="str">
        <f>A394</f>
        <v>FEVRIER</v>
      </c>
      <c r="B396" s="37" t="s">
        <v>61</v>
      </c>
      <c r="C396" s="38">
        <f>+C359</f>
        <v>899588</v>
      </c>
      <c r="D396" s="49"/>
      <c r="E396" s="49">
        <f>D359</f>
        <v>4313500</v>
      </c>
      <c r="F396" s="49"/>
      <c r="G396" s="125"/>
      <c r="H396" s="51">
        <f>+F359</f>
        <v>2516000</v>
      </c>
      <c r="I396" s="126">
        <f>+E359</f>
        <v>1771593</v>
      </c>
      <c r="J396" s="30">
        <f>+SUM(C396:G396)-(H396+I396)</f>
        <v>925495</v>
      </c>
      <c r="K396" s="144" t="b">
        <f>J396=I359</f>
        <v>1</v>
      </c>
    </row>
    <row r="397" spans="1:11">
      <c r="A397" s="43" t="s">
        <v>62</v>
      </c>
      <c r="B397" s="24"/>
      <c r="C397" s="35"/>
      <c r="D397" s="24"/>
      <c r="E397" s="24"/>
      <c r="F397" s="24"/>
      <c r="G397" s="24"/>
      <c r="H397" s="24"/>
      <c r="I397" s="24"/>
      <c r="J397" s="36"/>
      <c r="K397" s="143"/>
    </row>
    <row r="398" spans="1:11">
      <c r="A398" s="122" t="str">
        <f>+A396</f>
        <v>FEVRIER</v>
      </c>
      <c r="B398" s="37" t="s">
        <v>24</v>
      </c>
      <c r="C398" s="125">
        <f>+C357</f>
        <v>9351552</v>
      </c>
      <c r="D398" s="132">
        <f>+G357</f>
        <v>0</v>
      </c>
      <c r="E398" s="49"/>
      <c r="F398" s="49"/>
      <c r="G398" s="49"/>
      <c r="H398" s="51">
        <f>+F357</f>
        <v>4000000</v>
      </c>
      <c r="I398" s="53">
        <f>+E357</f>
        <v>433345</v>
      </c>
      <c r="J398" s="30">
        <f>+SUM(C398:G398)-(H398+I398)</f>
        <v>4918207</v>
      </c>
      <c r="K398" s="144" t="b">
        <f>+J398=I357</f>
        <v>1</v>
      </c>
    </row>
    <row r="399" spans="1:11">
      <c r="A399" s="122" t="str">
        <f t="shared" ref="A399" si="213">+A398</f>
        <v>FEVRIER</v>
      </c>
      <c r="B399" s="37" t="s">
        <v>64</v>
      </c>
      <c r="C399" s="125">
        <f>+C358</f>
        <v>6338553</v>
      </c>
      <c r="D399" s="49">
        <f>+G358</f>
        <v>0</v>
      </c>
      <c r="E399" s="48"/>
      <c r="F399" s="48"/>
      <c r="G399" s="48"/>
      <c r="H399" s="32">
        <f>+F358</f>
        <v>0</v>
      </c>
      <c r="I399" s="50">
        <f>+E358</f>
        <v>4107519</v>
      </c>
      <c r="J399" s="30">
        <f>SUM(C399:G399)-(H399+I399)</f>
        <v>2231034</v>
      </c>
      <c r="K399" s="144" t="b">
        <f>+J399=I358</f>
        <v>1</v>
      </c>
    </row>
    <row r="400" spans="1:11" ht="15.75">
      <c r="C400" s="141">
        <f>SUM(C383:C399)</f>
        <v>17554032</v>
      </c>
      <c r="I400" s="140">
        <f>SUM(I383:I399)</f>
        <v>8414912</v>
      </c>
      <c r="J400" s="105">
        <f>+SUM(J383:J399)</f>
        <v>9139120</v>
      </c>
      <c r="K400" s="5" t="b">
        <f>J400=I372</f>
        <v>1</v>
      </c>
    </row>
    <row r="401" spans="1:16" ht="15.75">
      <c r="C401" s="141"/>
      <c r="I401" s="140"/>
      <c r="J401" s="105"/>
    </row>
    <row r="402" spans="1:16" ht="15.75">
      <c r="A402" s="160"/>
      <c r="B402" s="160"/>
      <c r="C402" s="161"/>
      <c r="D402" s="160"/>
      <c r="E402" s="160"/>
      <c r="F402" s="160"/>
      <c r="G402" s="160"/>
      <c r="H402" s="160"/>
      <c r="I402" s="162"/>
      <c r="J402" s="163"/>
      <c r="K402" s="160"/>
      <c r="L402" s="164"/>
      <c r="M402" s="164"/>
      <c r="N402" s="164"/>
      <c r="O402" s="164"/>
      <c r="P402" s="160"/>
    </row>
    <row r="403" spans="1:16" ht="15.75" customHeight="1"/>
    <row r="404" spans="1:16" ht="15.75">
      <c r="A404" s="6" t="s">
        <v>36</v>
      </c>
      <c r="B404" s="6" t="s">
        <v>1</v>
      </c>
      <c r="C404" s="6">
        <v>44927</v>
      </c>
      <c r="D404" s="7" t="s">
        <v>37</v>
      </c>
      <c r="E404" s="7" t="s">
        <v>38</v>
      </c>
      <c r="F404" s="7" t="s">
        <v>39</v>
      </c>
      <c r="G404" s="7" t="s">
        <v>40</v>
      </c>
      <c r="H404" s="6">
        <v>44957</v>
      </c>
      <c r="I404" s="7" t="s">
        <v>41</v>
      </c>
      <c r="K404" s="45"/>
      <c r="L404" s="45" t="s">
        <v>42</v>
      </c>
      <c r="M404" s="45" t="s">
        <v>43</v>
      </c>
      <c r="N404" s="45" t="s">
        <v>44</v>
      </c>
      <c r="O404" s="45" t="s">
        <v>45</v>
      </c>
    </row>
    <row r="405" spans="1:16" ht="16.5">
      <c r="A405" s="58" t="str">
        <f>K405</f>
        <v>BCI</v>
      </c>
      <c r="B405" s="59" t="s">
        <v>46</v>
      </c>
      <c r="C405" s="61">
        <v>13524897</v>
      </c>
      <c r="D405" s="61">
        <f>+L405</f>
        <v>0</v>
      </c>
      <c r="E405" s="61">
        <f>+N405</f>
        <v>173345</v>
      </c>
      <c r="F405" s="61">
        <f>+M405</f>
        <v>4000000</v>
      </c>
      <c r="G405" s="61">
        <f t="shared" ref="G405:G420" si="214">+O405</f>
        <v>0</v>
      </c>
      <c r="H405" s="61">
        <v>9351552</v>
      </c>
      <c r="I405" s="61">
        <f>+C405+D405-E405-F405+G405</f>
        <v>9351552</v>
      </c>
      <c r="J405" s="9">
        <f>I405-H405</f>
        <v>0</v>
      </c>
      <c r="K405" s="45" t="s">
        <v>24</v>
      </c>
      <c r="L405" s="47">
        <v>0</v>
      </c>
      <c r="M405" s="47">
        <v>4000000</v>
      </c>
      <c r="N405" s="47">
        <v>173345</v>
      </c>
      <c r="O405" s="47">
        <v>0</v>
      </c>
    </row>
    <row r="406" spans="1:16" ht="16.5">
      <c r="A406" s="58" t="str">
        <f t="shared" ref="A406:A420" si="215">K406</f>
        <v>BCI-Sous Compte</v>
      </c>
      <c r="B406" s="59" t="s">
        <v>46</v>
      </c>
      <c r="C406" s="61">
        <v>2476363</v>
      </c>
      <c r="D406" s="61">
        <f t="shared" ref="D406:D418" si="216">+L406</f>
        <v>0</v>
      </c>
      <c r="E406" s="61">
        <f t="shared" ref="E406:E411" si="217">+N406</f>
        <v>4873189</v>
      </c>
      <c r="F406" s="61">
        <f t="shared" ref="F406:F414" si="218">+M406</f>
        <v>0</v>
      </c>
      <c r="G406" s="61">
        <f t="shared" si="214"/>
        <v>8735379</v>
      </c>
      <c r="H406" s="61">
        <v>6338553</v>
      </c>
      <c r="I406" s="61">
        <f>+C406+D406-E406-F406+G406</f>
        <v>6338553</v>
      </c>
      <c r="J406" s="9">
        <f t="shared" ref="J406:J413" si="219">I406-H406</f>
        <v>0</v>
      </c>
      <c r="K406" s="45" t="s">
        <v>148</v>
      </c>
      <c r="L406" s="46">
        <v>0</v>
      </c>
      <c r="M406" s="47">
        <v>0</v>
      </c>
      <c r="N406" s="47">
        <v>4873189</v>
      </c>
      <c r="O406" s="47">
        <v>8735379</v>
      </c>
    </row>
    <row r="407" spans="1:16" ht="16.5">
      <c r="A407" s="58" t="str">
        <f t="shared" si="215"/>
        <v>Caisse</v>
      </c>
      <c r="B407" s="59" t="s">
        <v>25</v>
      </c>
      <c r="C407" s="61">
        <v>1335599</v>
      </c>
      <c r="D407" s="61">
        <f t="shared" si="216"/>
        <v>4277000</v>
      </c>
      <c r="E407" s="61">
        <f t="shared" si="217"/>
        <v>2382011</v>
      </c>
      <c r="F407" s="61">
        <f t="shared" si="218"/>
        <v>2331000</v>
      </c>
      <c r="G407" s="61">
        <f t="shared" si="214"/>
        <v>0</v>
      </c>
      <c r="H407" s="61">
        <v>899588</v>
      </c>
      <c r="I407" s="61">
        <f>+C407+D407-E407-F407+G407</f>
        <v>899588</v>
      </c>
      <c r="J407" s="102">
        <f t="shared" si="219"/>
        <v>0</v>
      </c>
      <c r="K407" s="45" t="s">
        <v>25</v>
      </c>
      <c r="L407" s="47">
        <v>4277000</v>
      </c>
      <c r="M407" s="47">
        <v>2331000</v>
      </c>
      <c r="N407" s="47">
        <v>2382011</v>
      </c>
      <c r="O407" s="47">
        <v>0</v>
      </c>
    </row>
    <row r="408" spans="1:16" ht="16.5">
      <c r="A408" s="58" t="str">
        <f t="shared" si="215"/>
        <v>Crépin</v>
      </c>
      <c r="B408" s="59" t="s">
        <v>154</v>
      </c>
      <c r="C408" s="61">
        <v>89205</v>
      </c>
      <c r="D408" s="61">
        <f t="shared" si="216"/>
        <v>0</v>
      </c>
      <c r="E408" s="61">
        <f t="shared" si="217"/>
        <v>0</v>
      </c>
      <c r="F408" s="61">
        <f t="shared" si="218"/>
        <v>0</v>
      </c>
      <c r="G408" s="61">
        <f t="shared" si="214"/>
        <v>0</v>
      </c>
      <c r="H408" s="61">
        <v>89205</v>
      </c>
      <c r="I408" s="61">
        <f>+C408+D408-E408-F408+G408</f>
        <v>89205</v>
      </c>
      <c r="J408" s="9">
        <f t="shared" si="219"/>
        <v>0</v>
      </c>
      <c r="K408" s="45" t="s">
        <v>47</v>
      </c>
      <c r="L408" s="47">
        <v>0</v>
      </c>
      <c r="M408" s="47">
        <v>0</v>
      </c>
      <c r="N408" s="47">
        <v>0</v>
      </c>
      <c r="O408" s="47">
        <v>0</v>
      </c>
    </row>
    <row r="409" spans="1:16" ht="16.5">
      <c r="A409" s="58" t="str">
        <f t="shared" si="215"/>
        <v>D58</v>
      </c>
      <c r="B409" s="59" t="s">
        <v>4</v>
      </c>
      <c r="C409" s="61">
        <v>0</v>
      </c>
      <c r="D409" s="61">
        <f t="shared" si="216"/>
        <v>85000</v>
      </c>
      <c r="E409" s="61">
        <f t="shared" si="217"/>
        <v>66500</v>
      </c>
      <c r="F409" s="61">
        <f t="shared" si="218"/>
        <v>0</v>
      </c>
      <c r="G409" s="61">
        <f t="shared" si="214"/>
        <v>0</v>
      </c>
      <c r="H409" s="61">
        <v>18500</v>
      </c>
      <c r="I409" s="61">
        <f>+C409+D409-E409-F409+G409</f>
        <v>18500</v>
      </c>
      <c r="J409" s="9">
        <f t="shared" si="219"/>
        <v>0</v>
      </c>
      <c r="K409" s="45" t="s">
        <v>269</v>
      </c>
      <c r="L409" s="47">
        <v>85000</v>
      </c>
      <c r="M409" s="47">
        <v>0</v>
      </c>
      <c r="N409" s="47">
        <v>66500</v>
      </c>
      <c r="O409" s="47">
        <v>0</v>
      </c>
    </row>
    <row r="410" spans="1:16" ht="16.5">
      <c r="A410" s="58" t="str">
        <f t="shared" si="215"/>
        <v>Donald</v>
      </c>
      <c r="B410" s="59" t="s">
        <v>154</v>
      </c>
      <c r="C410" s="61">
        <v>236200</v>
      </c>
      <c r="D410" s="61">
        <f t="shared" si="216"/>
        <v>264000</v>
      </c>
      <c r="E410" s="61">
        <f t="shared" si="217"/>
        <v>279550</v>
      </c>
      <c r="F410" s="61">
        <f t="shared" si="218"/>
        <v>210000</v>
      </c>
      <c r="G410" s="61">
        <f t="shared" si="214"/>
        <v>0</v>
      </c>
      <c r="H410" s="61">
        <v>10650</v>
      </c>
      <c r="I410" s="61">
        <f t="shared" ref="I410:I411" si="220">+C410+D410-E410-F410+G410</f>
        <v>10650</v>
      </c>
      <c r="J410" s="9">
        <f t="shared" si="219"/>
        <v>0</v>
      </c>
      <c r="K410" s="45" t="s">
        <v>255</v>
      </c>
      <c r="L410" s="47">
        <v>264000</v>
      </c>
      <c r="M410" s="47">
        <v>210000</v>
      </c>
      <c r="N410" s="47">
        <v>279550</v>
      </c>
      <c r="O410" s="47">
        <v>0</v>
      </c>
    </row>
    <row r="411" spans="1:16" ht="16.5">
      <c r="A411" s="58" t="str">
        <f t="shared" si="215"/>
        <v>Evariste</v>
      </c>
      <c r="B411" s="59" t="s">
        <v>155</v>
      </c>
      <c r="C411" s="61">
        <v>11675</v>
      </c>
      <c r="D411" s="61">
        <f t="shared" si="216"/>
        <v>187000</v>
      </c>
      <c r="E411" s="61">
        <f t="shared" si="217"/>
        <v>190350</v>
      </c>
      <c r="F411" s="61">
        <f t="shared" si="218"/>
        <v>0</v>
      </c>
      <c r="G411" s="61">
        <f t="shared" si="214"/>
        <v>0</v>
      </c>
      <c r="H411" s="61">
        <v>8325</v>
      </c>
      <c r="I411" s="61">
        <f t="shared" si="220"/>
        <v>8325</v>
      </c>
      <c r="J411" s="9">
        <f t="shared" si="219"/>
        <v>0</v>
      </c>
      <c r="K411" s="45" t="s">
        <v>31</v>
      </c>
      <c r="L411" s="47">
        <v>187000</v>
      </c>
      <c r="M411" s="47">
        <v>0</v>
      </c>
      <c r="N411" s="47">
        <v>190350</v>
      </c>
      <c r="O411" s="47">
        <v>0</v>
      </c>
    </row>
    <row r="412" spans="1:16" ht="16.5">
      <c r="A412" s="58" t="str">
        <f t="shared" si="215"/>
        <v>I55S</v>
      </c>
      <c r="B412" s="116" t="s">
        <v>4</v>
      </c>
      <c r="C412" s="118">
        <v>233614</v>
      </c>
      <c r="D412" s="118">
        <f t="shared" si="216"/>
        <v>0</v>
      </c>
      <c r="E412" s="118">
        <f>+N412</f>
        <v>0</v>
      </c>
      <c r="F412" s="118">
        <f t="shared" si="218"/>
        <v>0</v>
      </c>
      <c r="G412" s="118">
        <f t="shared" si="214"/>
        <v>0</v>
      </c>
      <c r="H412" s="118">
        <v>233614</v>
      </c>
      <c r="I412" s="118">
        <f>+C412+D412-E412-F412+G412</f>
        <v>233614</v>
      </c>
      <c r="J412" s="9">
        <f t="shared" si="219"/>
        <v>0</v>
      </c>
      <c r="K412" s="45" t="s">
        <v>84</v>
      </c>
      <c r="L412" s="47">
        <v>0</v>
      </c>
      <c r="M412" s="47">
        <v>0</v>
      </c>
      <c r="N412" s="47">
        <v>0</v>
      </c>
      <c r="O412" s="47">
        <v>0</v>
      </c>
    </row>
    <row r="413" spans="1:16" ht="16.5">
      <c r="A413" s="58" t="str">
        <f t="shared" si="215"/>
        <v>I73X</v>
      </c>
      <c r="B413" s="116" t="s">
        <v>4</v>
      </c>
      <c r="C413" s="118">
        <v>249769</v>
      </c>
      <c r="D413" s="118">
        <f t="shared" si="216"/>
        <v>0</v>
      </c>
      <c r="E413" s="118">
        <f>+N413</f>
        <v>0</v>
      </c>
      <c r="F413" s="118">
        <f t="shared" si="218"/>
        <v>0</v>
      </c>
      <c r="G413" s="118">
        <f t="shared" si="214"/>
        <v>0</v>
      </c>
      <c r="H413" s="118">
        <v>249769</v>
      </c>
      <c r="I413" s="118">
        <f t="shared" ref="I413:I418" si="221">+C413+D413-E413-F413+G413</f>
        <v>249769</v>
      </c>
      <c r="J413" s="9">
        <f t="shared" si="219"/>
        <v>0</v>
      </c>
      <c r="K413" s="45" t="s">
        <v>83</v>
      </c>
      <c r="L413" s="47">
        <v>0</v>
      </c>
      <c r="M413" s="47">
        <v>0</v>
      </c>
      <c r="N413" s="47">
        <v>0</v>
      </c>
      <c r="O413" s="47">
        <v>0</v>
      </c>
    </row>
    <row r="414" spans="1:16" s="188" customFormat="1" ht="16.5">
      <c r="A414" s="58" t="str">
        <f t="shared" si="215"/>
        <v>Grace</v>
      </c>
      <c r="B414" s="59" t="s">
        <v>2</v>
      </c>
      <c r="C414" s="61">
        <v>11800</v>
      </c>
      <c r="D414" s="61">
        <f t="shared" si="216"/>
        <v>639000</v>
      </c>
      <c r="E414" s="61">
        <f t="shared" ref="E414" si="222">+N414</f>
        <v>437050</v>
      </c>
      <c r="F414" s="61">
        <f t="shared" si="218"/>
        <v>193000</v>
      </c>
      <c r="G414" s="61">
        <f t="shared" si="214"/>
        <v>0</v>
      </c>
      <c r="H414" s="184">
        <v>20750</v>
      </c>
      <c r="I414" s="184">
        <f t="shared" si="221"/>
        <v>20750</v>
      </c>
      <c r="J414" s="185">
        <f>I414-H414</f>
        <v>0</v>
      </c>
      <c r="K414" s="186" t="s">
        <v>143</v>
      </c>
      <c r="L414" s="187">
        <v>639000</v>
      </c>
      <c r="M414" s="187">
        <v>193000</v>
      </c>
      <c r="N414" s="47">
        <v>437050</v>
      </c>
      <c r="O414" s="187">
        <v>0</v>
      </c>
    </row>
    <row r="415" spans="1:16" ht="16.5">
      <c r="A415" s="58" t="str">
        <f t="shared" si="215"/>
        <v>Hurielle</v>
      </c>
      <c r="B415" s="98" t="s">
        <v>154</v>
      </c>
      <c r="C415" s="61">
        <v>18750</v>
      </c>
      <c r="D415" s="61">
        <f t="shared" si="216"/>
        <v>517000</v>
      </c>
      <c r="E415" s="61">
        <f>+N415</f>
        <v>335200</v>
      </c>
      <c r="F415" s="61">
        <f>+M415</f>
        <v>47000</v>
      </c>
      <c r="G415" s="61">
        <f t="shared" si="214"/>
        <v>0</v>
      </c>
      <c r="H415" s="61">
        <v>153550</v>
      </c>
      <c r="I415" s="61">
        <f t="shared" si="221"/>
        <v>153550</v>
      </c>
      <c r="J415" s="9">
        <f t="shared" ref="J415" si="223">I415-H415</f>
        <v>0</v>
      </c>
      <c r="K415" s="45" t="s">
        <v>197</v>
      </c>
      <c r="L415" s="47">
        <v>517000</v>
      </c>
      <c r="M415" s="47">
        <v>47000</v>
      </c>
      <c r="N415" s="47">
        <v>335200</v>
      </c>
      <c r="O415" s="47">
        <v>0</v>
      </c>
    </row>
    <row r="416" spans="1:16" ht="16.5">
      <c r="A416" s="58" t="str">
        <f t="shared" si="215"/>
        <v>Man Love</v>
      </c>
      <c r="B416" s="98" t="s">
        <v>154</v>
      </c>
      <c r="C416" s="61">
        <v>0</v>
      </c>
      <c r="D416" s="61">
        <f t="shared" si="216"/>
        <v>6000</v>
      </c>
      <c r="E416" s="61">
        <f>+N416</f>
        <v>6000</v>
      </c>
      <c r="F416" s="61">
        <f>+M416</f>
        <v>0</v>
      </c>
      <c r="G416" s="61"/>
      <c r="H416" s="61">
        <v>0</v>
      </c>
      <c r="I416" s="61">
        <v>0</v>
      </c>
      <c r="J416" s="9"/>
      <c r="K416" s="45" t="s">
        <v>270</v>
      </c>
      <c r="L416" s="47">
        <v>6000</v>
      </c>
      <c r="M416" s="47">
        <v>0</v>
      </c>
      <c r="N416" s="47">
        <v>6000</v>
      </c>
      <c r="O416" s="47"/>
    </row>
    <row r="417" spans="1:15" s="188" customFormat="1" ht="16.5">
      <c r="A417" s="58" t="str">
        <f t="shared" si="215"/>
        <v>Merveille</v>
      </c>
      <c r="B417" s="59" t="s">
        <v>2</v>
      </c>
      <c r="C417" s="61">
        <v>-2900</v>
      </c>
      <c r="D417" s="61">
        <f t="shared" si="216"/>
        <v>218000</v>
      </c>
      <c r="E417" s="61">
        <f t="shared" ref="E417:E420" si="224">+N417</f>
        <v>124800</v>
      </c>
      <c r="F417" s="61">
        <f t="shared" ref="F417:F420" si="225">+M417</f>
        <v>20000</v>
      </c>
      <c r="G417" s="61">
        <f t="shared" si="214"/>
        <v>0</v>
      </c>
      <c r="H417" s="184">
        <v>70300</v>
      </c>
      <c r="I417" s="184">
        <f t="shared" si="221"/>
        <v>70300</v>
      </c>
      <c r="J417" s="185">
        <f>I417-H417</f>
        <v>0</v>
      </c>
      <c r="K417" s="186" t="s">
        <v>93</v>
      </c>
      <c r="L417" s="187">
        <v>218000</v>
      </c>
      <c r="M417" s="187">
        <v>20000</v>
      </c>
      <c r="N417" s="47">
        <v>124800</v>
      </c>
      <c r="O417" s="187">
        <v>0</v>
      </c>
    </row>
    <row r="418" spans="1:15" ht="16.5">
      <c r="A418" s="58" t="str">
        <f t="shared" si="215"/>
        <v>P29</v>
      </c>
      <c r="B418" s="98" t="s">
        <v>4</v>
      </c>
      <c r="C418" s="61">
        <v>148600</v>
      </c>
      <c r="D418" s="61">
        <f t="shared" si="216"/>
        <v>375000</v>
      </c>
      <c r="E418" s="61">
        <f t="shared" si="224"/>
        <v>424500</v>
      </c>
      <c r="F418" s="61">
        <f t="shared" si="225"/>
        <v>0</v>
      </c>
      <c r="G418" s="61">
        <f t="shared" si="214"/>
        <v>0</v>
      </c>
      <c r="H418" s="61">
        <v>99100</v>
      </c>
      <c r="I418" s="61">
        <f t="shared" si="221"/>
        <v>99100</v>
      </c>
      <c r="J418" s="9">
        <f t="shared" ref="J418:J419" si="226">I418-H418</f>
        <v>0</v>
      </c>
      <c r="K418" s="45" t="s">
        <v>29</v>
      </c>
      <c r="L418" s="47">
        <v>375000</v>
      </c>
      <c r="M418" s="47">
        <v>0</v>
      </c>
      <c r="N418" s="47">
        <v>424500</v>
      </c>
      <c r="O418" s="47">
        <v>0</v>
      </c>
    </row>
    <row r="419" spans="1:15" ht="16.5">
      <c r="A419" s="58" t="str">
        <f t="shared" si="215"/>
        <v>T73</v>
      </c>
      <c r="B419" s="59" t="s">
        <v>4</v>
      </c>
      <c r="C419" s="61">
        <v>0</v>
      </c>
      <c r="D419" s="61">
        <f>+L419</f>
        <v>85000</v>
      </c>
      <c r="E419" s="61">
        <f t="shared" si="224"/>
        <v>71100</v>
      </c>
      <c r="F419" s="61">
        <f t="shared" si="225"/>
        <v>0</v>
      </c>
      <c r="G419" s="61">
        <f t="shared" si="214"/>
        <v>0</v>
      </c>
      <c r="H419" s="61">
        <v>13900</v>
      </c>
      <c r="I419" s="61">
        <f>+C419+D419-E419-F419+G419</f>
        <v>13900</v>
      </c>
      <c r="J419" s="9">
        <f t="shared" si="226"/>
        <v>0</v>
      </c>
      <c r="K419" s="45" t="s">
        <v>268</v>
      </c>
      <c r="L419" s="47">
        <v>85000</v>
      </c>
      <c r="M419" s="47">
        <v>0</v>
      </c>
      <c r="N419" s="187">
        <v>71100</v>
      </c>
      <c r="O419" s="47">
        <v>0</v>
      </c>
    </row>
    <row r="420" spans="1:15" ht="16.5">
      <c r="A420" s="58" t="str">
        <f t="shared" si="215"/>
        <v>Tiffany</v>
      </c>
      <c r="B420" s="59" t="s">
        <v>2</v>
      </c>
      <c r="C420" s="61">
        <v>-10174</v>
      </c>
      <c r="D420" s="61">
        <f t="shared" ref="D420" si="227">+L420</f>
        <v>198000</v>
      </c>
      <c r="E420" s="61">
        <f t="shared" si="224"/>
        <v>141150</v>
      </c>
      <c r="F420" s="61">
        <f t="shared" si="225"/>
        <v>50000</v>
      </c>
      <c r="G420" s="61">
        <f t="shared" si="214"/>
        <v>0</v>
      </c>
      <c r="H420" s="61">
        <v>-3324</v>
      </c>
      <c r="I420" s="61">
        <f>+C420+D420-E420-F420+G420</f>
        <v>-3324</v>
      </c>
      <c r="J420" s="9">
        <f>I420-H420</f>
        <v>0</v>
      </c>
      <c r="K420" s="45" t="s">
        <v>113</v>
      </c>
      <c r="L420" s="47">
        <v>198000</v>
      </c>
      <c r="M420" s="47">
        <v>50000</v>
      </c>
      <c r="N420" s="47">
        <v>141150</v>
      </c>
      <c r="O420" s="47">
        <v>0</v>
      </c>
    </row>
    <row r="421" spans="1:15" ht="16.5">
      <c r="A421" s="10" t="s">
        <v>50</v>
      </c>
      <c r="B421" s="11"/>
      <c r="C421" s="12">
        <f t="shared" ref="C421:I421" si="228">SUM(C405:C420)</f>
        <v>18323398</v>
      </c>
      <c r="D421" s="57">
        <f t="shared" si="228"/>
        <v>6851000</v>
      </c>
      <c r="E421" s="57">
        <f t="shared" si="228"/>
        <v>9504745</v>
      </c>
      <c r="F421" s="57">
        <f t="shared" si="228"/>
        <v>6851000</v>
      </c>
      <c r="G421" s="57">
        <f t="shared" si="228"/>
        <v>8735379</v>
      </c>
      <c r="H421" s="57">
        <f t="shared" si="228"/>
        <v>17554032</v>
      </c>
      <c r="I421" s="57">
        <f t="shared" si="228"/>
        <v>17554032</v>
      </c>
      <c r="J421" s="9">
        <f>I421-H421</f>
        <v>0</v>
      </c>
      <c r="K421" s="3"/>
      <c r="L421" s="47">
        <f>+SUM(L405:L420)</f>
        <v>6851000</v>
      </c>
      <c r="M421" s="47">
        <f>+SUM(M405:M420)</f>
        <v>6851000</v>
      </c>
      <c r="N421" s="47">
        <f>+SUM(N405:N420)</f>
        <v>9504745</v>
      </c>
      <c r="O421" s="47">
        <f>+SUM(O405:O420)</f>
        <v>8735379</v>
      </c>
    </row>
    <row r="422" spans="1:15" ht="16.5">
      <c r="A422" s="10"/>
      <c r="B422" s="11"/>
      <c r="C422" s="12"/>
      <c r="D422" s="13"/>
      <c r="E422" s="12"/>
      <c r="F422" s="13"/>
      <c r="G422" s="12"/>
      <c r="H422" s="12"/>
      <c r="I422" s="134" t="b">
        <f>I421=D424</f>
        <v>1</v>
      </c>
      <c r="J422" s="9">
        <f>H421-I421</f>
        <v>0</v>
      </c>
      <c r="L422" s="5"/>
      <c r="M422" s="5"/>
      <c r="N422" s="5"/>
      <c r="O422" s="5"/>
    </row>
    <row r="423" spans="1:15" ht="16.5">
      <c r="A423" s="10" t="s">
        <v>271</v>
      </c>
      <c r="B423" s="11" t="s">
        <v>177</v>
      </c>
      <c r="C423" s="12" t="s">
        <v>176</v>
      </c>
      <c r="D423" s="12" t="s">
        <v>272</v>
      </c>
      <c r="E423" s="12" t="s">
        <v>51</v>
      </c>
      <c r="F423" s="12"/>
      <c r="G423" s="12">
        <f>+D421-F421</f>
        <v>0</v>
      </c>
      <c r="H423" s="12"/>
      <c r="I423" s="12"/>
    </row>
    <row r="424" spans="1:15" ht="16.5">
      <c r="A424" s="14">
        <f>C421</f>
        <v>18323398</v>
      </c>
      <c r="B424" s="15">
        <f>G421</f>
        <v>8735379</v>
      </c>
      <c r="C424" s="12">
        <f>E421</f>
        <v>9504745</v>
      </c>
      <c r="D424" s="12">
        <f>A424+B424-C424</f>
        <v>17554032</v>
      </c>
      <c r="E424" s="13">
        <f>I421-D424</f>
        <v>0</v>
      </c>
      <c r="F424" s="12"/>
      <c r="G424" s="12"/>
      <c r="H424" s="12"/>
      <c r="I424" s="12"/>
    </row>
    <row r="425" spans="1:15" ht="16.5">
      <c r="A425" s="14"/>
      <c r="B425" s="15"/>
      <c r="C425" s="12"/>
      <c r="D425" s="12"/>
      <c r="E425" s="13"/>
      <c r="F425" s="12"/>
      <c r="G425" s="12"/>
      <c r="H425" s="12"/>
      <c r="I425" s="12"/>
    </row>
    <row r="426" spans="1:15">
      <c r="A426" s="16" t="s">
        <v>52</v>
      </c>
      <c r="B426" s="16"/>
      <c r="C426" s="16"/>
      <c r="D426" s="17"/>
      <c r="E426" s="17"/>
      <c r="F426" s="17"/>
      <c r="G426" s="17"/>
      <c r="H426" s="17"/>
      <c r="I426" s="17"/>
    </row>
    <row r="427" spans="1:15">
      <c r="A427" s="18" t="s">
        <v>273</v>
      </c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5">
      <c r="A428" s="19"/>
      <c r="B428" s="17"/>
      <c r="C428" s="20"/>
      <c r="D428" s="20"/>
      <c r="E428" s="20"/>
      <c r="F428" s="20"/>
      <c r="G428" s="20"/>
      <c r="H428" s="17"/>
      <c r="I428" s="17"/>
    </row>
    <row r="429" spans="1:15" ht="45" customHeight="1">
      <c r="A429" s="169" t="s">
        <v>53</v>
      </c>
      <c r="B429" s="171" t="s">
        <v>54</v>
      </c>
      <c r="C429" s="173" t="s">
        <v>274</v>
      </c>
      <c r="D429" s="174" t="s">
        <v>55</v>
      </c>
      <c r="E429" s="175"/>
      <c r="F429" s="175"/>
      <c r="G429" s="176"/>
      <c r="H429" s="177" t="s">
        <v>56</v>
      </c>
      <c r="I429" s="165" t="s">
        <v>57</v>
      </c>
      <c r="J429" s="210"/>
    </row>
    <row r="430" spans="1:15" ht="28.5" customHeight="1">
      <c r="A430" s="170"/>
      <c r="B430" s="172"/>
      <c r="C430" s="22"/>
      <c r="D430" s="21" t="s">
        <v>24</v>
      </c>
      <c r="E430" s="21" t="s">
        <v>25</v>
      </c>
      <c r="F430" s="22" t="s">
        <v>123</v>
      </c>
      <c r="G430" s="21" t="s">
        <v>58</v>
      </c>
      <c r="H430" s="178"/>
      <c r="I430" s="166"/>
      <c r="J430" s="168" t="s">
        <v>275</v>
      </c>
      <c r="K430" s="143"/>
    </row>
    <row r="431" spans="1:15">
      <c r="A431" s="23"/>
      <c r="B431" s="24" t="s">
        <v>59</v>
      </c>
      <c r="C431" s="25"/>
      <c r="D431" s="25"/>
      <c r="E431" s="25"/>
      <c r="F431" s="25"/>
      <c r="G431" s="25"/>
      <c r="H431" s="25"/>
      <c r="I431" s="26"/>
      <c r="J431" s="168"/>
      <c r="K431" s="143"/>
    </row>
    <row r="432" spans="1:15">
      <c r="A432" s="122" t="s">
        <v>108</v>
      </c>
      <c r="B432" s="127" t="s">
        <v>47</v>
      </c>
      <c r="C432" s="32">
        <f>+C408</f>
        <v>89205</v>
      </c>
      <c r="D432" s="31"/>
      <c r="E432" s="32">
        <f>+D408</f>
        <v>0</v>
      </c>
      <c r="F432" s="32"/>
      <c r="G432" s="32"/>
      <c r="H432" s="55">
        <f>+F408</f>
        <v>0</v>
      </c>
      <c r="I432" s="32">
        <f>+E408</f>
        <v>0</v>
      </c>
      <c r="J432" s="30">
        <f t="shared" ref="J432:J435" si="229">+SUM(C432:G432)-(H432+I432)</f>
        <v>89205</v>
      </c>
      <c r="K432" s="144" t="b">
        <f>J432=I408</f>
        <v>1</v>
      </c>
    </row>
    <row r="433" spans="1:11">
      <c r="A433" s="122" t="str">
        <f>+A432</f>
        <v>JANVIER</v>
      </c>
      <c r="B433" s="127" t="s">
        <v>269</v>
      </c>
      <c r="C433" s="32">
        <f t="shared" ref="C433:C435" si="230">+C409</f>
        <v>0</v>
      </c>
      <c r="D433" s="31"/>
      <c r="E433" s="32">
        <f t="shared" ref="E433:E435" si="231">+D409</f>
        <v>85000</v>
      </c>
      <c r="F433" s="32"/>
      <c r="G433" s="32"/>
      <c r="H433" s="55">
        <f t="shared" ref="H433:H435" si="232">+F409</f>
        <v>0</v>
      </c>
      <c r="I433" s="32">
        <f t="shared" ref="I433:I435" si="233">+E409</f>
        <v>66500</v>
      </c>
      <c r="J433" s="30">
        <f t="shared" si="229"/>
        <v>18500</v>
      </c>
      <c r="K433" s="144" t="b">
        <f>J433=I409</f>
        <v>1</v>
      </c>
    </row>
    <row r="434" spans="1:11">
      <c r="A434" s="122" t="str">
        <f t="shared" ref="A434:A444" si="234">+A433</f>
        <v>JANVIER</v>
      </c>
      <c r="B434" s="127" t="s">
        <v>255</v>
      </c>
      <c r="C434" s="32">
        <f t="shared" si="230"/>
        <v>236200</v>
      </c>
      <c r="D434" s="31"/>
      <c r="E434" s="32">
        <f t="shared" si="231"/>
        <v>264000</v>
      </c>
      <c r="F434" s="32"/>
      <c r="G434" s="32"/>
      <c r="H434" s="55">
        <f t="shared" si="232"/>
        <v>210000</v>
      </c>
      <c r="I434" s="32">
        <f t="shared" si="233"/>
        <v>279550</v>
      </c>
      <c r="J434" s="30">
        <f t="shared" si="229"/>
        <v>10650</v>
      </c>
      <c r="K434" s="144" t="b">
        <f t="shared" ref="K434:K444" si="235">J434=I410</f>
        <v>1</v>
      </c>
    </row>
    <row r="435" spans="1:11">
      <c r="A435" s="122" t="str">
        <f t="shared" si="234"/>
        <v>JANVIER</v>
      </c>
      <c r="B435" s="127" t="s">
        <v>31</v>
      </c>
      <c r="C435" s="32">
        <f t="shared" si="230"/>
        <v>11675</v>
      </c>
      <c r="D435" s="31"/>
      <c r="E435" s="32">
        <f t="shared" si="231"/>
        <v>187000</v>
      </c>
      <c r="F435" s="32"/>
      <c r="G435" s="32"/>
      <c r="H435" s="55">
        <f t="shared" si="232"/>
        <v>0</v>
      </c>
      <c r="I435" s="32">
        <f t="shared" si="233"/>
        <v>190350</v>
      </c>
      <c r="J435" s="30">
        <f t="shared" si="229"/>
        <v>8325</v>
      </c>
      <c r="K435" s="144" t="b">
        <f t="shared" si="235"/>
        <v>1</v>
      </c>
    </row>
    <row r="436" spans="1:11">
      <c r="A436" s="122" t="str">
        <f t="shared" si="234"/>
        <v>JANVIER</v>
      </c>
      <c r="B436" s="129" t="s">
        <v>84</v>
      </c>
      <c r="C436" s="120">
        <f>+C412</f>
        <v>233614</v>
      </c>
      <c r="D436" s="123"/>
      <c r="E436" s="120">
        <f>+D412</f>
        <v>0</v>
      </c>
      <c r="F436" s="137"/>
      <c r="G436" s="137"/>
      <c r="H436" s="155">
        <f>+F412</f>
        <v>0</v>
      </c>
      <c r="I436" s="120">
        <f>+E412</f>
        <v>0</v>
      </c>
      <c r="J436" s="121">
        <f>+SUM(C436:G436)-(H436+I436)</f>
        <v>233614</v>
      </c>
      <c r="K436" s="144" t="b">
        <f t="shared" si="235"/>
        <v>1</v>
      </c>
    </row>
    <row r="437" spans="1:11">
      <c r="A437" s="122" t="str">
        <f t="shared" si="234"/>
        <v>JANVIER</v>
      </c>
      <c r="B437" s="129" t="s">
        <v>83</v>
      </c>
      <c r="C437" s="120">
        <f>+C413</f>
        <v>249769</v>
      </c>
      <c r="D437" s="123"/>
      <c r="E437" s="120">
        <f>+D413</f>
        <v>0</v>
      </c>
      <c r="F437" s="137"/>
      <c r="G437" s="137"/>
      <c r="H437" s="155">
        <f>+F413</f>
        <v>0</v>
      </c>
      <c r="I437" s="120">
        <f>+E413</f>
        <v>0</v>
      </c>
      <c r="J437" s="121">
        <f t="shared" ref="J437:J444" si="236">+SUM(C437:G437)-(H437+I437)</f>
        <v>249769</v>
      </c>
      <c r="K437" s="144" t="b">
        <f t="shared" si="235"/>
        <v>1</v>
      </c>
    </row>
    <row r="438" spans="1:11">
      <c r="A438" s="122" t="str">
        <f t="shared" si="234"/>
        <v>JANVIER</v>
      </c>
      <c r="B438" s="127" t="s">
        <v>143</v>
      </c>
      <c r="C438" s="32">
        <f>+C414</f>
        <v>11800</v>
      </c>
      <c r="D438" s="31"/>
      <c r="E438" s="32">
        <f>+D414</f>
        <v>639000</v>
      </c>
      <c r="F438" s="32"/>
      <c r="G438" s="104"/>
      <c r="H438" s="55">
        <f>+F414</f>
        <v>193000</v>
      </c>
      <c r="I438" s="32">
        <f>+E414</f>
        <v>437050</v>
      </c>
      <c r="J438" s="30">
        <f t="shared" si="236"/>
        <v>20750</v>
      </c>
      <c r="K438" s="144" t="b">
        <f t="shared" si="235"/>
        <v>1</v>
      </c>
    </row>
    <row r="439" spans="1:11">
      <c r="A439" s="122" t="str">
        <f t="shared" si="234"/>
        <v>JANVIER</v>
      </c>
      <c r="B439" s="127" t="s">
        <v>197</v>
      </c>
      <c r="C439" s="32">
        <f t="shared" ref="C439:C444" si="237">+C415</f>
        <v>18750</v>
      </c>
      <c r="D439" s="31"/>
      <c r="E439" s="32">
        <f t="shared" ref="E439:E444" si="238">+D415</f>
        <v>517000</v>
      </c>
      <c r="F439" s="32"/>
      <c r="G439" s="104"/>
      <c r="H439" s="55">
        <f t="shared" ref="H439:H444" si="239">+F415</f>
        <v>47000</v>
      </c>
      <c r="I439" s="32">
        <f t="shared" ref="I439:I444" si="240">+E415</f>
        <v>335200</v>
      </c>
      <c r="J439" s="30">
        <f t="shared" si="236"/>
        <v>153550</v>
      </c>
      <c r="K439" s="144" t="b">
        <f t="shared" si="235"/>
        <v>1</v>
      </c>
    </row>
    <row r="440" spans="1:11">
      <c r="A440" s="122" t="str">
        <f t="shared" si="234"/>
        <v>JANVIER</v>
      </c>
      <c r="B440" s="127" t="s">
        <v>270</v>
      </c>
      <c r="C440" s="32">
        <f t="shared" si="237"/>
        <v>0</v>
      </c>
      <c r="D440" s="31"/>
      <c r="E440" s="32">
        <f t="shared" si="238"/>
        <v>6000</v>
      </c>
      <c r="F440" s="32"/>
      <c r="G440" s="104"/>
      <c r="H440" s="55">
        <f t="shared" si="239"/>
        <v>0</v>
      </c>
      <c r="I440" s="32">
        <f t="shared" si="240"/>
        <v>6000</v>
      </c>
      <c r="J440" s="30">
        <f t="shared" si="236"/>
        <v>0</v>
      </c>
      <c r="K440" s="144" t="b">
        <f t="shared" si="235"/>
        <v>1</v>
      </c>
    </row>
    <row r="441" spans="1:11">
      <c r="A441" s="122" t="str">
        <f t="shared" si="234"/>
        <v>JANVIER</v>
      </c>
      <c r="B441" s="127" t="s">
        <v>93</v>
      </c>
      <c r="C441" s="32">
        <f t="shared" si="237"/>
        <v>-2900</v>
      </c>
      <c r="D441" s="31"/>
      <c r="E441" s="32">
        <f t="shared" si="238"/>
        <v>218000</v>
      </c>
      <c r="F441" s="32"/>
      <c r="G441" s="104"/>
      <c r="H441" s="55">
        <f t="shared" si="239"/>
        <v>20000</v>
      </c>
      <c r="I441" s="32">
        <f t="shared" si="240"/>
        <v>124800</v>
      </c>
      <c r="J441" s="30">
        <f t="shared" si="236"/>
        <v>70300</v>
      </c>
      <c r="K441" s="144" t="b">
        <f t="shared" si="235"/>
        <v>1</v>
      </c>
    </row>
    <row r="442" spans="1:11">
      <c r="A442" s="122" t="str">
        <f t="shared" si="234"/>
        <v>JANVIER</v>
      </c>
      <c r="B442" s="127" t="s">
        <v>29</v>
      </c>
      <c r="C442" s="32">
        <f t="shared" si="237"/>
        <v>148600</v>
      </c>
      <c r="D442" s="31"/>
      <c r="E442" s="32">
        <f t="shared" si="238"/>
        <v>375000</v>
      </c>
      <c r="F442" s="32"/>
      <c r="G442" s="104"/>
      <c r="H442" s="55">
        <f t="shared" si="239"/>
        <v>0</v>
      </c>
      <c r="I442" s="32">
        <f t="shared" si="240"/>
        <v>424500</v>
      </c>
      <c r="J442" s="30">
        <f t="shared" si="236"/>
        <v>99100</v>
      </c>
      <c r="K442" s="144" t="b">
        <f t="shared" si="235"/>
        <v>1</v>
      </c>
    </row>
    <row r="443" spans="1:11">
      <c r="A443" s="122" t="str">
        <f t="shared" si="234"/>
        <v>JANVIER</v>
      </c>
      <c r="B443" s="128" t="s">
        <v>268</v>
      </c>
      <c r="C443" s="32">
        <f t="shared" si="237"/>
        <v>0</v>
      </c>
      <c r="D443" s="119"/>
      <c r="E443" s="32">
        <f t="shared" si="238"/>
        <v>85000</v>
      </c>
      <c r="F443" s="51"/>
      <c r="G443" s="138"/>
      <c r="H443" s="55">
        <f t="shared" si="239"/>
        <v>0</v>
      </c>
      <c r="I443" s="32">
        <f t="shared" si="240"/>
        <v>71100</v>
      </c>
      <c r="J443" s="30">
        <f t="shared" ref="J443" si="241">+SUM(C443:G443)-(H443+I443)</f>
        <v>13900</v>
      </c>
      <c r="K443" s="144" t="b">
        <f t="shared" si="235"/>
        <v>1</v>
      </c>
    </row>
    <row r="444" spans="1:11">
      <c r="A444" s="122" t="str">
        <f t="shared" si="234"/>
        <v>JANVIER</v>
      </c>
      <c r="B444" s="128" t="s">
        <v>113</v>
      </c>
      <c r="C444" s="32">
        <f t="shared" si="237"/>
        <v>-10174</v>
      </c>
      <c r="D444" s="119"/>
      <c r="E444" s="32">
        <f t="shared" si="238"/>
        <v>198000</v>
      </c>
      <c r="F444" s="51"/>
      <c r="G444" s="138"/>
      <c r="H444" s="55">
        <f t="shared" si="239"/>
        <v>50000</v>
      </c>
      <c r="I444" s="32">
        <f t="shared" si="240"/>
        <v>141150</v>
      </c>
      <c r="J444" s="30">
        <f t="shared" si="236"/>
        <v>-3324</v>
      </c>
      <c r="K444" s="144" t="b">
        <f t="shared" si="235"/>
        <v>1</v>
      </c>
    </row>
    <row r="445" spans="1:11">
      <c r="A445" s="34" t="s">
        <v>60</v>
      </c>
      <c r="B445" s="35"/>
      <c r="C445" s="35"/>
      <c r="D445" s="35"/>
      <c r="E445" s="35"/>
      <c r="F445" s="35"/>
      <c r="G445" s="35"/>
      <c r="H445" s="35"/>
      <c r="I445" s="35"/>
      <c r="J445" s="36"/>
      <c r="K445" s="143"/>
    </row>
    <row r="446" spans="1:11">
      <c r="A446" s="122" t="str">
        <f>A444</f>
        <v>JANVIER</v>
      </c>
      <c r="B446" s="37" t="s">
        <v>61</v>
      </c>
      <c r="C446" s="38">
        <f>+C407</f>
        <v>1335599</v>
      </c>
      <c r="D446" s="49"/>
      <c r="E446" s="49">
        <f>D407</f>
        <v>4277000</v>
      </c>
      <c r="F446" s="49"/>
      <c r="G446" s="125"/>
      <c r="H446" s="51">
        <f>+F407</f>
        <v>2331000</v>
      </c>
      <c r="I446" s="126">
        <f>+E407</f>
        <v>2382011</v>
      </c>
      <c r="J446" s="30">
        <f>+SUM(C446:G446)-(H446+I446)</f>
        <v>899588</v>
      </c>
      <c r="K446" s="144" t="b">
        <f>J446=I407</f>
        <v>1</v>
      </c>
    </row>
    <row r="447" spans="1:11">
      <c r="A447" s="43" t="s">
        <v>62</v>
      </c>
      <c r="B447" s="24"/>
      <c r="C447" s="35"/>
      <c r="D447" s="24"/>
      <c r="E447" s="24"/>
      <c r="F447" s="24"/>
      <c r="G447" s="24"/>
      <c r="H447" s="24"/>
      <c r="I447" s="24"/>
      <c r="J447" s="36"/>
      <c r="K447" s="143"/>
    </row>
    <row r="448" spans="1:11">
      <c r="A448" s="122" t="str">
        <f>+A446</f>
        <v>JANVIER</v>
      </c>
      <c r="B448" s="37" t="s">
        <v>24</v>
      </c>
      <c r="C448" s="125">
        <f>+C405</f>
        <v>13524897</v>
      </c>
      <c r="D448" s="132">
        <f>+G405</f>
        <v>0</v>
      </c>
      <c r="E448" s="49"/>
      <c r="F448" s="49"/>
      <c r="G448" s="49"/>
      <c r="H448" s="51">
        <f>+F405</f>
        <v>4000000</v>
      </c>
      <c r="I448" s="53">
        <f>+E405</f>
        <v>173345</v>
      </c>
      <c r="J448" s="30">
        <f>+SUM(C448:G448)-(H448+I448)</f>
        <v>9351552</v>
      </c>
      <c r="K448" s="144" t="b">
        <f>+J448=I405</f>
        <v>1</v>
      </c>
    </row>
    <row r="449" spans="1:16">
      <c r="A449" s="122" t="str">
        <f t="shared" ref="A449" si="242">+A448</f>
        <v>JANVIER</v>
      </c>
      <c r="B449" s="37" t="s">
        <v>64</v>
      </c>
      <c r="C449" s="125">
        <f>+C406</f>
        <v>2476363</v>
      </c>
      <c r="D449" s="49">
        <f>+G406</f>
        <v>8735379</v>
      </c>
      <c r="E449" s="48"/>
      <c r="F449" s="48"/>
      <c r="G449" s="48"/>
      <c r="H449" s="32">
        <f>+F406</f>
        <v>0</v>
      </c>
      <c r="I449" s="50">
        <f>+E406</f>
        <v>4873189</v>
      </c>
      <c r="J449" s="30">
        <f>SUM(C449:G449)-(H449+I449)</f>
        <v>6338553</v>
      </c>
      <c r="K449" s="144" t="b">
        <f>+J449=I406</f>
        <v>1</v>
      </c>
    </row>
    <row r="450" spans="1:16" ht="15.75">
      <c r="C450" s="141">
        <f>SUM(C432:C449)</f>
        <v>18323398</v>
      </c>
      <c r="I450" s="140">
        <f>SUM(I432:I449)</f>
        <v>9504745</v>
      </c>
      <c r="J450" s="105">
        <f>+SUM(J432:J449)</f>
        <v>17554032</v>
      </c>
      <c r="K450" s="5" t="b">
        <f>J450=I421</f>
        <v>1</v>
      </c>
    </row>
    <row r="451" spans="1:16" ht="15.75">
      <c r="C451" s="141"/>
      <c r="I451" s="140"/>
      <c r="J451" s="105"/>
    </row>
    <row r="452" spans="1:16" ht="15.75">
      <c r="A452" s="160"/>
      <c r="B452" s="160"/>
      <c r="C452" s="161"/>
      <c r="D452" s="160"/>
      <c r="E452" s="160"/>
      <c r="F452" s="160"/>
      <c r="G452" s="160"/>
      <c r="H452" s="160"/>
      <c r="I452" s="162"/>
      <c r="J452" s="163"/>
      <c r="K452" s="160"/>
      <c r="L452" s="164"/>
      <c r="M452" s="164"/>
      <c r="N452" s="164"/>
      <c r="O452" s="164"/>
      <c r="P452" s="160"/>
    </row>
    <row r="453" spans="1:16" ht="15.75" customHeight="1"/>
    <row r="454" spans="1:16" ht="15.75">
      <c r="A454" s="6" t="s">
        <v>36</v>
      </c>
      <c r="B454" s="6" t="s">
        <v>1</v>
      </c>
      <c r="C454" s="6">
        <v>44896</v>
      </c>
      <c r="D454" s="7" t="s">
        <v>37</v>
      </c>
      <c r="E454" s="7" t="s">
        <v>38</v>
      </c>
      <c r="F454" s="7" t="s">
        <v>39</v>
      </c>
      <c r="G454" s="7" t="s">
        <v>40</v>
      </c>
      <c r="H454" s="6">
        <v>44926</v>
      </c>
      <c r="I454" s="7" t="s">
        <v>41</v>
      </c>
      <c r="K454" s="45"/>
      <c r="L454" s="45" t="s">
        <v>42</v>
      </c>
      <c r="M454" s="45" t="s">
        <v>43</v>
      </c>
      <c r="N454" s="45" t="s">
        <v>44</v>
      </c>
      <c r="O454" s="45" t="s">
        <v>45</v>
      </c>
    </row>
    <row r="455" spans="1:16" ht="16.5">
      <c r="A455" s="58" t="str">
        <f>K455</f>
        <v>BCI</v>
      </c>
      <c r="B455" s="59" t="s">
        <v>46</v>
      </c>
      <c r="C455" s="61">
        <v>16218242</v>
      </c>
      <c r="D455" s="61">
        <f>+L455</f>
        <v>0</v>
      </c>
      <c r="E455" s="61">
        <f>+N455</f>
        <v>693345</v>
      </c>
      <c r="F455" s="61">
        <f>+M455</f>
        <v>2000000</v>
      </c>
      <c r="G455" s="61">
        <f t="shared" ref="G455:G468" si="243">+O455</f>
        <v>0</v>
      </c>
      <c r="H455" s="61">
        <v>13524897</v>
      </c>
      <c r="I455" s="61">
        <f>+C455+D455-E455-F455+G455</f>
        <v>13524897</v>
      </c>
      <c r="J455" s="9">
        <f>I455-H455</f>
        <v>0</v>
      </c>
      <c r="K455" s="45" t="s">
        <v>24</v>
      </c>
      <c r="L455" s="47">
        <v>0</v>
      </c>
      <c r="M455" s="47">
        <v>2000000</v>
      </c>
      <c r="N455" s="47">
        <v>693345</v>
      </c>
      <c r="O455" s="47">
        <v>0</v>
      </c>
    </row>
    <row r="456" spans="1:16" ht="16.5">
      <c r="A456" s="58" t="str">
        <f t="shared" ref="A456:A468" si="244">K456</f>
        <v>BCI-Sous Compte</v>
      </c>
      <c r="B456" s="59" t="s">
        <v>46</v>
      </c>
      <c r="C456" s="61">
        <v>5621164</v>
      </c>
      <c r="D456" s="61">
        <f t="shared" ref="D456:D466" si="245">+L456</f>
        <v>0</v>
      </c>
      <c r="E456" s="61">
        <f t="shared" ref="E456:E460" si="246">+N456</f>
        <v>3144801</v>
      </c>
      <c r="F456" s="61">
        <f t="shared" ref="F456:F463" si="247">+M456</f>
        <v>0</v>
      </c>
      <c r="G456" s="61">
        <f t="shared" si="243"/>
        <v>0</v>
      </c>
      <c r="H456" s="61">
        <v>2476363</v>
      </c>
      <c r="I456" s="61">
        <f>+C456+D456-E456-F456+G456</f>
        <v>2476363</v>
      </c>
      <c r="J456" s="9">
        <f t="shared" ref="J456:J462" si="248">I456-H456</f>
        <v>0</v>
      </c>
      <c r="K456" s="45" t="s">
        <v>148</v>
      </c>
      <c r="L456" s="46">
        <v>0</v>
      </c>
      <c r="M456" s="47">
        <v>0</v>
      </c>
      <c r="N456" s="47">
        <v>3144801</v>
      </c>
      <c r="O456" s="47">
        <v>0</v>
      </c>
    </row>
    <row r="457" spans="1:16" ht="16.5">
      <c r="A457" s="58" t="str">
        <f t="shared" si="244"/>
        <v>Caisse</v>
      </c>
      <c r="B457" s="59" t="s">
        <v>25</v>
      </c>
      <c r="C457" s="61">
        <v>2476103</v>
      </c>
      <c r="D457" s="61">
        <f t="shared" si="245"/>
        <v>2461000</v>
      </c>
      <c r="E457" s="61">
        <f t="shared" si="246"/>
        <v>1832504</v>
      </c>
      <c r="F457" s="61">
        <f t="shared" si="247"/>
        <v>1769000</v>
      </c>
      <c r="G457" s="61">
        <f t="shared" si="243"/>
        <v>0</v>
      </c>
      <c r="H457" s="61">
        <v>1335599</v>
      </c>
      <c r="I457" s="61">
        <f>+C457+D457-E457-F457+G457</f>
        <v>1335599</v>
      </c>
      <c r="J457" s="102">
        <f t="shared" si="248"/>
        <v>0</v>
      </c>
      <c r="K457" s="45" t="s">
        <v>25</v>
      </c>
      <c r="L457" s="47">
        <v>2461000</v>
      </c>
      <c r="M457" s="47">
        <v>1769000</v>
      </c>
      <c r="N457" s="47">
        <v>1832504</v>
      </c>
      <c r="O457" s="47">
        <v>0</v>
      </c>
    </row>
    <row r="458" spans="1:16" ht="16.5">
      <c r="A458" s="58" t="str">
        <f t="shared" si="244"/>
        <v>Crépin</v>
      </c>
      <c r="B458" s="59" t="s">
        <v>154</v>
      </c>
      <c r="C458" s="61">
        <v>409530</v>
      </c>
      <c r="D458" s="61">
        <f t="shared" si="245"/>
        <v>435000</v>
      </c>
      <c r="E458" s="61">
        <f t="shared" si="246"/>
        <v>755325</v>
      </c>
      <c r="F458" s="61">
        <f t="shared" si="247"/>
        <v>0</v>
      </c>
      <c r="G458" s="61">
        <f t="shared" si="243"/>
        <v>0</v>
      </c>
      <c r="H458" s="61">
        <v>89205</v>
      </c>
      <c r="I458" s="61">
        <f>+C458+D458-E458-F458+G458</f>
        <v>89205</v>
      </c>
      <c r="J458" s="9">
        <f t="shared" si="248"/>
        <v>0</v>
      </c>
      <c r="K458" s="45" t="s">
        <v>47</v>
      </c>
      <c r="L458" s="47">
        <v>435000</v>
      </c>
      <c r="M458" s="47">
        <v>0</v>
      </c>
      <c r="N458" s="47">
        <v>755325</v>
      </c>
      <c r="O458" s="47">
        <v>0</v>
      </c>
    </row>
    <row r="459" spans="1:16" ht="16.5">
      <c r="A459" s="58" t="str">
        <f t="shared" si="244"/>
        <v>Donald</v>
      </c>
      <c r="B459" s="59" t="s">
        <v>154</v>
      </c>
      <c r="C459" s="61">
        <v>9700</v>
      </c>
      <c r="D459" s="61">
        <f t="shared" si="245"/>
        <v>389000</v>
      </c>
      <c r="E459" s="61">
        <f t="shared" si="246"/>
        <v>162500</v>
      </c>
      <c r="F459" s="61">
        <f t="shared" si="247"/>
        <v>0</v>
      </c>
      <c r="G459" s="61">
        <f t="shared" si="243"/>
        <v>0</v>
      </c>
      <c r="H459" s="61">
        <v>236200</v>
      </c>
      <c r="I459" s="61">
        <f t="shared" ref="I459:I460" si="249">+C459+D459-E459-F459+G459</f>
        <v>236200</v>
      </c>
      <c r="J459" s="9">
        <f t="shared" si="248"/>
        <v>0</v>
      </c>
      <c r="K459" s="45" t="s">
        <v>255</v>
      </c>
      <c r="L459" s="47">
        <v>389000</v>
      </c>
      <c r="M459" s="47">
        <v>0</v>
      </c>
      <c r="N459" s="47">
        <v>162500</v>
      </c>
      <c r="O459" s="47">
        <v>0</v>
      </c>
    </row>
    <row r="460" spans="1:16" ht="16.5">
      <c r="A460" s="58" t="str">
        <f t="shared" si="244"/>
        <v>Evariste</v>
      </c>
      <c r="B460" s="59" t="s">
        <v>155</v>
      </c>
      <c r="C460" s="61">
        <v>265425</v>
      </c>
      <c r="D460" s="61">
        <f t="shared" si="245"/>
        <v>0</v>
      </c>
      <c r="E460" s="61">
        <f t="shared" si="246"/>
        <v>128750</v>
      </c>
      <c r="F460" s="61">
        <f t="shared" si="247"/>
        <v>125000</v>
      </c>
      <c r="G460" s="61">
        <f t="shared" si="243"/>
        <v>0</v>
      </c>
      <c r="H460" s="61">
        <v>11675</v>
      </c>
      <c r="I460" s="61">
        <f t="shared" si="249"/>
        <v>11675</v>
      </c>
      <c r="J460" s="9">
        <f t="shared" si="248"/>
        <v>0</v>
      </c>
      <c r="K460" s="45" t="s">
        <v>31</v>
      </c>
      <c r="L460" s="47">
        <v>0</v>
      </c>
      <c r="M460" s="47">
        <v>125000</v>
      </c>
      <c r="N460" s="47">
        <v>128750</v>
      </c>
      <c r="O460" s="47">
        <v>0</v>
      </c>
    </row>
    <row r="461" spans="1:16" ht="16.5">
      <c r="A461" s="58" t="str">
        <f t="shared" si="244"/>
        <v>I55S</v>
      </c>
      <c r="B461" s="116" t="s">
        <v>4</v>
      </c>
      <c r="C461" s="118">
        <v>233614</v>
      </c>
      <c r="D461" s="118">
        <f t="shared" si="245"/>
        <v>0</v>
      </c>
      <c r="E461" s="118">
        <f>+N461</f>
        <v>0</v>
      </c>
      <c r="F461" s="118">
        <f t="shared" si="247"/>
        <v>0</v>
      </c>
      <c r="G461" s="118">
        <f t="shared" si="243"/>
        <v>0</v>
      </c>
      <c r="H461" s="118">
        <v>233614</v>
      </c>
      <c r="I461" s="118">
        <f>+C461+D461-E461-F461+G461</f>
        <v>233614</v>
      </c>
      <c r="J461" s="9">
        <f t="shared" si="248"/>
        <v>0</v>
      </c>
      <c r="K461" s="45" t="s">
        <v>84</v>
      </c>
      <c r="L461" s="47">
        <v>0</v>
      </c>
      <c r="M461" s="47">
        <v>0</v>
      </c>
      <c r="N461" s="47">
        <v>0</v>
      </c>
      <c r="O461" s="47">
        <v>0</v>
      </c>
    </row>
    <row r="462" spans="1:16" ht="16.5">
      <c r="A462" s="58" t="str">
        <f t="shared" si="244"/>
        <v>I73X</v>
      </c>
      <c r="B462" s="116" t="s">
        <v>4</v>
      </c>
      <c r="C462" s="118">
        <v>249769</v>
      </c>
      <c r="D462" s="118">
        <f t="shared" si="245"/>
        <v>0</v>
      </c>
      <c r="E462" s="118">
        <f>+N462</f>
        <v>0</v>
      </c>
      <c r="F462" s="118">
        <f t="shared" si="247"/>
        <v>0</v>
      </c>
      <c r="G462" s="118">
        <f t="shared" si="243"/>
        <v>0</v>
      </c>
      <c r="H462" s="118">
        <v>249769</v>
      </c>
      <c r="I462" s="118">
        <f t="shared" ref="I462:I466" si="250">+C462+D462-E462-F462+G462</f>
        <v>249769</v>
      </c>
      <c r="J462" s="9">
        <f t="shared" si="248"/>
        <v>0</v>
      </c>
      <c r="K462" s="45" t="s">
        <v>83</v>
      </c>
      <c r="L462" s="47">
        <v>0</v>
      </c>
      <c r="M462" s="47">
        <v>0</v>
      </c>
      <c r="N462" s="47">
        <v>0</v>
      </c>
      <c r="O462" s="47">
        <v>0</v>
      </c>
    </row>
    <row r="463" spans="1:16" s="188" customFormat="1" ht="16.5">
      <c r="A463" s="58" t="str">
        <f t="shared" si="244"/>
        <v>Grace</v>
      </c>
      <c r="B463" s="59" t="s">
        <v>2</v>
      </c>
      <c r="C463" s="61">
        <v>596200</v>
      </c>
      <c r="D463" s="61">
        <f t="shared" si="245"/>
        <v>0</v>
      </c>
      <c r="E463" s="61">
        <f t="shared" ref="E463" si="251">+N463</f>
        <v>83400</v>
      </c>
      <c r="F463" s="61">
        <f t="shared" si="247"/>
        <v>501000</v>
      </c>
      <c r="G463" s="61">
        <f t="shared" si="243"/>
        <v>0</v>
      </c>
      <c r="H463" s="184">
        <v>11800</v>
      </c>
      <c r="I463" s="184">
        <f t="shared" si="250"/>
        <v>11800</v>
      </c>
      <c r="J463" s="185">
        <f>I463-H463</f>
        <v>0</v>
      </c>
      <c r="K463" s="186" t="s">
        <v>143</v>
      </c>
      <c r="L463" s="187">
        <v>0</v>
      </c>
      <c r="M463" s="187">
        <v>501000</v>
      </c>
      <c r="N463" s="47">
        <v>83400</v>
      </c>
      <c r="O463" s="187">
        <v>0</v>
      </c>
    </row>
    <row r="464" spans="1:16" ht="16.5">
      <c r="A464" s="58" t="str">
        <f t="shared" si="244"/>
        <v>Hurielle</v>
      </c>
      <c r="B464" s="98" t="s">
        <v>154</v>
      </c>
      <c r="C464" s="61">
        <v>144700</v>
      </c>
      <c r="D464" s="61">
        <f t="shared" si="245"/>
        <v>326000</v>
      </c>
      <c r="E464" s="61">
        <f>+N464</f>
        <v>292950</v>
      </c>
      <c r="F464" s="61">
        <f>+M464</f>
        <v>159000</v>
      </c>
      <c r="G464" s="61">
        <f t="shared" si="243"/>
        <v>0</v>
      </c>
      <c r="H464" s="61">
        <v>18750</v>
      </c>
      <c r="I464" s="61">
        <f t="shared" si="250"/>
        <v>18750</v>
      </c>
      <c r="J464" s="9">
        <f t="shared" ref="J464" si="252">I464-H464</f>
        <v>0</v>
      </c>
      <c r="K464" s="45" t="s">
        <v>197</v>
      </c>
      <c r="L464" s="47">
        <v>326000</v>
      </c>
      <c r="M464" s="47">
        <v>159000</v>
      </c>
      <c r="N464" s="47">
        <v>292950</v>
      </c>
      <c r="O464" s="47">
        <v>0</v>
      </c>
    </row>
    <row r="465" spans="1:15" s="188" customFormat="1" ht="16.5">
      <c r="A465" s="58" t="str">
        <f t="shared" si="244"/>
        <v>Merveille</v>
      </c>
      <c r="B465" s="59" t="s">
        <v>2</v>
      </c>
      <c r="C465" s="61">
        <v>-2900</v>
      </c>
      <c r="D465" s="61">
        <f t="shared" si="245"/>
        <v>0</v>
      </c>
      <c r="E465" s="61">
        <f t="shared" ref="E465:E468" si="253">+N465</f>
        <v>0</v>
      </c>
      <c r="F465" s="61">
        <f t="shared" ref="F465:F468" si="254">+M465</f>
        <v>0</v>
      </c>
      <c r="G465" s="61">
        <f t="shared" si="243"/>
        <v>0</v>
      </c>
      <c r="H465" s="184">
        <v>-2900</v>
      </c>
      <c r="I465" s="184">
        <f t="shared" si="250"/>
        <v>-2900</v>
      </c>
      <c r="J465" s="185">
        <f>I465-H465</f>
        <v>0</v>
      </c>
      <c r="K465" s="186" t="s">
        <v>93</v>
      </c>
      <c r="L465" s="187">
        <v>0</v>
      </c>
      <c r="M465" s="187">
        <v>0</v>
      </c>
      <c r="N465" s="47">
        <v>0</v>
      </c>
      <c r="O465" s="187">
        <v>0</v>
      </c>
    </row>
    <row r="466" spans="1:15" ht="16.5">
      <c r="A466" s="58" t="str">
        <f t="shared" si="244"/>
        <v>P10</v>
      </c>
      <c r="B466" s="98" t="s">
        <v>4</v>
      </c>
      <c r="C466" s="61">
        <v>103900</v>
      </c>
      <c r="D466" s="61">
        <f t="shared" si="245"/>
        <v>205000</v>
      </c>
      <c r="E466" s="61">
        <f t="shared" si="253"/>
        <v>271900</v>
      </c>
      <c r="F466" s="61">
        <f t="shared" si="254"/>
        <v>37000</v>
      </c>
      <c r="G466" s="61">
        <f t="shared" si="243"/>
        <v>0</v>
      </c>
      <c r="H466" s="61">
        <v>0</v>
      </c>
      <c r="I466" s="61">
        <f t="shared" si="250"/>
        <v>0</v>
      </c>
      <c r="J466" s="9">
        <f t="shared" ref="J466:J467" si="255">I466-H466</f>
        <v>0</v>
      </c>
      <c r="K466" s="45" t="s">
        <v>254</v>
      </c>
      <c r="L466" s="47">
        <v>205000</v>
      </c>
      <c r="M466" s="47">
        <v>37000</v>
      </c>
      <c r="N466" s="47">
        <v>271900</v>
      </c>
      <c r="O466" s="47">
        <v>0</v>
      </c>
    </row>
    <row r="467" spans="1:15" ht="16.5">
      <c r="A467" s="58" t="str">
        <f t="shared" si="244"/>
        <v>P29</v>
      </c>
      <c r="B467" s="59" t="s">
        <v>4</v>
      </c>
      <c r="C467" s="61">
        <v>175900</v>
      </c>
      <c r="D467" s="61">
        <f>+L467</f>
        <v>646000</v>
      </c>
      <c r="E467" s="61">
        <f t="shared" si="253"/>
        <v>623300</v>
      </c>
      <c r="F467" s="61">
        <f t="shared" si="254"/>
        <v>50000</v>
      </c>
      <c r="G467" s="61">
        <f t="shared" si="243"/>
        <v>0</v>
      </c>
      <c r="H467" s="61">
        <v>148600</v>
      </c>
      <c r="I467" s="61">
        <f>+C467+D467-E467-F467+G467</f>
        <v>148600</v>
      </c>
      <c r="J467" s="9">
        <f t="shared" si="255"/>
        <v>0</v>
      </c>
      <c r="K467" s="45" t="s">
        <v>29</v>
      </c>
      <c r="L467" s="47">
        <v>646000</v>
      </c>
      <c r="M467" s="47">
        <v>50000</v>
      </c>
      <c r="N467" s="187">
        <v>623300</v>
      </c>
      <c r="O467" s="47">
        <v>0</v>
      </c>
    </row>
    <row r="468" spans="1:15" ht="16.5">
      <c r="A468" s="58" t="str">
        <f t="shared" si="244"/>
        <v>Tiffany</v>
      </c>
      <c r="B468" s="59" t="s">
        <v>2</v>
      </c>
      <c r="C468" s="61">
        <v>-20702</v>
      </c>
      <c r="D468" s="61">
        <f t="shared" ref="D468" si="256">+L468</f>
        <v>179000</v>
      </c>
      <c r="E468" s="61">
        <f t="shared" si="253"/>
        <v>168472</v>
      </c>
      <c r="F468" s="61">
        <f t="shared" si="254"/>
        <v>0</v>
      </c>
      <c r="G468" s="61">
        <f t="shared" si="243"/>
        <v>0</v>
      </c>
      <c r="H468" s="61">
        <v>-10174</v>
      </c>
      <c r="I468" s="61">
        <f>+C468+D468-E468-F468+G468</f>
        <v>-10174</v>
      </c>
      <c r="J468" s="9">
        <f>I468-H468</f>
        <v>0</v>
      </c>
      <c r="K468" s="45" t="s">
        <v>113</v>
      </c>
      <c r="L468" s="47">
        <v>179000</v>
      </c>
      <c r="M468" s="47">
        <v>0</v>
      </c>
      <c r="N468" s="47">
        <v>168472</v>
      </c>
      <c r="O468" s="47">
        <v>0</v>
      </c>
    </row>
    <row r="469" spans="1:15" ht="16.5">
      <c r="A469" s="10" t="s">
        <v>50</v>
      </c>
      <c r="B469" s="11"/>
      <c r="C469" s="12">
        <f t="shared" ref="C469:I469" si="257">SUM(C455:C468)</f>
        <v>26480645</v>
      </c>
      <c r="D469" s="57">
        <f t="shared" si="257"/>
        <v>4641000</v>
      </c>
      <c r="E469" s="57">
        <f t="shared" si="257"/>
        <v>8157247</v>
      </c>
      <c r="F469" s="57">
        <f t="shared" si="257"/>
        <v>4641000</v>
      </c>
      <c r="G469" s="57">
        <f t="shared" si="257"/>
        <v>0</v>
      </c>
      <c r="H469" s="57">
        <f t="shared" si="257"/>
        <v>18323398</v>
      </c>
      <c r="I469" s="57">
        <f t="shared" si="257"/>
        <v>18323398</v>
      </c>
      <c r="J469" s="9">
        <f>I469-H469</f>
        <v>0</v>
      </c>
      <c r="K469" s="3"/>
      <c r="L469" s="47">
        <f>+SUM(L455:L468)</f>
        <v>4641000</v>
      </c>
      <c r="M469" s="47">
        <f>+SUM(M455:M468)</f>
        <v>4641000</v>
      </c>
      <c r="N469" s="47">
        <f>+SUM(N455:N468)</f>
        <v>8157247</v>
      </c>
      <c r="O469" s="47">
        <f>+SUM(O455:O468)</f>
        <v>0</v>
      </c>
    </row>
    <row r="470" spans="1:15" ht="16.5">
      <c r="A470" s="10"/>
      <c r="B470" s="11"/>
      <c r="C470" s="12"/>
      <c r="D470" s="13"/>
      <c r="E470" s="12"/>
      <c r="F470" s="13"/>
      <c r="G470" s="12"/>
      <c r="H470" s="12"/>
      <c r="I470" s="134" t="b">
        <f>I469=D472</f>
        <v>1</v>
      </c>
      <c r="J470" s="9">
        <f>H469-I469</f>
        <v>0</v>
      </c>
      <c r="L470" s="5"/>
      <c r="M470" s="5"/>
      <c r="N470" s="5"/>
      <c r="O470" s="5"/>
    </row>
    <row r="471" spans="1:15" ht="16.5">
      <c r="A471" s="10" t="s">
        <v>262</v>
      </c>
      <c r="B471" s="11" t="s">
        <v>165</v>
      </c>
      <c r="C471" s="12" t="s">
        <v>166</v>
      </c>
      <c r="D471" s="12" t="s">
        <v>263</v>
      </c>
      <c r="E471" s="12" t="s">
        <v>51</v>
      </c>
      <c r="F471" s="12"/>
      <c r="G471" s="12">
        <f>+D469-F469</f>
        <v>0</v>
      </c>
      <c r="H471" s="12"/>
      <c r="I471" s="12"/>
    </row>
    <row r="472" spans="1:15" ht="16.5">
      <c r="A472" s="14">
        <f>C469</f>
        <v>26480645</v>
      </c>
      <c r="B472" s="15">
        <f>G469</f>
        <v>0</v>
      </c>
      <c r="C472" s="12">
        <f>E469</f>
        <v>8157247</v>
      </c>
      <c r="D472" s="12">
        <f>A472+B472-C472</f>
        <v>18323398</v>
      </c>
      <c r="E472" s="13">
        <f>I469-D472</f>
        <v>0</v>
      </c>
      <c r="F472" s="12"/>
      <c r="G472" s="12"/>
      <c r="H472" s="12"/>
      <c r="I472" s="12"/>
    </row>
    <row r="473" spans="1:15" ht="16.5">
      <c r="A473" s="14"/>
      <c r="B473" s="15"/>
      <c r="C473" s="12"/>
      <c r="D473" s="12"/>
      <c r="E473" s="13"/>
      <c r="F473" s="12"/>
      <c r="G473" s="12"/>
      <c r="H473" s="12"/>
      <c r="I473" s="12"/>
    </row>
    <row r="474" spans="1:15">
      <c r="A474" s="16" t="s">
        <v>52</v>
      </c>
      <c r="B474" s="16"/>
      <c r="C474" s="16"/>
      <c r="D474" s="17"/>
      <c r="E474" s="17"/>
      <c r="F474" s="17"/>
      <c r="G474" s="17"/>
      <c r="H474" s="17"/>
      <c r="I474" s="17"/>
    </row>
    <row r="475" spans="1:15">
      <c r="A475" s="18" t="s">
        <v>264</v>
      </c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5">
      <c r="A476" s="19"/>
      <c r="B476" s="17"/>
      <c r="C476" s="20"/>
      <c r="D476" s="20"/>
      <c r="E476" s="20"/>
      <c r="F476" s="20"/>
      <c r="G476" s="20"/>
      <c r="H476" s="17"/>
      <c r="I476" s="17"/>
    </row>
    <row r="477" spans="1:15" ht="45" customHeight="1">
      <c r="A477" s="169" t="s">
        <v>53</v>
      </c>
      <c r="B477" s="171" t="s">
        <v>54</v>
      </c>
      <c r="C477" s="173" t="s">
        <v>265</v>
      </c>
      <c r="D477" s="174" t="s">
        <v>55</v>
      </c>
      <c r="E477" s="175"/>
      <c r="F477" s="175"/>
      <c r="G477" s="176"/>
      <c r="H477" s="177" t="s">
        <v>56</v>
      </c>
      <c r="I477" s="165" t="s">
        <v>57</v>
      </c>
      <c r="J477" s="210"/>
    </row>
    <row r="478" spans="1:15" ht="28.5" customHeight="1">
      <c r="A478" s="170"/>
      <c r="B478" s="172"/>
      <c r="C478" s="22"/>
      <c r="D478" s="21" t="s">
        <v>24</v>
      </c>
      <c r="E478" s="21" t="s">
        <v>25</v>
      </c>
      <c r="F478" s="22" t="s">
        <v>123</v>
      </c>
      <c r="G478" s="21" t="s">
        <v>58</v>
      </c>
      <c r="H478" s="178"/>
      <c r="I478" s="166"/>
      <c r="J478" s="168" t="s">
        <v>266</v>
      </c>
      <c r="K478" s="143"/>
    </row>
    <row r="479" spans="1:15">
      <c r="A479" s="23"/>
      <c r="B479" s="24" t="s">
        <v>59</v>
      </c>
      <c r="C479" s="25"/>
      <c r="D479" s="25"/>
      <c r="E479" s="25"/>
      <c r="F479" s="25"/>
      <c r="G479" s="25"/>
      <c r="H479" s="25"/>
      <c r="I479" s="26"/>
      <c r="J479" s="168"/>
      <c r="K479" s="143"/>
    </row>
    <row r="480" spans="1:15">
      <c r="A480" s="122" t="s">
        <v>103</v>
      </c>
      <c r="B480" s="127" t="s">
        <v>47</v>
      </c>
      <c r="C480" s="32">
        <f>+C458</f>
        <v>409530</v>
      </c>
      <c r="D480" s="31"/>
      <c r="E480" s="32">
        <f t="shared" ref="E480:E490" si="258">+D458</f>
        <v>435000</v>
      </c>
      <c r="F480" s="32"/>
      <c r="G480" s="32"/>
      <c r="H480" s="55">
        <f t="shared" ref="H480:H490" si="259">+F458</f>
        <v>0</v>
      </c>
      <c r="I480" s="32">
        <f t="shared" ref="I480:I490" si="260">+E458</f>
        <v>755325</v>
      </c>
      <c r="J480" s="30">
        <f t="shared" ref="J480" si="261">+SUM(C480:G480)-(H480+I480)</f>
        <v>89205</v>
      </c>
      <c r="K480" s="144" t="b">
        <f>J480=I458</f>
        <v>1</v>
      </c>
    </row>
    <row r="481" spans="1:11">
      <c r="A481" s="122" t="str">
        <f>+A480</f>
        <v>DECEMBRE</v>
      </c>
      <c r="B481" s="127" t="s">
        <v>255</v>
      </c>
      <c r="C481" s="32">
        <f t="shared" ref="C481:C482" si="262">+C459</f>
        <v>9700</v>
      </c>
      <c r="D481" s="31"/>
      <c r="E481" s="32">
        <f t="shared" si="258"/>
        <v>389000</v>
      </c>
      <c r="F481" s="32"/>
      <c r="G481" s="32"/>
      <c r="H481" s="55">
        <f t="shared" si="259"/>
        <v>0</v>
      </c>
      <c r="I481" s="32">
        <f t="shared" si="260"/>
        <v>162500</v>
      </c>
      <c r="J481" s="101">
        <f t="shared" ref="J481" si="263">+SUM(C481:G481)-(H481+I481)</f>
        <v>236200</v>
      </c>
      <c r="K481" s="144" t="b">
        <f>J481=I459</f>
        <v>1</v>
      </c>
    </row>
    <row r="482" spans="1:11">
      <c r="A482" s="122" t="str">
        <f t="shared" ref="A482:A490" si="264">+A481</f>
        <v>DECEMBRE</v>
      </c>
      <c r="B482" s="127" t="s">
        <v>31</v>
      </c>
      <c r="C482" s="32">
        <f t="shared" si="262"/>
        <v>265425</v>
      </c>
      <c r="D482" s="31"/>
      <c r="E482" s="32">
        <f t="shared" si="258"/>
        <v>0</v>
      </c>
      <c r="F482" s="32"/>
      <c r="G482" s="32"/>
      <c r="H482" s="55">
        <f t="shared" si="259"/>
        <v>125000</v>
      </c>
      <c r="I482" s="32">
        <f t="shared" si="260"/>
        <v>128750</v>
      </c>
      <c r="J482" s="101">
        <f t="shared" ref="J482" si="265">+SUM(C482:G482)-(H482+I482)</f>
        <v>11675</v>
      </c>
      <c r="K482" s="144" t="b">
        <f t="shared" ref="K482:K490" si="266">J482=I460</f>
        <v>1</v>
      </c>
    </row>
    <row r="483" spans="1:11">
      <c r="A483" s="122" t="str">
        <f t="shared" si="264"/>
        <v>DECEMBRE</v>
      </c>
      <c r="B483" s="129" t="s">
        <v>84</v>
      </c>
      <c r="C483" s="120">
        <f>+C461</f>
        <v>233614</v>
      </c>
      <c r="D483" s="123"/>
      <c r="E483" s="120">
        <f t="shared" si="258"/>
        <v>0</v>
      </c>
      <c r="F483" s="137"/>
      <c r="G483" s="137"/>
      <c r="H483" s="155">
        <f t="shared" si="259"/>
        <v>0</v>
      </c>
      <c r="I483" s="120">
        <f t="shared" si="260"/>
        <v>0</v>
      </c>
      <c r="J483" s="121">
        <f>+SUM(C483:G483)-(H483+I483)</f>
        <v>233614</v>
      </c>
      <c r="K483" s="144" t="b">
        <f t="shared" si="266"/>
        <v>1</v>
      </c>
    </row>
    <row r="484" spans="1:11">
      <c r="A484" s="122" t="str">
        <f t="shared" si="264"/>
        <v>DECEMBRE</v>
      </c>
      <c r="B484" s="129" t="s">
        <v>83</v>
      </c>
      <c r="C484" s="120">
        <f>+C462</f>
        <v>249769</v>
      </c>
      <c r="D484" s="123"/>
      <c r="E484" s="120">
        <f t="shared" si="258"/>
        <v>0</v>
      </c>
      <c r="F484" s="137"/>
      <c r="G484" s="137"/>
      <c r="H484" s="155">
        <f t="shared" si="259"/>
        <v>0</v>
      </c>
      <c r="I484" s="120">
        <f t="shared" si="260"/>
        <v>0</v>
      </c>
      <c r="J484" s="121">
        <f t="shared" ref="J484:J490" si="267">+SUM(C484:G484)-(H484+I484)</f>
        <v>249769</v>
      </c>
      <c r="K484" s="144" t="b">
        <f t="shared" si="266"/>
        <v>1</v>
      </c>
    </row>
    <row r="485" spans="1:11">
      <c r="A485" s="122" t="str">
        <f t="shared" si="264"/>
        <v>DECEMBRE</v>
      </c>
      <c r="B485" s="127" t="s">
        <v>143</v>
      </c>
      <c r="C485" s="32">
        <f>+C463</f>
        <v>596200</v>
      </c>
      <c r="D485" s="31"/>
      <c r="E485" s="32">
        <f t="shared" si="258"/>
        <v>0</v>
      </c>
      <c r="F485" s="32"/>
      <c r="G485" s="104"/>
      <c r="H485" s="55">
        <f t="shared" si="259"/>
        <v>501000</v>
      </c>
      <c r="I485" s="32">
        <f t="shared" si="260"/>
        <v>83400</v>
      </c>
      <c r="J485" s="30">
        <f t="shared" si="267"/>
        <v>11800</v>
      </c>
      <c r="K485" s="144" t="b">
        <f t="shared" si="266"/>
        <v>1</v>
      </c>
    </row>
    <row r="486" spans="1:11">
      <c r="A486" s="122" t="str">
        <f t="shared" si="264"/>
        <v>DECEMBRE</v>
      </c>
      <c r="B486" s="127" t="s">
        <v>197</v>
      </c>
      <c r="C486" s="32">
        <f t="shared" ref="C486:C490" si="268">+C464</f>
        <v>144700</v>
      </c>
      <c r="D486" s="31"/>
      <c r="E486" s="32">
        <f t="shared" si="258"/>
        <v>326000</v>
      </c>
      <c r="F486" s="32"/>
      <c r="G486" s="104"/>
      <c r="H486" s="55">
        <f t="shared" si="259"/>
        <v>159000</v>
      </c>
      <c r="I486" s="32">
        <f t="shared" si="260"/>
        <v>292950</v>
      </c>
      <c r="J486" s="30">
        <f t="shared" si="267"/>
        <v>18750</v>
      </c>
      <c r="K486" s="144" t="b">
        <f t="shared" si="266"/>
        <v>1</v>
      </c>
    </row>
    <row r="487" spans="1:11">
      <c r="A487" s="122" t="str">
        <f t="shared" si="264"/>
        <v>DECEMBRE</v>
      </c>
      <c r="B487" s="127" t="s">
        <v>93</v>
      </c>
      <c r="C487" s="32">
        <f t="shared" si="268"/>
        <v>-2900</v>
      </c>
      <c r="D487" s="31"/>
      <c r="E487" s="32">
        <f t="shared" si="258"/>
        <v>0</v>
      </c>
      <c r="F487" s="32"/>
      <c r="G487" s="104"/>
      <c r="H487" s="55">
        <f t="shared" si="259"/>
        <v>0</v>
      </c>
      <c r="I487" s="32">
        <f t="shared" si="260"/>
        <v>0</v>
      </c>
      <c r="J487" s="30">
        <f t="shared" si="267"/>
        <v>-2900</v>
      </c>
      <c r="K487" s="144" t="b">
        <f t="shared" si="266"/>
        <v>1</v>
      </c>
    </row>
    <row r="488" spans="1:11">
      <c r="A488" s="122" t="str">
        <f t="shared" si="264"/>
        <v>DECEMBRE</v>
      </c>
      <c r="B488" s="127" t="s">
        <v>254</v>
      </c>
      <c r="C488" s="32">
        <f t="shared" si="268"/>
        <v>103900</v>
      </c>
      <c r="D488" s="31"/>
      <c r="E488" s="32">
        <f t="shared" si="258"/>
        <v>205000</v>
      </c>
      <c r="F488" s="32"/>
      <c r="G488" s="104"/>
      <c r="H488" s="55">
        <f t="shared" si="259"/>
        <v>37000</v>
      </c>
      <c r="I488" s="32">
        <f t="shared" si="260"/>
        <v>271900</v>
      </c>
      <c r="J488" s="30">
        <f t="shared" si="267"/>
        <v>0</v>
      </c>
      <c r="K488" s="144" t="b">
        <f t="shared" si="266"/>
        <v>1</v>
      </c>
    </row>
    <row r="489" spans="1:11">
      <c r="A489" s="122" t="str">
        <f t="shared" si="264"/>
        <v>DECEMBRE</v>
      </c>
      <c r="B489" s="127" t="s">
        <v>29</v>
      </c>
      <c r="C489" s="32">
        <f t="shared" si="268"/>
        <v>175900</v>
      </c>
      <c r="D489" s="31"/>
      <c r="E489" s="32">
        <f t="shared" si="258"/>
        <v>646000</v>
      </c>
      <c r="F489" s="32"/>
      <c r="G489" s="104"/>
      <c r="H489" s="55">
        <f t="shared" si="259"/>
        <v>50000</v>
      </c>
      <c r="I489" s="32">
        <f t="shared" si="260"/>
        <v>623300</v>
      </c>
      <c r="J489" s="30">
        <f t="shared" si="267"/>
        <v>148600</v>
      </c>
      <c r="K489" s="144" t="b">
        <f t="shared" si="266"/>
        <v>1</v>
      </c>
    </row>
    <row r="490" spans="1:11">
      <c r="A490" s="122" t="str">
        <f t="shared" si="264"/>
        <v>DECEMBRE</v>
      </c>
      <c r="B490" s="128" t="s">
        <v>113</v>
      </c>
      <c r="C490" s="32">
        <f t="shared" si="268"/>
        <v>-20702</v>
      </c>
      <c r="D490" s="119"/>
      <c r="E490" s="32">
        <f t="shared" si="258"/>
        <v>179000</v>
      </c>
      <c r="F490" s="51"/>
      <c r="G490" s="138"/>
      <c r="H490" s="55">
        <f t="shared" si="259"/>
        <v>0</v>
      </c>
      <c r="I490" s="32">
        <f t="shared" si="260"/>
        <v>168472</v>
      </c>
      <c r="J490" s="30">
        <f t="shared" si="267"/>
        <v>-10174</v>
      </c>
      <c r="K490" s="144" t="b">
        <f t="shared" si="266"/>
        <v>1</v>
      </c>
    </row>
    <row r="491" spans="1:11">
      <c r="A491" s="34" t="s">
        <v>60</v>
      </c>
      <c r="B491" s="35"/>
      <c r="C491" s="35"/>
      <c r="D491" s="35"/>
      <c r="E491" s="35"/>
      <c r="F491" s="35"/>
      <c r="G491" s="35"/>
      <c r="H491" s="35"/>
      <c r="I491" s="35"/>
      <c r="J491" s="36"/>
      <c r="K491" s="143"/>
    </row>
    <row r="492" spans="1:11">
      <c r="A492" s="122" t="str">
        <f>A490</f>
        <v>DECEMBRE</v>
      </c>
      <c r="B492" s="37" t="s">
        <v>61</v>
      </c>
      <c r="C492" s="38">
        <f>+C457</f>
        <v>2476103</v>
      </c>
      <c r="D492" s="49"/>
      <c r="E492" s="49">
        <f>D457</f>
        <v>2461000</v>
      </c>
      <c r="F492" s="49"/>
      <c r="G492" s="125"/>
      <c r="H492" s="51">
        <f>+F457</f>
        <v>1769000</v>
      </c>
      <c r="I492" s="126">
        <f>+E457</f>
        <v>1832504</v>
      </c>
      <c r="J492" s="30">
        <f>+SUM(C492:G492)-(H492+I492)</f>
        <v>1335599</v>
      </c>
      <c r="K492" s="144" t="b">
        <f>J492=I457</f>
        <v>1</v>
      </c>
    </row>
    <row r="493" spans="1:11">
      <c r="A493" s="43" t="s">
        <v>62</v>
      </c>
      <c r="B493" s="24"/>
      <c r="C493" s="35"/>
      <c r="D493" s="24"/>
      <c r="E493" s="24"/>
      <c r="F493" s="24"/>
      <c r="G493" s="24"/>
      <c r="H493" s="24"/>
      <c r="I493" s="24"/>
      <c r="J493" s="36"/>
      <c r="K493" s="143"/>
    </row>
    <row r="494" spans="1:11">
      <c r="A494" s="122" t="str">
        <f>+A492</f>
        <v>DECEMBRE</v>
      </c>
      <c r="B494" s="37" t="s">
        <v>156</v>
      </c>
      <c r="C494" s="125">
        <f>+C455</f>
        <v>16218242</v>
      </c>
      <c r="D494" s="132">
        <f>+G455</f>
        <v>0</v>
      </c>
      <c r="E494" s="49"/>
      <c r="F494" s="49"/>
      <c r="G494" s="49"/>
      <c r="H494" s="51">
        <f>+F455</f>
        <v>2000000</v>
      </c>
      <c r="I494" s="53">
        <f>+E455</f>
        <v>693345</v>
      </c>
      <c r="J494" s="30">
        <f>+SUM(C494:G494)-(H494+I494)</f>
        <v>13524897</v>
      </c>
      <c r="K494" s="144" t="b">
        <f>+J494=I455</f>
        <v>1</v>
      </c>
    </row>
    <row r="495" spans="1:11">
      <c r="A495" s="122" t="str">
        <f t="shared" ref="A495" si="269">+A494</f>
        <v>DECEMBRE</v>
      </c>
      <c r="B495" s="37" t="s">
        <v>64</v>
      </c>
      <c r="C495" s="125">
        <f>+C456</f>
        <v>5621164</v>
      </c>
      <c r="D495" s="49">
        <f>+G456</f>
        <v>0</v>
      </c>
      <c r="E495" s="48"/>
      <c r="F495" s="48"/>
      <c r="G495" s="48"/>
      <c r="H495" s="32">
        <f>+F456</f>
        <v>0</v>
      </c>
      <c r="I495" s="50">
        <f>+E456</f>
        <v>3144801</v>
      </c>
      <c r="J495" s="30">
        <f>SUM(C495:G495)-(H495+I495)</f>
        <v>2476363</v>
      </c>
      <c r="K495" s="144" t="b">
        <f>+J495=I456</f>
        <v>1</v>
      </c>
    </row>
    <row r="496" spans="1:11" ht="15.75">
      <c r="C496" s="141">
        <f>SUM(C480:C495)</f>
        <v>26480645</v>
      </c>
      <c r="I496" s="140">
        <f>SUM(I480:I495)</f>
        <v>8157247</v>
      </c>
      <c r="J496" s="105">
        <f>+SUM(J480:J495)</f>
        <v>18323398</v>
      </c>
      <c r="K496" s="5" t="b">
        <f>J496=I469</f>
        <v>1</v>
      </c>
    </row>
    <row r="497" spans="1:16" ht="15.75">
      <c r="C497" s="141"/>
      <c r="I497" s="140"/>
      <c r="J497" s="105"/>
    </row>
    <row r="498" spans="1:16" ht="15.75">
      <c r="A498" s="160"/>
      <c r="B498" s="160"/>
      <c r="C498" s="161"/>
      <c r="D498" s="160"/>
      <c r="E498" s="160"/>
      <c r="F498" s="160"/>
      <c r="G498" s="160"/>
      <c r="H498" s="160"/>
      <c r="I498" s="162"/>
      <c r="J498" s="163"/>
      <c r="K498" s="160"/>
      <c r="L498" s="164"/>
      <c r="M498" s="164"/>
      <c r="N498" s="164"/>
      <c r="O498" s="164"/>
      <c r="P498" s="160"/>
    </row>
    <row r="500" spans="1:16" ht="15.75">
      <c r="A500" s="6" t="s">
        <v>36</v>
      </c>
      <c r="B500" s="6" t="s">
        <v>1</v>
      </c>
      <c r="C500" s="6">
        <v>44866</v>
      </c>
      <c r="D500" s="7" t="s">
        <v>37</v>
      </c>
      <c r="E500" s="7" t="s">
        <v>38</v>
      </c>
      <c r="F500" s="7" t="s">
        <v>39</v>
      </c>
      <c r="G500" s="7" t="s">
        <v>40</v>
      </c>
      <c r="H500" s="6">
        <v>44895</v>
      </c>
      <c r="I500" s="7" t="s">
        <v>41</v>
      </c>
      <c r="K500" s="45"/>
      <c r="L500" s="45" t="s">
        <v>42</v>
      </c>
      <c r="M500" s="45" t="s">
        <v>43</v>
      </c>
      <c r="N500" s="45" t="s">
        <v>44</v>
      </c>
      <c r="O500" s="45" t="s">
        <v>45</v>
      </c>
    </row>
    <row r="501" spans="1:16" ht="16.5">
      <c r="A501" s="58" t="str">
        <f>K501</f>
        <v>BCI</v>
      </c>
      <c r="B501" s="59" t="s">
        <v>46</v>
      </c>
      <c r="C501" s="61">
        <v>9603727</v>
      </c>
      <c r="D501" s="61">
        <f>+L501</f>
        <v>0</v>
      </c>
      <c r="E501" s="61">
        <f>+N501</f>
        <v>173438</v>
      </c>
      <c r="F501" s="61">
        <f>+M501</f>
        <v>6000000</v>
      </c>
      <c r="G501" s="61">
        <f t="shared" ref="G501:G514" si="270">+O501</f>
        <v>12787953</v>
      </c>
      <c r="H501" s="61">
        <v>16218242</v>
      </c>
      <c r="I501" s="61">
        <f>+C501+D501-E501-F501+G501</f>
        <v>16218242</v>
      </c>
      <c r="J501" s="9">
        <f>I501-H501</f>
        <v>0</v>
      </c>
      <c r="K501" s="45" t="s">
        <v>24</v>
      </c>
      <c r="L501" s="47">
        <v>0</v>
      </c>
      <c r="M501" s="47">
        <v>6000000</v>
      </c>
      <c r="N501" s="47">
        <v>173438</v>
      </c>
      <c r="O501" s="47">
        <v>12787953</v>
      </c>
    </row>
    <row r="502" spans="1:16" ht="16.5">
      <c r="A502" s="58" t="str">
        <f t="shared" ref="A502:A514" si="271">K502</f>
        <v>BCI-Sous Compte</v>
      </c>
      <c r="B502" s="59" t="s">
        <v>46</v>
      </c>
      <c r="C502" s="61">
        <v>9538949</v>
      </c>
      <c r="D502" s="61">
        <f t="shared" ref="D502:D512" si="272">+L502</f>
        <v>0</v>
      </c>
      <c r="E502" s="61">
        <f t="shared" ref="E502:E506" si="273">+N502</f>
        <v>3917785</v>
      </c>
      <c r="F502" s="61">
        <f t="shared" ref="F502:F509" si="274">+M502</f>
        <v>0</v>
      </c>
      <c r="G502" s="61">
        <f t="shared" si="270"/>
        <v>0</v>
      </c>
      <c r="H502" s="61">
        <v>5621164</v>
      </c>
      <c r="I502" s="61">
        <f>+C502+D502-E502-F502+G502</f>
        <v>5621164</v>
      </c>
      <c r="J502" s="9">
        <f t="shared" ref="J502:J510" si="275">I502-H502</f>
        <v>0</v>
      </c>
      <c r="K502" s="45" t="s">
        <v>148</v>
      </c>
      <c r="L502" s="46">
        <v>0</v>
      </c>
      <c r="M502" s="47">
        <v>0</v>
      </c>
      <c r="N502" s="47">
        <v>3917785</v>
      </c>
      <c r="O502" s="47">
        <v>0</v>
      </c>
    </row>
    <row r="503" spans="1:16" ht="16.5">
      <c r="A503" s="58" t="str">
        <f t="shared" si="271"/>
        <v>Caisse</v>
      </c>
      <c r="B503" s="59" t="s">
        <v>25</v>
      </c>
      <c r="C503" s="61">
        <v>2105331</v>
      </c>
      <c r="D503" s="61">
        <f t="shared" si="272"/>
        <v>6149000</v>
      </c>
      <c r="E503" s="61">
        <f t="shared" si="273"/>
        <v>1843228</v>
      </c>
      <c r="F503" s="61">
        <f t="shared" si="274"/>
        <v>3935000</v>
      </c>
      <c r="G503" s="61">
        <f t="shared" si="270"/>
        <v>0</v>
      </c>
      <c r="H503" s="61">
        <v>2476103</v>
      </c>
      <c r="I503" s="61">
        <f>+C503+D503-E503-F503+G503</f>
        <v>2476103</v>
      </c>
      <c r="J503" s="102">
        <f t="shared" si="275"/>
        <v>0</v>
      </c>
      <c r="K503" s="45" t="s">
        <v>25</v>
      </c>
      <c r="L503" s="47">
        <v>6149000</v>
      </c>
      <c r="M503" s="47">
        <v>3935000</v>
      </c>
      <c r="N503" s="47">
        <v>1843228</v>
      </c>
      <c r="O503" s="47">
        <v>0</v>
      </c>
    </row>
    <row r="504" spans="1:16" ht="16.5">
      <c r="A504" s="58" t="str">
        <f t="shared" si="271"/>
        <v>Crépin</v>
      </c>
      <c r="B504" s="59" t="s">
        <v>154</v>
      </c>
      <c r="C504" s="61">
        <v>113930</v>
      </c>
      <c r="D504" s="61">
        <f t="shared" si="272"/>
        <v>614000</v>
      </c>
      <c r="E504" s="61">
        <f t="shared" si="273"/>
        <v>238400</v>
      </c>
      <c r="F504" s="61">
        <f t="shared" si="274"/>
        <v>80000</v>
      </c>
      <c r="G504" s="61">
        <f t="shared" si="270"/>
        <v>0</v>
      </c>
      <c r="H504" s="61">
        <v>409530</v>
      </c>
      <c r="I504" s="61">
        <f>+C504+D504-E504-F504+G504</f>
        <v>409530</v>
      </c>
      <c r="J504" s="9">
        <f t="shared" si="275"/>
        <v>0</v>
      </c>
      <c r="K504" s="45" t="s">
        <v>47</v>
      </c>
      <c r="L504" s="47">
        <v>614000</v>
      </c>
      <c r="M504" s="47">
        <v>80000</v>
      </c>
      <c r="N504" s="47">
        <v>238400</v>
      </c>
      <c r="O504" s="47">
        <v>0</v>
      </c>
    </row>
    <row r="505" spans="1:16" ht="16.5">
      <c r="A505" s="58" t="str">
        <f t="shared" si="271"/>
        <v>Donald</v>
      </c>
      <c r="B505" s="59" t="s">
        <v>154</v>
      </c>
      <c r="C505" s="61">
        <v>13000</v>
      </c>
      <c r="D505" s="61">
        <f t="shared" si="272"/>
        <v>521000</v>
      </c>
      <c r="E505" s="61">
        <f t="shared" si="273"/>
        <v>504300</v>
      </c>
      <c r="F505" s="61">
        <f t="shared" si="274"/>
        <v>20000</v>
      </c>
      <c r="G505" s="61">
        <f t="shared" si="270"/>
        <v>0</v>
      </c>
      <c r="H505" s="61">
        <v>9700</v>
      </c>
      <c r="I505" s="61">
        <f t="shared" ref="I505:I506" si="276">+C505+D505-E505-F505+G505</f>
        <v>9700</v>
      </c>
      <c r="J505" s="9">
        <f t="shared" si="275"/>
        <v>0</v>
      </c>
      <c r="K505" s="45" t="s">
        <v>255</v>
      </c>
      <c r="L505" s="47">
        <v>521000</v>
      </c>
      <c r="M505" s="47">
        <v>20000</v>
      </c>
      <c r="N505" s="47">
        <v>504300</v>
      </c>
      <c r="O505" s="47">
        <v>0</v>
      </c>
    </row>
    <row r="506" spans="1:16" ht="16.5">
      <c r="A506" s="58" t="str">
        <f t="shared" si="271"/>
        <v>Evariste</v>
      </c>
      <c r="B506" s="59" t="s">
        <v>155</v>
      </c>
      <c r="C506" s="61">
        <v>11575</v>
      </c>
      <c r="D506" s="61">
        <f t="shared" si="272"/>
        <v>324000</v>
      </c>
      <c r="E506" s="61">
        <f t="shared" si="273"/>
        <v>70150</v>
      </c>
      <c r="F506" s="61">
        <f t="shared" si="274"/>
        <v>0</v>
      </c>
      <c r="G506" s="61">
        <f t="shared" si="270"/>
        <v>0</v>
      </c>
      <c r="H506" s="61">
        <v>265425</v>
      </c>
      <c r="I506" s="61">
        <f t="shared" si="276"/>
        <v>265425</v>
      </c>
      <c r="J506" s="9">
        <f t="shared" si="275"/>
        <v>0</v>
      </c>
      <c r="K506" s="45" t="s">
        <v>31</v>
      </c>
      <c r="L506" s="47">
        <v>324000</v>
      </c>
      <c r="M506" s="47">
        <v>0</v>
      </c>
      <c r="N506" s="47">
        <v>70150</v>
      </c>
      <c r="O506" s="47">
        <v>0</v>
      </c>
    </row>
    <row r="507" spans="1:16" ht="16.5">
      <c r="A507" s="58" t="str">
        <f t="shared" si="271"/>
        <v>I55S</v>
      </c>
      <c r="B507" s="116" t="s">
        <v>4</v>
      </c>
      <c r="C507" s="118">
        <v>233614</v>
      </c>
      <c r="D507" s="118">
        <f t="shared" si="272"/>
        <v>0</v>
      </c>
      <c r="E507" s="118">
        <f>+N507</f>
        <v>0</v>
      </c>
      <c r="F507" s="118">
        <f t="shared" si="274"/>
        <v>0</v>
      </c>
      <c r="G507" s="118">
        <f t="shared" si="270"/>
        <v>0</v>
      </c>
      <c r="H507" s="118">
        <v>233614</v>
      </c>
      <c r="I507" s="118">
        <f>+C507+D507-E507-F507+G507</f>
        <v>233614</v>
      </c>
      <c r="J507" s="9">
        <f t="shared" si="275"/>
        <v>0</v>
      </c>
      <c r="K507" s="45" t="s">
        <v>84</v>
      </c>
      <c r="L507" s="47">
        <v>0</v>
      </c>
      <c r="M507" s="47">
        <v>0</v>
      </c>
      <c r="N507" s="47">
        <v>0</v>
      </c>
      <c r="O507" s="47">
        <v>0</v>
      </c>
    </row>
    <row r="508" spans="1:16" ht="16.5">
      <c r="A508" s="58" t="str">
        <f t="shared" si="271"/>
        <v>I73X</v>
      </c>
      <c r="B508" s="116" t="s">
        <v>4</v>
      </c>
      <c r="C508" s="118">
        <v>249769</v>
      </c>
      <c r="D508" s="118">
        <f t="shared" si="272"/>
        <v>0</v>
      </c>
      <c r="E508" s="118">
        <f>+N508</f>
        <v>0</v>
      </c>
      <c r="F508" s="118">
        <f t="shared" si="274"/>
        <v>0</v>
      </c>
      <c r="G508" s="118">
        <f t="shared" si="270"/>
        <v>0</v>
      </c>
      <c r="H508" s="118">
        <v>249769</v>
      </c>
      <c r="I508" s="118">
        <f t="shared" ref="I508:I512" si="277">+C508+D508-E508-F508+G508</f>
        <v>249769</v>
      </c>
      <c r="J508" s="9">
        <f t="shared" si="275"/>
        <v>0</v>
      </c>
      <c r="K508" s="45" t="s">
        <v>83</v>
      </c>
      <c r="L508" s="47">
        <v>0</v>
      </c>
      <c r="M508" s="47">
        <v>0</v>
      </c>
      <c r="N508" s="47">
        <v>0</v>
      </c>
      <c r="O508" s="47">
        <v>0</v>
      </c>
    </row>
    <row r="509" spans="1:16" s="188" customFormat="1" ht="16.5">
      <c r="A509" s="58" t="str">
        <f t="shared" ref="A509" si="278">K509</f>
        <v>Grace</v>
      </c>
      <c r="B509" s="183" t="s">
        <v>2</v>
      </c>
      <c r="C509" s="184">
        <v>0</v>
      </c>
      <c r="D509" s="61">
        <f t="shared" ref="D509" si="279">+L509</f>
        <v>950000</v>
      </c>
      <c r="E509" s="61">
        <f t="shared" ref="E509" si="280">+N509</f>
        <v>33800</v>
      </c>
      <c r="F509" s="61">
        <f t="shared" si="274"/>
        <v>320000</v>
      </c>
      <c r="G509" s="61">
        <f t="shared" ref="G509" si="281">+O509</f>
        <v>0</v>
      </c>
      <c r="H509" s="184">
        <v>596200</v>
      </c>
      <c r="I509" s="184">
        <f t="shared" ref="I509" si="282">+C509+D509-E509-F509+G509</f>
        <v>596200</v>
      </c>
      <c r="J509" s="185">
        <f>I509-H509</f>
        <v>0</v>
      </c>
      <c r="K509" s="186" t="s">
        <v>143</v>
      </c>
      <c r="L509" s="187">
        <v>950000</v>
      </c>
      <c r="M509" s="187">
        <v>320000</v>
      </c>
      <c r="N509" s="47">
        <v>33800</v>
      </c>
      <c r="O509" s="187">
        <v>0</v>
      </c>
    </row>
    <row r="510" spans="1:16" ht="16.5">
      <c r="A510" s="58" t="str">
        <f t="shared" si="271"/>
        <v>Hurielle</v>
      </c>
      <c r="B510" s="98" t="s">
        <v>154</v>
      </c>
      <c r="C510" s="61">
        <v>46900</v>
      </c>
      <c r="D510" s="61">
        <f t="shared" si="272"/>
        <v>603000</v>
      </c>
      <c r="E510" s="61">
        <f>+N510</f>
        <v>456200</v>
      </c>
      <c r="F510" s="61">
        <f>+M510</f>
        <v>49000</v>
      </c>
      <c r="G510" s="61">
        <f t="shared" si="270"/>
        <v>0</v>
      </c>
      <c r="H510" s="61">
        <v>144700</v>
      </c>
      <c r="I510" s="61">
        <f t="shared" si="277"/>
        <v>144700</v>
      </c>
      <c r="J510" s="9">
        <f t="shared" si="275"/>
        <v>0</v>
      </c>
      <c r="K510" s="45" t="s">
        <v>197</v>
      </c>
      <c r="L510" s="47">
        <v>603000</v>
      </c>
      <c r="M510" s="47">
        <v>49000</v>
      </c>
      <c r="N510" s="47">
        <v>456200</v>
      </c>
      <c r="O510" s="47">
        <v>0</v>
      </c>
    </row>
    <row r="511" spans="1:16" s="188" customFormat="1" ht="16.5">
      <c r="A511" s="58" t="str">
        <f t="shared" si="271"/>
        <v>Merveille</v>
      </c>
      <c r="B511" s="183" t="s">
        <v>2</v>
      </c>
      <c r="C511" s="184">
        <v>14100</v>
      </c>
      <c r="D511" s="61">
        <f t="shared" si="272"/>
        <v>0</v>
      </c>
      <c r="E511" s="61">
        <f t="shared" ref="E511:E514" si="283">+N511</f>
        <v>17000</v>
      </c>
      <c r="F511" s="61">
        <f t="shared" ref="F511:F514" si="284">+M511</f>
        <v>0</v>
      </c>
      <c r="G511" s="61">
        <f t="shared" si="270"/>
        <v>0</v>
      </c>
      <c r="H511" s="184">
        <v>-2900</v>
      </c>
      <c r="I511" s="184">
        <f t="shared" si="277"/>
        <v>-2900</v>
      </c>
      <c r="J511" s="185">
        <f>I511-H511</f>
        <v>0</v>
      </c>
      <c r="K511" s="186" t="s">
        <v>93</v>
      </c>
      <c r="L511" s="187">
        <v>0</v>
      </c>
      <c r="M511" s="187">
        <v>0</v>
      </c>
      <c r="N511" s="47">
        <v>17000</v>
      </c>
      <c r="O511" s="187">
        <v>0</v>
      </c>
    </row>
    <row r="512" spans="1:16" ht="16.5">
      <c r="A512" s="58" t="str">
        <f t="shared" si="271"/>
        <v>P10</v>
      </c>
      <c r="B512" s="98" t="s">
        <v>4</v>
      </c>
      <c r="C512" s="61">
        <v>-3000</v>
      </c>
      <c r="D512" s="61">
        <f t="shared" si="272"/>
        <v>685000</v>
      </c>
      <c r="E512" s="61">
        <f t="shared" si="283"/>
        <v>578100</v>
      </c>
      <c r="F512" s="61">
        <f t="shared" si="284"/>
        <v>0</v>
      </c>
      <c r="G512" s="61">
        <f t="shared" si="270"/>
        <v>0</v>
      </c>
      <c r="H512" s="61">
        <v>103900</v>
      </c>
      <c r="I512" s="61">
        <f t="shared" si="277"/>
        <v>103900</v>
      </c>
      <c r="J512" s="9">
        <f t="shared" ref="J512:J513" si="285">I512-H512</f>
        <v>0</v>
      </c>
      <c r="K512" s="45" t="s">
        <v>254</v>
      </c>
      <c r="L512" s="47">
        <v>685000</v>
      </c>
      <c r="M512" s="47">
        <v>0</v>
      </c>
      <c r="N512" s="47">
        <v>578100</v>
      </c>
      <c r="O512" s="47">
        <v>0</v>
      </c>
    </row>
    <row r="513" spans="1:15" ht="16.5">
      <c r="A513" s="58" t="str">
        <f t="shared" si="271"/>
        <v>P29</v>
      </c>
      <c r="B513" s="59" t="s">
        <v>4</v>
      </c>
      <c r="C513" s="61">
        <v>56000</v>
      </c>
      <c r="D513" s="61">
        <f>+L513</f>
        <v>538000</v>
      </c>
      <c r="E513" s="61">
        <f t="shared" si="283"/>
        <v>418100</v>
      </c>
      <c r="F513" s="61">
        <f t="shared" si="284"/>
        <v>0</v>
      </c>
      <c r="G513" s="61">
        <f t="shared" si="270"/>
        <v>0</v>
      </c>
      <c r="H513" s="61">
        <v>175900</v>
      </c>
      <c r="I513" s="61">
        <f>+C513+D513-E513-F513+G513</f>
        <v>175900</v>
      </c>
      <c r="J513" s="9">
        <f t="shared" si="285"/>
        <v>0</v>
      </c>
      <c r="K513" s="45" t="s">
        <v>29</v>
      </c>
      <c r="L513" s="47">
        <v>538000</v>
      </c>
      <c r="M513" s="47">
        <v>0</v>
      </c>
      <c r="N513" s="187">
        <v>418100</v>
      </c>
      <c r="O513" s="47">
        <v>0</v>
      </c>
    </row>
    <row r="514" spans="1:15" ht="16.5">
      <c r="A514" s="58" t="str">
        <f t="shared" si="271"/>
        <v>Tiffany</v>
      </c>
      <c r="B514" s="59" t="s">
        <v>2</v>
      </c>
      <c r="C514" s="61">
        <v>18298</v>
      </c>
      <c r="D514" s="61">
        <f t="shared" ref="D514" si="286">+L514</f>
        <v>20000</v>
      </c>
      <c r="E514" s="61">
        <f t="shared" si="283"/>
        <v>59000</v>
      </c>
      <c r="F514" s="61">
        <f t="shared" si="284"/>
        <v>0</v>
      </c>
      <c r="G514" s="61">
        <f t="shared" si="270"/>
        <v>0</v>
      </c>
      <c r="H514" s="61">
        <v>-20702</v>
      </c>
      <c r="I514" s="61">
        <f>+C514+D514-E514-F514+G514</f>
        <v>-20702</v>
      </c>
      <c r="J514" s="9">
        <f>I514-H514</f>
        <v>0</v>
      </c>
      <c r="K514" s="45" t="s">
        <v>113</v>
      </c>
      <c r="L514" s="47">
        <v>20000</v>
      </c>
      <c r="M514" s="47">
        <v>0</v>
      </c>
      <c r="N514" s="47">
        <v>59000</v>
      </c>
      <c r="O514" s="47">
        <v>0</v>
      </c>
    </row>
    <row r="515" spans="1:15" ht="16.5">
      <c r="A515" s="10" t="s">
        <v>50</v>
      </c>
      <c r="B515" s="11"/>
      <c r="C515" s="12">
        <f t="shared" ref="C515:I515" si="287">SUM(C501:C514)</f>
        <v>22002193</v>
      </c>
      <c r="D515" s="57">
        <f t="shared" si="287"/>
        <v>10404000</v>
      </c>
      <c r="E515" s="57">
        <f t="shared" si="287"/>
        <v>8309501</v>
      </c>
      <c r="F515" s="57">
        <f t="shared" si="287"/>
        <v>10404000</v>
      </c>
      <c r="G515" s="57">
        <f t="shared" si="287"/>
        <v>12787953</v>
      </c>
      <c r="H515" s="57">
        <f t="shared" si="287"/>
        <v>26480645</v>
      </c>
      <c r="I515" s="57">
        <f t="shared" si="287"/>
        <v>26480645</v>
      </c>
      <c r="J515" s="9">
        <f>I515-H515</f>
        <v>0</v>
      </c>
      <c r="K515" s="3"/>
      <c r="L515" s="47">
        <f>+SUM(L501:L514)</f>
        <v>10404000</v>
      </c>
      <c r="M515" s="47">
        <f>+SUM(M501:M514)</f>
        <v>10404000</v>
      </c>
      <c r="N515" s="47">
        <f>+SUM(N501:N514)</f>
        <v>8309501</v>
      </c>
      <c r="O515" s="47">
        <f>+SUM(O501:O514)</f>
        <v>12787953</v>
      </c>
    </row>
    <row r="516" spans="1:15" ht="16.5">
      <c r="A516" s="10"/>
      <c r="B516" s="11"/>
      <c r="C516" s="12"/>
      <c r="D516" s="13"/>
      <c r="E516" s="12"/>
      <c r="F516" s="13"/>
      <c r="G516" s="12"/>
      <c r="H516" s="12"/>
      <c r="I516" s="134" t="b">
        <f>I515=D518</f>
        <v>1</v>
      </c>
      <c r="J516" s="9">
        <f>H515-I515</f>
        <v>0</v>
      </c>
      <c r="L516" s="5"/>
      <c r="M516" s="5"/>
      <c r="N516" s="5"/>
      <c r="O516" s="5"/>
    </row>
    <row r="517" spans="1:15" ht="16.5">
      <c r="A517" s="10" t="s">
        <v>256</v>
      </c>
      <c r="B517" s="11" t="s">
        <v>257</v>
      </c>
      <c r="C517" s="12" t="s">
        <v>163</v>
      </c>
      <c r="D517" s="12" t="s">
        <v>258</v>
      </c>
      <c r="E517" s="12" t="s">
        <v>51</v>
      </c>
      <c r="F517" s="12"/>
      <c r="G517" s="12">
        <f>+D515-F515</f>
        <v>0</v>
      </c>
      <c r="H517" s="12"/>
      <c r="I517" s="12"/>
    </row>
    <row r="518" spans="1:15" ht="16.5">
      <c r="A518" s="14">
        <f>C515</f>
        <v>22002193</v>
      </c>
      <c r="B518" s="15">
        <f>G515</f>
        <v>12787953</v>
      </c>
      <c r="C518" s="12">
        <f>E515</f>
        <v>8309501</v>
      </c>
      <c r="D518" s="12">
        <f>A518+B518-C518</f>
        <v>26480645</v>
      </c>
      <c r="E518" s="13">
        <f>I515-D518</f>
        <v>0</v>
      </c>
      <c r="F518" s="12"/>
      <c r="G518" s="12"/>
      <c r="H518" s="12"/>
      <c r="I518" s="12"/>
    </row>
    <row r="519" spans="1:15" ht="16.5">
      <c r="A519" s="14"/>
      <c r="B519" s="15"/>
      <c r="C519" s="12"/>
      <c r="D519" s="12"/>
      <c r="E519" s="13"/>
      <c r="F519" s="12"/>
      <c r="G519" s="12"/>
      <c r="H519" s="12"/>
      <c r="I519" s="12"/>
    </row>
    <row r="520" spans="1:15">
      <c r="A520" s="16" t="s">
        <v>52</v>
      </c>
      <c r="B520" s="16"/>
      <c r="C520" s="16"/>
      <c r="D520" s="17"/>
      <c r="E520" s="17"/>
      <c r="F520" s="17"/>
      <c r="G520" s="17"/>
      <c r="H520" s="17"/>
      <c r="I520" s="17"/>
    </row>
    <row r="521" spans="1:15">
      <c r="A521" s="18" t="s">
        <v>261</v>
      </c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5">
      <c r="A522" s="19"/>
      <c r="B522" s="17"/>
      <c r="C522" s="20"/>
      <c r="D522" s="20"/>
      <c r="E522" s="20"/>
      <c r="F522" s="20"/>
      <c r="G522" s="20"/>
      <c r="H522" s="17"/>
      <c r="I522" s="17"/>
    </row>
    <row r="523" spans="1:15" ht="45" customHeight="1">
      <c r="A523" s="169" t="s">
        <v>53</v>
      </c>
      <c r="B523" s="171" t="s">
        <v>54</v>
      </c>
      <c r="C523" s="173" t="s">
        <v>260</v>
      </c>
      <c r="D523" s="174" t="s">
        <v>55</v>
      </c>
      <c r="E523" s="175"/>
      <c r="F523" s="175"/>
      <c r="G523" s="176"/>
      <c r="H523" s="177" t="s">
        <v>56</v>
      </c>
      <c r="I523" s="165" t="s">
        <v>57</v>
      </c>
      <c r="J523" s="17"/>
    </row>
    <row r="524" spans="1:15" ht="28.5" customHeight="1">
      <c r="A524" s="170"/>
      <c r="B524" s="172"/>
      <c r="C524" s="22"/>
      <c r="D524" s="21" t="s">
        <v>24</v>
      </c>
      <c r="E524" s="21" t="s">
        <v>25</v>
      </c>
      <c r="F524" s="22" t="s">
        <v>123</v>
      </c>
      <c r="G524" s="21" t="s">
        <v>58</v>
      </c>
      <c r="H524" s="178"/>
      <c r="I524" s="166"/>
      <c r="J524" s="167" t="s">
        <v>259</v>
      </c>
      <c r="K524" s="143"/>
    </row>
    <row r="525" spans="1:15">
      <c r="A525" s="23"/>
      <c r="B525" s="24" t="s">
        <v>59</v>
      </c>
      <c r="C525" s="25"/>
      <c r="D525" s="25"/>
      <c r="E525" s="25"/>
      <c r="F525" s="25"/>
      <c r="G525" s="25"/>
      <c r="H525" s="25"/>
      <c r="I525" s="26"/>
      <c r="J525" s="168"/>
      <c r="K525" s="143"/>
    </row>
    <row r="526" spans="1:15">
      <c r="A526" s="122" t="s">
        <v>98</v>
      </c>
      <c r="B526" s="127" t="s">
        <v>47</v>
      </c>
      <c r="C526" s="32">
        <f>+C504</f>
        <v>113930</v>
      </c>
      <c r="D526" s="31"/>
      <c r="E526" s="32">
        <f t="shared" ref="E526:E531" si="288">+D504</f>
        <v>614000</v>
      </c>
      <c r="F526" s="32"/>
      <c r="G526" s="32"/>
      <c r="H526" s="55">
        <f t="shared" ref="H526:H531" si="289">+F504</f>
        <v>80000</v>
      </c>
      <c r="I526" s="32">
        <f t="shared" ref="I526:I531" si="290">+E504</f>
        <v>238400</v>
      </c>
      <c r="J526" s="30">
        <f t="shared" ref="J526:J528" si="291">+SUM(C526:G526)-(H526+I526)</f>
        <v>409530</v>
      </c>
      <c r="K526" s="144" t="b">
        <f>J526=I504</f>
        <v>1</v>
      </c>
    </row>
    <row r="527" spans="1:15">
      <c r="A527" s="122" t="str">
        <f>+A526</f>
        <v>NOVEMBRE</v>
      </c>
      <c r="B527" s="127" t="s">
        <v>255</v>
      </c>
      <c r="C527" s="32">
        <f t="shared" ref="C527:C528" si="292">+C505</f>
        <v>13000</v>
      </c>
      <c r="D527" s="31"/>
      <c r="E527" s="32">
        <f t="shared" si="288"/>
        <v>521000</v>
      </c>
      <c r="F527" s="32"/>
      <c r="G527" s="32"/>
      <c r="H527" s="55">
        <f t="shared" si="289"/>
        <v>20000</v>
      </c>
      <c r="I527" s="32">
        <f t="shared" si="290"/>
        <v>504300</v>
      </c>
      <c r="J527" s="101">
        <f t="shared" ref="J527" si="293">+SUM(C527:G527)-(H527+I527)</f>
        <v>9700</v>
      </c>
      <c r="K527" s="144" t="b">
        <f>J527=I505</f>
        <v>1</v>
      </c>
    </row>
    <row r="528" spans="1:15">
      <c r="A528" s="122" t="str">
        <f t="shared" ref="A528:A536" si="294">+A527</f>
        <v>NOVEMBRE</v>
      </c>
      <c r="B528" s="127" t="s">
        <v>31</v>
      </c>
      <c r="C528" s="32">
        <f t="shared" si="292"/>
        <v>11575</v>
      </c>
      <c r="D528" s="31"/>
      <c r="E528" s="32">
        <f t="shared" si="288"/>
        <v>324000</v>
      </c>
      <c r="F528" s="32"/>
      <c r="G528" s="32"/>
      <c r="H528" s="55">
        <f t="shared" si="289"/>
        <v>0</v>
      </c>
      <c r="I528" s="32">
        <f t="shared" si="290"/>
        <v>70150</v>
      </c>
      <c r="J528" s="101">
        <f t="shared" si="291"/>
        <v>265425</v>
      </c>
      <c r="K528" s="144" t="b">
        <f t="shared" ref="K528:K536" si="295">J528=I506</f>
        <v>1</v>
      </c>
    </row>
    <row r="529" spans="1:16">
      <c r="A529" s="122" t="str">
        <f t="shared" si="294"/>
        <v>NOVEMBRE</v>
      </c>
      <c r="B529" s="129" t="s">
        <v>84</v>
      </c>
      <c r="C529" s="120">
        <f>+C507</f>
        <v>233614</v>
      </c>
      <c r="D529" s="123"/>
      <c r="E529" s="120">
        <f t="shared" si="288"/>
        <v>0</v>
      </c>
      <c r="F529" s="137"/>
      <c r="G529" s="137"/>
      <c r="H529" s="155">
        <f t="shared" si="289"/>
        <v>0</v>
      </c>
      <c r="I529" s="120">
        <f t="shared" si="290"/>
        <v>0</v>
      </c>
      <c r="J529" s="121">
        <f>+SUM(C529:G529)-(H529+I529)</f>
        <v>233614</v>
      </c>
      <c r="K529" s="144" t="b">
        <f t="shared" si="295"/>
        <v>1</v>
      </c>
    </row>
    <row r="530" spans="1:16">
      <c r="A530" s="122" t="str">
        <f t="shared" si="294"/>
        <v>NOVEMBRE</v>
      </c>
      <c r="B530" s="129" t="s">
        <v>83</v>
      </c>
      <c r="C530" s="120">
        <f>+C508</f>
        <v>249769</v>
      </c>
      <c r="D530" s="123"/>
      <c r="E530" s="120">
        <f t="shared" si="288"/>
        <v>0</v>
      </c>
      <c r="F530" s="137"/>
      <c r="G530" s="137"/>
      <c r="H530" s="155">
        <f t="shared" si="289"/>
        <v>0</v>
      </c>
      <c r="I530" s="120">
        <f t="shared" si="290"/>
        <v>0</v>
      </c>
      <c r="J530" s="121">
        <f t="shared" ref="J530:J536" si="296">+SUM(C530:G530)-(H530+I530)</f>
        <v>249769</v>
      </c>
      <c r="K530" s="144" t="b">
        <f t="shared" si="295"/>
        <v>1</v>
      </c>
    </row>
    <row r="531" spans="1:16">
      <c r="A531" s="122" t="str">
        <f t="shared" si="294"/>
        <v>NOVEMBRE</v>
      </c>
      <c r="B531" s="127" t="s">
        <v>143</v>
      </c>
      <c r="C531" s="32">
        <f>+C509</f>
        <v>0</v>
      </c>
      <c r="D531" s="31"/>
      <c r="E531" s="32">
        <f t="shared" si="288"/>
        <v>950000</v>
      </c>
      <c r="F531" s="32"/>
      <c r="G531" s="104"/>
      <c r="H531" s="55">
        <f t="shared" si="289"/>
        <v>320000</v>
      </c>
      <c r="I531" s="32">
        <f t="shared" si="290"/>
        <v>33800</v>
      </c>
      <c r="J531" s="30">
        <f t="shared" si="296"/>
        <v>596200</v>
      </c>
      <c r="K531" s="144" t="b">
        <f t="shared" si="295"/>
        <v>1</v>
      </c>
    </row>
    <row r="532" spans="1:16">
      <c r="A532" s="122" t="str">
        <f t="shared" si="294"/>
        <v>NOVEMBRE</v>
      </c>
      <c r="B532" s="127" t="s">
        <v>197</v>
      </c>
      <c r="C532" s="32">
        <f t="shared" ref="C532:C536" si="297">+C510</f>
        <v>46900</v>
      </c>
      <c r="D532" s="31"/>
      <c r="E532" s="32">
        <f t="shared" ref="E532:E536" si="298">+D510</f>
        <v>603000</v>
      </c>
      <c r="F532" s="32"/>
      <c r="G532" s="104"/>
      <c r="H532" s="55">
        <f t="shared" ref="H532:H536" si="299">+F510</f>
        <v>49000</v>
      </c>
      <c r="I532" s="32">
        <f t="shared" ref="I532:I536" si="300">+E510</f>
        <v>456200</v>
      </c>
      <c r="J532" s="30">
        <f t="shared" si="296"/>
        <v>144700</v>
      </c>
      <c r="K532" s="144" t="b">
        <f t="shared" si="295"/>
        <v>1</v>
      </c>
    </row>
    <row r="533" spans="1:16">
      <c r="A533" s="122" t="str">
        <f t="shared" si="294"/>
        <v>NOVEMBRE</v>
      </c>
      <c r="B533" s="127" t="s">
        <v>93</v>
      </c>
      <c r="C533" s="32">
        <f t="shared" si="297"/>
        <v>14100</v>
      </c>
      <c r="D533" s="31"/>
      <c r="E533" s="32">
        <f t="shared" si="298"/>
        <v>0</v>
      </c>
      <c r="F533" s="32"/>
      <c r="G533" s="104"/>
      <c r="H533" s="55">
        <f t="shared" si="299"/>
        <v>0</v>
      </c>
      <c r="I533" s="32">
        <f t="shared" si="300"/>
        <v>17000</v>
      </c>
      <c r="J533" s="30">
        <f t="shared" si="296"/>
        <v>-2900</v>
      </c>
      <c r="K533" s="144" t="b">
        <f t="shared" si="295"/>
        <v>1</v>
      </c>
    </row>
    <row r="534" spans="1:16">
      <c r="A534" s="122" t="str">
        <f t="shared" si="294"/>
        <v>NOVEMBRE</v>
      </c>
      <c r="B534" s="127" t="s">
        <v>254</v>
      </c>
      <c r="C534" s="32">
        <f t="shared" si="297"/>
        <v>-3000</v>
      </c>
      <c r="D534" s="31"/>
      <c r="E534" s="32">
        <f t="shared" si="298"/>
        <v>685000</v>
      </c>
      <c r="F534" s="32"/>
      <c r="G534" s="104"/>
      <c r="H534" s="55">
        <f t="shared" si="299"/>
        <v>0</v>
      </c>
      <c r="I534" s="32">
        <f t="shared" si="300"/>
        <v>578100</v>
      </c>
      <c r="J534" s="30">
        <f t="shared" si="296"/>
        <v>103900</v>
      </c>
      <c r="K534" s="144" t="b">
        <f t="shared" si="295"/>
        <v>1</v>
      </c>
    </row>
    <row r="535" spans="1:16">
      <c r="A535" s="122" t="str">
        <f t="shared" si="294"/>
        <v>NOVEMBRE</v>
      </c>
      <c r="B535" s="127" t="s">
        <v>29</v>
      </c>
      <c r="C535" s="32">
        <f t="shared" si="297"/>
        <v>56000</v>
      </c>
      <c r="D535" s="31"/>
      <c r="E535" s="32">
        <f t="shared" si="298"/>
        <v>538000</v>
      </c>
      <c r="F535" s="32"/>
      <c r="G535" s="104"/>
      <c r="H535" s="55">
        <f t="shared" si="299"/>
        <v>0</v>
      </c>
      <c r="I535" s="32">
        <f t="shared" si="300"/>
        <v>418100</v>
      </c>
      <c r="J535" s="30">
        <f t="shared" si="296"/>
        <v>175900</v>
      </c>
      <c r="K535" s="144" t="b">
        <f t="shared" si="295"/>
        <v>1</v>
      </c>
    </row>
    <row r="536" spans="1:16">
      <c r="A536" s="122" t="str">
        <f t="shared" si="294"/>
        <v>NOVEMBRE</v>
      </c>
      <c r="B536" s="128" t="s">
        <v>113</v>
      </c>
      <c r="C536" s="32">
        <f t="shared" si="297"/>
        <v>18298</v>
      </c>
      <c r="D536" s="119"/>
      <c r="E536" s="32">
        <f t="shared" si="298"/>
        <v>20000</v>
      </c>
      <c r="F536" s="51"/>
      <c r="G536" s="138"/>
      <c r="H536" s="55">
        <f t="shared" si="299"/>
        <v>0</v>
      </c>
      <c r="I536" s="32">
        <f t="shared" si="300"/>
        <v>59000</v>
      </c>
      <c r="J536" s="30">
        <f t="shared" si="296"/>
        <v>-20702</v>
      </c>
      <c r="K536" s="144" t="b">
        <f t="shared" si="295"/>
        <v>1</v>
      </c>
    </row>
    <row r="537" spans="1:16">
      <c r="A537" s="34" t="s">
        <v>60</v>
      </c>
      <c r="B537" s="35"/>
      <c r="C537" s="35"/>
      <c r="D537" s="35"/>
      <c r="E537" s="35"/>
      <c r="F537" s="35"/>
      <c r="G537" s="35"/>
      <c r="H537" s="35"/>
      <c r="I537" s="35"/>
      <c r="J537" s="36"/>
      <c r="K537" s="143"/>
    </row>
    <row r="538" spans="1:16">
      <c r="A538" s="122" t="str">
        <f>A536</f>
        <v>NOVEMBRE</v>
      </c>
      <c r="B538" s="37" t="s">
        <v>61</v>
      </c>
      <c r="C538" s="38">
        <f>+C503</f>
        <v>2105331</v>
      </c>
      <c r="D538" s="49"/>
      <c r="E538" s="49">
        <f>D503</f>
        <v>6149000</v>
      </c>
      <c r="F538" s="49"/>
      <c r="G538" s="125"/>
      <c r="H538" s="51">
        <f>+F503</f>
        <v>3935000</v>
      </c>
      <c r="I538" s="126">
        <f>+E503</f>
        <v>1843228</v>
      </c>
      <c r="J538" s="30">
        <f>+SUM(C538:G538)-(H538+I538)</f>
        <v>2476103</v>
      </c>
      <c r="K538" s="144" t="b">
        <f>J538=I503</f>
        <v>1</v>
      </c>
    </row>
    <row r="539" spans="1:16">
      <c r="A539" s="43" t="s">
        <v>62</v>
      </c>
      <c r="B539" s="24"/>
      <c r="C539" s="35"/>
      <c r="D539" s="24"/>
      <c r="E539" s="24"/>
      <c r="F539" s="24"/>
      <c r="G539" s="24"/>
      <c r="H539" s="24"/>
      <c r="I539" s="24"/>
      <c r="J539" s="36"/>
      <c r="K539" s="143"/>
    </row>
    <row r="540" spans="1:16">
      <c r="A540" s="122" t="str">
        <f>+A538</f>
        <v>NOVEMBRE</v>
      </c>
      <c r="B540" s="37" t="s">
        <v>156</v>
      </c>
      <c r="C540" s="125">
        <f>+C501</f>
        <v>9603727</v>
      </c>
      <c r="D540" s="132">
        <f>+G501</f>
        <v>12787953</v>
      </c>
      <c r="E540" s="49"/>
      <c r="F540" s="49"/>
      <c r="G540" s="49"/>
      <c r="H540" s="51">
        <f>+F501</f>
        <v>6000000</v>
      </c>
      <c r="I540" s="53">
        <f>+E501</f>
        <v>173438</v>
      </c>
      <c r="J540" s="30">
        <f>+SUM(C540:G540)-(H540+I540)</f>
        <v>16218242</v>
      </c>
      <c r="K540" s="144" t="b">
        <f>+J540=I501</f>
        <v>1</v>
      </c>
    </row>
    <row r="541" spans="1:16">
      <c r="A541" s="122" t="str">
        <f t="shared" ref="A541" si="301">+A540</f>
        <v>NOVEMBRE</v>
      </c>
      <c r="B541" s="37" t="s">
        <v>64</v>
      </c>
      <c r="C541" s="125">
        <f>+C502</f>
        <v>9538949</v>
      </c>
      <c r="D541" s="49">
        <f>+G502</f>
        <v>0</v>
      </c>
      <c r="E541" s="48"/>
      <c r="F541" s="48"/>
      <c r="G541" s="48"/>
      <c r="H541" s="32">
        <f>+F502</f>
        <v>0</v>
      </c>
      <c r="I541" s="50">
        <f>+E502</f>
        <v>3917785</v>
      </c>
      <c r="J541" s="30">
        <f>SUM(C541:G541)-(H541+I541)</f>
        <v>5621164</v>
      </c>
      <c r="K541" s="144" t="b">
        <f>+J541=I502</f>
        <v>1</v>
      </c>
    </row>
    <row r="542" spans="1:16" ht="15.75">
      <c r="C542" s="141">
        <f>SUM(C526:C541)</f>
        <v>22002193</v>
      </c>
      <c r="I542" s="140">
        <f>SUM(I526:I541)</f>
        <v>8309501</v>
      </c>
      <c r="J542" s="105">
        <f>+SUM(J526:J541)</f>
        <v>26480645</v>
      </c>
      <c r="K542" s="5" t="b">
        <f>J542=I515</f>
        <v>1</v>
      </c>
    </row>
    <row r="543" spans="1:16" ht="15.75">
      <c r="C543" s="141"/>
      <c r="I543" s="140"/>
      <c r="J543" s="105"/>
    </row>
    <row r="544" spans="1:16" ht="15.75">
      <c r="A544" s="160"/>
      <c r="B544" s="160"/>
      <c r="C544" s="161"/>
      <c r="D544" s="160"/>
      <c r="E544" s="160"/>
      <c r="F544" s="160"/>
      <c r="G544" s="160"/>
      <c r="H544" s="160"/>
      <c r="I544" s="162"/>
      <c r="J544" s="163"/>
      <c r="K544" s="160"/>
      <c r="L544" s="164"/>
      <c r="M544" s="164"/>
      <c r="N544" s="164"/>
      <c r="O544" s="164"/>
      <c r="P544" s="160"/>
    </row>
    <row r="547" spans="1:15" ht="15.75">
      <c r="A547" s="6" t="s">
        <v>36</v>
      </c>
      <c r="B547" s="6" t="s">
        <v>1</v>
      </c>
      <c r="C547" s="6">
        <v>44835</v>
      </c>
      <c r="D547" s="7" t="s">
        <v>37</v>
      </c>
      <c r="E547" s="7" t="s">
        <v>38</v>
      </c>
      <c r="F547" s="7" t="s">
        <v>39</v>
      </c>
      <c r="G547" s="7" t="s">
        <v>40</v>
      </c>
      <c r="H547" s="6">
        <v>44865</v>
      </c>
      <c r="I547" s="7" t="s">
        <v>41</v>
      </c>
      <c r="K547" s="45"/>
      <c r="L547" s="45" t="s">
        <v>42</v>
      </c>
      <c r="M547" s="45" t="s">
        <v>43</v>
      </c>
      <c r="N547" s="45" t="s">
        <v>44</v>
      </c>
      <c r="O547" s="45" t="s">
        <v>45</v>
      </c>
    </row>
    <row r="548" spans="1:15" ht="16.5">
      <c r="A548" s="58" t="str">
        <f>K548</f>
        <v>BCI</v>
      </c>
      <c r="B548" s="59" t="s">
        <v>46</v>
      </c>
      <c r="C548" s="61">
        <v>14237475</v>
      </c>
      <c r="D548" s="61">
        <f>+L548</f>
        <v>0</v>
      </c>
      <c r="E548" s="61">
        <f>+N548</f>
        <v>633748</v>
      </c>
      <c r="F548" s="61">
        <f>+M548</f>
        <v>4000000</v>
      </c>
      <c r="G548" s="61">
        <f t="shared" ref="G548:G561" si="302">+O548</f>
        <v>0</v>
      </c>
      <c r="H548" s="61">
        <v>9603727</v>
      </c>
      <c r="I548" s="61">
        <f>+C548+D548-E548-F548+G548</f>
        <v>9603727</v>
      </c>
      <c r="J548" s="9">
        <f>I548-H548</f>
        <v>0</v>
      </c>
      <c r="K548" s="45" t="s">
        <v>24</v>
      </c>
      <c r="L548" s="47">
        <v>0</v>
      </c>
      <c r="M548" s="47">
        <v>4000000</v>
      </c>
      <c r="N548" s="47">
        <v>633748</v>
      </c>
      <c r="O548" s="47">
        <v>0</v>
      </c>
    </row>
    <row r="549" spans="1:15" ht="16.5">
      <c r="A549" s="58" t="str">
        <f t="shared" ref="A549:A561" si="303">K549</f>
        <v>BCI-Sous Compte</v>
      </c>
      <c r="B549" s="59" t="s">
        <v>46</v>
      </c>
      <c r="C549" s="61">
        <v>8844061</v>
      </c>
      <c r="D549" s="61">
        <f t="shared" ref="D549:D561" si="304">+L549</f>
        <v>0</v>
      </c>
      <c r="E549" s="61">
        <f t="shared" ref="E549:E553" si="305">+N549</f>
        <v>4731844</v>
      </c>
      <c r="F549" s="61">
        <f t="shared" ref="F549:F555" si="306">+M549</f>
        <v>0</v>
      </c>
      <c r="G549" s="61">
        <f t="shared" si="302"/>
        <v>5426732</v>
      </c>
      <c r="H549" s="61">
        <v>9538949</v>
      </c>
      <c r="I549" s="61">
        <f>+C549+D549-E549-F549+G549</f>
        <v>9538949</v>
      </c>
      <c r="J549" s="9">
        <f>I549-H549</f>
        <v>0</v>
      </c>
      <c r="K549" s="45" t="s">
        <v>148</v>
      </c>
      <c r="L549" s="46">
        <v>0</v>
      </c>
      <c r="M549" s="47">
        <v>0</v>
      </c>
      <c r="N549" s="47">
        <v>4731844</v>
      </c>
      <c r="O549" s="47">
        <v>5426732</v>
      </c>
    </row>
    <row r="550" spans="1:15" ht="16.5">
      <c r="A550" s="58" t="str">
        <f t="shared" si="303"/>
        <v>Caisse</v>
      </c>
      <c r="B550" s="59" t="s">
        <v>25</v>
      </c>
      <c r="C550" s="61">
        <v>1081474</v>
      </c>
      <c r="D550" s="61">
        <f t="shared" si="304"/>
        <v>4595950</v>
      </c>
      <c r="E550" s="61">
        <f t="shared" si="305"/>
        <v>2106393</v>
      </c>
      <c r="F550" s="61">
        <f t="shared" si="306"/>
        <v>1465700</v>
      </c>
      <c r="G550" s="61">
        <f t="shared" si="302"/>
        <v>0</v>
      </c>
      <c r="H550" s="61">
        <v>2105331</v>
      </c>
      <c r="I550" s="61">
        <f>+C550+D550-E550-F550+G550</f>
        <v>2105331</v>
      </c>
      <c r="J550" s="102">
        <f t="shared" ref="J550:J556" si="307">I550-H550</f>
        <v>0</v>
      </c>
      <c r="K550" s="45" t="s">
        <v>25</v>
      </c>
      <c r="L550" s="47">
        <v>4595950</v>
      </c>
      <c r="M550" s="47">
        <v>1465700</v>
      </c>
      <c r="N550" s="47">
        <v>2106393</v>
      </c>
      <c r="O550" s="47">
        <v>0</v>
      </c>
    </row>
    <row r="551" spans="1:15" ht="16.5">
      <c r="A551" s="58" t="str">
        <f t="shared" si="303"/>
        <v>Crépin</v>
      </c>
      <c r="B551" s="59" t="s">
        <v>154</v>
      </c>
      <c r="C551" s="61">
        <v>483330</v>
      </c>
      <c r="D551" s="61">
        <f t="shared" si="304"/>
        <v>552500</v>
      </c>
      <c r="E551" s="61">
        <f t="shared" si="305"/>
        <v>521900</v>
      </c>
      <c r="F551" s="61">
        <f t="shared" si="306"/>
        <v>400000</v>
      </c>
      <c r="G551" s="61">
        <f t="shared" si="302"/>
        <v>0</v>
      </c>
      <c r="H551" s="61">
        <v>113930</v>
      </c>
      <c r="I551" s="61">
        <f>+C551+D551-E551-F551+G551</f>
        <v>113930</v>
      </c>
      <c r="J551" s="9">
        <f t="shared" si="307"/>
        <v>0</v>
      </c>
      <c r="K551" s="45" t="s">
        <v>47</v>
      </c>
      <c r="L551" s="47">
        <v>552500</v>
      </c>
      <c r="M551" s="47">
        <v>400000</v>
      </c>
      <c r="N551" s="47">
        <v>521900</v>
      </c>
      <c r="O551" s="47">
        <v>0</v>
      </c>
    </row>
    <row r="552" spans="1:15" ht="16.5">
      <c r="A552" s="58" t="str">
        <f t="shared" si="303"/>
        <v>Donald</v>
      </c>
      <c r="B552" s="59" t="s">
        <v>154</v>
      </c>
      <c r="C552" s="61">
        <v>0</v>
      </c>
      <c r="D552" s="61">
        <f t="shared" si="304"/>
        <v>20000</v>
      </c>
      <c r="E552" s="61">
        <f t="shared" si="305"/>
        <v>7000</v>
      </c>
      <c r="F552" s="61">
        <f t="shared" si="306"/>
        <v>0</v>
      </c>
      <c r="G552" s="61">
        <f t="shared" si="302"/>
        <v>0</v>
      </c>
      <c r="H552" s="61">
        <v>13000</v>
      </c>
      <c r="I552" s="61">
        <f t="shared" ref="I552:I553" si="308">+C552+D552-E552-F552+G552</f>
        <v>13000</v>
      </c>
      <c r="J552" s="9">
        <f t="shared" si="307"/>
        <v>0</v>
      </c>
      <c r="K552" s="45" t="s">
        <v>255</v>
      </c>
      <c r="L552" s="47">
        <v>20000</v>
      </c>
      <c r="M552" s="47">
        <v>0</v>
      </c>
      <c r="N552" s="47">
        <v>7000</v>
      </c>
      <c r="O552" s="47">
        <v>0</v>
      </c>
    </row>
    <row r="553" spans="1:15" ht="16.5">
      <c r="A553" s="58" t="str">
        <f t="shared" si="303"/>
        <v>Evariste</v>
      </c>
      <c r="B553" s="59" t="s">
        <v>155</v>
      </c>
      <c r="C553" s="61">
        <v>76225</v>
      </c>
      <c r="D553" s="61">
        <f t="shared" si="304"/>
        <v>15000</v>
      </c>
      <c r="E553" s="61">
        <f t="shared" si="305"/>
        <v>34650</v>
      </c>
      <c r="F553" s="61">
        <f t="shared" si="306"/>
        <v>45000</v>
      </c>
      <c r="G553" s="61">
        <f t="shared" si="302"/>
        <v>0</v>
      </c>
      <c r="H553" s="61">
        <v>11575</v>
      </c>
      <c r="I553" s="61">
        <f t="shared" si="308"/>
        <v>11575</v>
      </c>
      <c r="J553" s="9">
        <f t="shared" si="307"/>
        <v>0</v>
      </c>
      <c r="K553" s="45" t="s">
        <v>31</v>
      </c>
      <c r="L553" s="47">
        <v>15000</v>
      </c>
      <c r="M553" s="47">
        <v>45000</v>
      </c>
      <c r="N553" s="47">
        <v>34650</v>
      </c>
      <c r="O553" s="47">
        <v>0</v>
      </c>
    </row>
    <row r="554" spans="1:15" ht="16.5">
      <c r="A554" s="58" t="str">
        <f t="shared" si="303"/>
        <v>I55S</v>
      </c>
      <c r="B554" s="116" t="s">
        <v>4</v>
      </c>
      <c r="C554" s="118">
        <v>233614</v>
      </c>
      <c r="D554" s="118">
        <f t="shared" si="304"/>
        <v>0</v>
      </c>
      <c r="E554" s="118">
        <f>+N554</f>
        <v>0</v>
      </c>
      <c r="F554" s="118">
        <f t="shared" si="306"/>
        <v>0</v>
      </c>
      <c r="G554" s="118">
        <f t="shared" si="302"/>
        <v>0</v>
      </c>
      <c r="H554" s="118">
        <v>233614</v>
      </c>
      <c r="I554" s="118">
        <f>+C554+D554-E554-F554+G554</f>
        <v>233614</v>
      </c>
      <c r="J554" s="9">
        <f t="shared" si="307"/>
        <v>0</v>
      </c>
      <c r="K554" s="45" t="s">
        <v>84</v>
      </c>
      <c r="L554" s="47">
        <v>0</v>
      </c>
      <c r="M554" s="47">
        <v>0</v>
      </c>
      <c r="N554" s="47">
        <v>0</v>
      </c>
      <c r="O554" s="47">
        <v>0</v>
      </c>
    </row>
    <row r="555" spans="1:15" ht="16.5">
      <c r="A555" s="58" t="str">
        <f t="shared" si="303"/>
        <v>I73X</v>
      </c>
      <c r="B555" s="116" t="s">
        <v>4</v>
      </c>
      <c r="C555" s="118">
        <v>249769</v>
      </c>
      <c r="D555" s="118">
        <f t="shared" si="304"/>
        <v>0</v>
      </c>
      <c r="E555" s="118">
        <f>+N555</f>
        <v>0</v>
      </c>
      <c r="F555" s="118">
        <f t="shared" si="306"/>
        <v>0</v>
      </c>
      <c r="G555" s="118">
        <f t="shared" si="302"/>
        <v>0</v>
      </c>
      <c r="H555" s="118">
        <v>249769</v>
      </c>
      <c r="I555" s="118">
        <f t="shared" ref="I555:I558" si="309">+C555+D555-E555-F555+G555</f>
        <v>249769</v>
      </c>
      <c r="J555" s="9">
        <f t="shared" si="307"/>
        <v>0</v>
      </c>
      <c r="K555" s="45" t="s">
        <v>83</v>
      </c>
      <c r="L555" s="47">
        <v>0</v>
      </c>
      <c r="M555" s="47">
        <v>0</v>
      </c>
      <c r="N555" s="47">
        <v>0</v>
      </c>
      <c r="O555" s="47">
        <v>0</v>
      </c>
    </row>
    <row r="556" spans="1:15" ht="16.5">
      <c r="A556" s="58" t="str">
        <f t="shared" si="303"/>
        <v>Hurielle</v>
      </c>
      <c r="B556" s="98" t="s">
        <v>154</v>
      </c>
      <c r="C556" s="61">
        <v>41200</v>
      </c>
      <c r="D556" s="61">
        <f t="shared" si="304"/>
        <v>294000</v>
      </c>
      <c r="E556" s="61">
        <f>+N556</f>
        <v>258300</v>
      </c>
      <c r="F556" s="61">
        <f>+M556</f>
        <v>30000</v>
      </c>
      <c r="G556" s="61">
        <f t="shared" si="302"/>
        <v>0</v>
      </c>
      <c r="H556" s="61">
        <v>46900</v>
      </c>
      <c r="I556" s="61">
        <f t="shared" si="309"/>
        <v>46900</v>
      </c>
      <c r="J556" s="9">
        <f t="shared" si="307"/>
        <v>0</v>
      </c>
      <c r="K556" s="45" t="s">
        <v>197</v>
      </c>
      <c r="L556" s="47">
        <v>294000</v>
      </c>
      <c r="M556" s="47">
        <v>30000</v>
      </c>
      <c r="N556" s="47">
        <v>258300</v>
      </c>
      <c r="O556" s="47">
        <v>0</v>
      </c>
    </row>
    <row r="557" spans="1:15" s="188" customFormat="1" ht="16.5">
      <c r="A557" s="58" t="str">
        <f t="shared" si="303"/>
        <v>Merveille</v>
      </c>
      <c r="B557" s="183" t="s">
        <v>2</v>
      </c>
      <c r="C557" s="184">
        <v>98100</v>
      </c>
      <c r="D557" s="61">
        <f t="shared" si="304"/>
        <v>0</v>
      </c>
      <c r="E557" s="61">
        <f t="shared" ref="E557:E561" si="310">+N557</f>
        <v>24000</v>
      </c>
      <c r="F557" s="61">
        <f t="shared" ref="F557:F561" si="311">+M557</f>
        <v>60000</v>
      </c>
      <c r="G557" s="61">
        <f t="shared" si="302"/>
        <v>0</v>
      </c>
      <c r="H557" s="184">
        <v>14100</v>
      </c>
      <c r="I557" s="184">
        <f t="shared" si="309"/>
        <v>14100</v>
      </c>
      <c r="J557" s="185">
        <f>I557-H557</f>
        <v>0</v>
      </c>
      <c r="K557" s="186" t="s">
        <v>93</v>
      </c>
      <c r="L557" s="187">
        <v>0</v>
      </c>
      <c r="M557" s="187">
        <v>60000</v>
      </c>
      <c r="N557" s="47">
        <v>24000</v>
      </c>
      <c r="O557" s="187">
        <v>0</v>
      </c>
    </row>
    <row r="558" spans="1:15" ht="16.5">
      <c r="A558" s="58" t="str">
        <f t="shared" si="303"/>
        <v>P10</v>
      </c>
      <c r="B558" s="59" t="s">
        <v>4</v>
      </c>
      <c r="C558" s="61">
        <v>0</v>
      </c>
      <c r="D558" s="61">
        <f t="shared" si="304"/>
        <v>105000</v>
      </c>
      <c r="E558" s="61">
        <f t="shared" si="310"/>
        <v>98000</v>
      </c>
      <c r="F558" s="61">
        <f t="shared" si="311"/>
        <v>10000</v>
      </c>
      <c r="G558" s="61">
        <f t="shared" si="302"/>
        <v>0</v>
      </c>
      <c r="H558" s="61">
        <v>-3000</v>
      </c>
      <c r="I558" s="61">
        <f t="shared" si="309"/>
        <v>-3000</v>
      </c>
      <c r="J558" s="9">
        <f t="shared" ref="J558:J559" si="312">I558-H558</f>
        <v>0</v>
      </c>
      <c r="K558" s="45" t="s">
        <v>254</v>
      </c>
      <c r="L558" s="47">
        <v>105000</v>
      </c>
      <c r="M558" s="47">
        <v>10000</v>
      </c>
      <c r="N558" s="47">
        <v>98000</v>
      </c>
      <c r="O558" s="47">
        <v>0</v>
      </c>
    </row>
    <row r="559" spans="1:15" ht="16.5">
      <c r="A559" s="58" t="str">
        <f t="shared" si="303"/>
        <v>P29</v>
      </c>
      <c r="B559" s="59" t="s">
        <v>4</v>
      </c>
      <c r="C559" s="61">
        <v>60950</v>
      </c>
      <c r="D559" s="61">
        <f>+L559</f>
        <v>315000</v>
      </c>
      <c r="E559" s="61">
        <f t="shared" si="310"/>
        <v>259000</v>
      </c>
      <c r="F559" s="61">
        <f t="shared" si="311"/>
        <v>60950</v>
      </c>
      <c r="G559" s="61">
        <f t="shared" si="302"/>
        <v>0</v>
      </c>
      <c r="H559" s="61">
        <v>56000</v>
      </c>
      <c r="I559" s="61">
        <f>+C559+D559-E559-F559+G559</f>
        <v>56000</v>
      </c>
      <c r="J559" s="9">
        <f t="shared" si="312"/>
        <v>0</v>
      </c>
      <c r="K559" s="45" t="s">
        <v>29</v>
      </c>
      <c r="L559" s="47">
        <v>315000</v>
      </c>
      <c r="M559" s="47">
        <v>60950</v>
      </c>
      <c r="N559" s="187">
        <v>259000</v>
      </c>
      <c r="O559" s="47">
        <v>0</v>
      </c>
    </row>
    <row r="560" spans="1:15" ht="16.5">
      <c r="A560" s="58" t="str">
        <f t="shared" si="303"/>
        <v>Tiffany</v>
      </c>
      <c r="B560" s="59" t="s">
        <v>2</v>
      </c>
      <c r="C560" s="61">
        <v>26298</v>
      </c>
      <c r="D560" s="61">
        <f t="shared" si="304"/>
        <v>150000</v>
      </c>
      <c r="E560" s="61">
        <f t="shared" si="310"/>
        <v>158000</v>
      </c>
      <c r="F560" s="61">
        <f t="shared" si="311"/>
        <v>0</v>
      </c>
      <c r="G560" s="61">
        <f t="shared" si="302"/>
        <v>0</v>
      </c>
      <c r="H560" s="61">
        <v>18298</v>
      </c>
      <c r="I560" s="61">
        <f>+C560+D560-E560-F560+G560</f>
        <v>18298</v>
      </c>
      <c r="J560" s="9">
        <f>I560-H560</f>
        <v>0</v>
      </c>
      <c r="K560" s="45" t="s">
        <v>113</v>
      </c>
      <c r="L560" s="47">
        <v>150000</v>
      </c>
      <c r="M560" s="47">
        <v>0</v>
      </c>
      <c r="N560" s="47">
        <v>158000</v>
      </c>
      <c r="O560" s="47">
        <v>0</v>
      </c>
    </row>
    <row r="561" spans="1:15" ht="16.5">
      <c r="A561" s="58" t="str">
        <f t="shared" si="303"/>
        <v>Yan</v>
      </c>
      <c r="B561" s="59" t="s">
        <v>154</v>
      </c>
      <c r="C561" s="61">
        <v>-1700</v>
      </c>
      <c r="D561" s="61">
        <f t="shared" si="304"/>
        <v>24200</v>
      </c>
      <c r="E561" s="61">
        <f t="shared" si="310"/>
        <v>22500</v>
      </c>
      <c r="F561" s="61">
        <f t="shared" si="311"/>
        <v>0</v>
      </c>
      <c r="G561" s="61">
        <f t="shared" si="302"/>
        <v>0</v>
      </c>
      <c r="H561" s="61">
        <v>0</v>
      </c>
      <c r="I561" s="61">
        <f t="shared" ref="I561" si="313">+C561+D561-E561-F561+G561</f>
        <v>0</v>
      </c>
      <c r="J561" s="9">
        <f t="shared" ref="J561" si="314">I561-H561</f>
        <v>0</v>
      </c>
      <c r="K561" s="45" t="s">
        <v>212</v>
      </c>
      <c r="L561" s="47">
        <v>24200</v>
      </c>
      <c r="M561" s="47">
        <v>0</v>
      </c>
      <c r="N561" s="47">
        <v>22500</v>
      </c>
      <c r="O561" s="47">
        <v>0</v>
      </c>
    </row>
    <row r="562" spans="1:15" ht="16.5">
      <c r="A562" s="10" t="s">
        <v>50</v>
      </c>
      <c r="B562" s="11"/>
      <c r="C562" s="12">
        <f t="shared" ref="C562:G562" si="315">SUM(C548:C561)</f>
        <v>25430796</v>
      </c>
      <c r="D562" s="57">
        <f t="shared" si="315"/>
        <v>6071650</v>
      </c>
      <c r="E562" s="57">
        <f t="shared" si="315"/>
        <v>8855335</v>
      </c>
      <c r="F562" s="57">
        <f t="shared" si="315"/>
        <v>6071650</v>
      </c>
      <c r="G562" s="57">
        <f t="shared" si="315"/>
        <v>5426732</v>
      </c>
      <c r="H562" s="57">
        <f>SUM(H548:H561)</f>
        <v>22002193</v>
      </c>
      <c r="I562" s="57">
        <f t="shared" ref="I562" si="316">SUM(I548:I561)</f>
        <v>22002193</v>
      </c>
      <c r="J562" s="9">
        <f>I562-H562</f>
        <v>0</v>
      </c>
      <c r="K562" s="3"/>
      <c r="L562" s="47">
        <f>+SUM(L548:L561)</f>
        <v>6071650</v>
      </c>
      <c r="M562" s="47">
        <f>+SUM(M548:M561)</f>
        <v>6071650</v>
      </c>
      <c r="N562" s="47">
        <f>+SUM(N548:N561)</f>
        <v>8855335</v>
      </c>
      <c r="O562" s="47">
        <f>+SUM(O548:O561)</f>
        <v>5426732</v>
      </c>
    </row>
    <row r="563" spans="1:15" ht="16.5">
      <c r="A563" s="10"/>
      <c r="B563" s="11"/>
      <c r="C563" s="12"/>
      <c r="D563" s="13"/>
      <c r="E563" s="12"/>
      <c r="F563" s="13"/>
      <c r="G563" s="12"/>
      <c r="H563" s="12"/>
      <c r="I563" s="134" t="b">
        <f>I562=D565</f>
        <v>1</v>
      </c>
      <c r="J563" s="9">
        <f>H562-I562</f>
        <v>0</v>
      </c>
      <c r="L563" s="5"/>
      <c r="M563" s="5"/>
      <c r="N563" s="5"/>
      <c r="O563" s="5"/>
    </row>
    <row r="564" spans="1:15" ht="16.5">
      <c r="A564" s="10" t="s">
        <v>247</v>
      </c>
      <c r="B564" s="11" t="s">
        <v>248</v>
      </c>
      <c r="C564" s="12" t="s">
        <v>249</v>
      </c>
      <c r="D564" s="12" t="s">
        <v>250</v>
      </c>
      <c r="E564" s="12" t="s">
        <v>51</v>
      </c>
      <c r="F564" s="12"/>
      <c r="G564" s="12">
        <f>+D562-F562</f>
        <v>0</v>
      </c>
      <c r="H564" s="12"/>
      <c r="I564" s="12"/>
    </row>
    <row r="565" spans="1:15" ht="16.5">
      <c r="A565" s="14">
        <f>C562</f>
        <v>25430796</v>
      </c>
      <c r="B565" s="15">
        <f>G562</f>
        <v>5426732</v>
      </c>
      <c r="C565" s="12">
        <f>E562</f>
        <v>8855335</v>
      </c>
      <c r="D565" s="12">
        <f>A565+B565-C565</f>
        <v>22002193</v>
      </c>
      <c r="E565" s="13">
        <f>I562-D565</f>
        <v>0</v>
      </c>
      <c r="F565" s="12"/>
      <c r="G565" s="12"/>
      <c r="H565" s="12"/>
      <c r="I565" s="12"/>
    </row>
    <row r="566" spans="1:15" ht="16.5">
      <c r="A566" s="14"/>
      <c r="B566" s="15"/>
      <c r="C566" s="12"/>
      <c r="D566" s="12"/>
      <c r="E566" s="13"/>
      <c r="F566" s="12"/>
      <c r="G566" s="12"/>
      <c r="H566" s="12"/>
      <c r="I566" s="12"/>
    </row>
    <row r="567" spans="1:15">
      <c r="A567" s="16" t="s">
        <v>52</v>
      </c>
      <c r="B567" s="16"/>
      <c r="C567" s="16"/>
      <c r="D567" s="17"/>
      <c r="E567" s="17"/>
      <c r="F567" s="17"/>
      <c r="G567" s="17"/>
      <c r="H567" s="17"/>
      <c r="I567" s="17"/>
    </row>
    <row r="568" spans="1:15">
      <c r="A568" s="18" t="s">
        <v>253</v>
      </c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5">
      <c r="A569" s="19"/>
      <c r="B569" s="17"/>
      <c r="C569" s="20"/>
      <c r="D569" s="20"/>
      <c r="E569" s="20"/>
      <c r="F569" s="20"/>
      <c r="G569" s="20"/>
      <c r="H569" s="17"/>
      <c r="I569" s="17"/>
    </row>
    <row r="570" spans="1:15" ht="45" customHeight="1">
      <c r="A570" s="169" t="s">
        <v>53</v>
      </c>
      <c r="B570" s="171" t="s">
        <v>54</v>
      </c>
      <c r="C570" s="173" t="s">
        <v>251</v>
      </c>
      <c r="D570" s="174" t="s">
        <v>55</v>
      </c>
      <c r="E570" s="175"/>
      <c r="F570" s="175"/>
      <c r="G570" s="176"/>
      <c r="H570" s="177" t="s">
        <v>56</v>
      </c>
      <c r="I570" s="165" t="s">
        <v>57</v>
      </c>
      <c r="J570" s="17"/>
    </row>
    <row r="571" spans="1:15" ht="28.5" customHeight="1">
      <c r="A571" s="170"/>
      <c r="B571" s="172"/>
      <c r="C571" s="22"/>
      <c r="D571" s="21" t="s">
        <v>24</v>
      </c>
      <c r="E571" s="21" t="s">
        <v>25</v>
      </c>
      <c r="F571" s="22" t="s">
        <v>123</v>
      </c>
      <c r="G571" s="21" t="s">
        <v>58</v>
      </c>
      <c r="H571" s="178"/>
      <c r="I571" s="166"/>
      <c r="J571" s="167" t="s">
        <v>252</v>
      </c>
      <c r="K571" s="143"/>
    </row>
    <row r="572" spans="1:15">
      <c r="A572" s="23"/>
      <c r="B572" s="24" t="s">
        <v>59</v>
      </c>
      <c r="C572" s="25"/>
      <c r="D572" s="25"/>
      <c r="E572" s="25"/>
      <c r="F572" s="25"/>
      <c r="G572" s="25"/>
      <c r="H572" s="25"/>
      <c r="I572" s="26"/>
      <c r="J572" s="168"/>
      <c r="K572" s="143"/>
    </row>
    <row r="573" spans="1:15">
      <c r="A573" s="122" t="s">
        <v>90</v>
      </c>
      <c r="B573" s="127" t="s">
        <v>47</v>
      </c>
      <c r="C573" s="32">
        <f>+C551</f>
        <v>483330</v>
      </c>
      <c r="D573" s="31"/>
      <c r="E573" s="32">
        <f>+D551</f>
        <v>552500</v>
      </c>
      <c r="F573" s="32"/>
      <c r="G573" s="32"/>
      <c r="H573" s="55">
        <f>+F551</f>
        <v>400000</v>
      </c>
      <c r="I573" s="32">
        <f>+E551</f>
        <v>521900</v>
      </c>
      <c r="J573" s="30">
        <f t="shared" ref="J573" si="317">+SUM(C573:G573)-(H573+I573)</f>
        <v>113930</v>
      </c>
      <c r="K573" s="144" t="b">
        <f>J573=I551</f>
        <v>1</v>
      </c>
    </row>
    <row r="574" spans="1:15">
      <c r="A574" s="122" t="str">
        <f>+A573</f>
        <v>OCTOBRE</v>
      </c>
      <c r="B574" s="127" t="s">
        <v>255</v>
      </c>
      <c r="C574" s="32">
        <f>+C552</f>
        <v>0</v>
      </c>
      <c r="D574" s="31"/>
      <c r="E574" s="32">
        <f>+D552</f>
        <v>20000</v>
      </c>
      <c r="F574" s="32"/>
      <c r="G574" s="32"/>
      <c r="H574" s="55">
        <f>+F552</f>
        <v>0</v>
      </c>
      <c r="I574" s="32">
        <f>+E552</f>
        <v>7000</v>
      </c>
      <c r="J574" s="101">
        <f>+SUM(C574:G574)-(H574+I574)</f>
        <v>13000</v>
      </c>
      <c r="K574" s="144" t="b">
        <f>J574=I552</f>
        <v>1</v>
      </c>
    </row>
    <row r="575" spans="1:15">
      <c r="A575" s="122" t="str">
        <f t="shared" ref="A575:A579" si="318">+A574</f>
        <v>OCTOBRE</v>
      </c>
      <c r="B575" s="129" t="s">
        <v>84</v>
      </c>
      <c r="C575" s="120">
        <f t="shared" ref="C575:C576" si="319">+C554</f>
        <v>233614</v>
      </c>
      <c r="D575" s="123"/>
      <c r="E575" s="120">
        <f t="shared" ref="E575:E576" si="320">+D554</f>
        <v>0</v>
      </c>
      <c r="F575" s="137"/>
      <c r="G575" s="137"/>
      <c r="H575" s="155">
        <f t="shared" ref="H575:H576" si="321">+F554</f>
        <v>0</v>
      </c>
      <c r="I575" s="120">
        <f t="shared" ref="I575:I576" si="322">+E554</f>
        <v>0</v>
      </c>
      <c r="J575" s="121">
        <f>+SUM(C575:G575)-(H575+I575)</f>
        <v>233614</v>
      </c>
      <c r="K575" s="144" t="b">
        <f t="shared" ref="K575:K576" si="323">J575=I554</f>
        <v>1</v>
      </c>
    </row>
    <row r="576" spans="1:15">
      <c r="A576" s="122" t="str">
        <f t="shared" si="318"/>
        <v>OCTOBRE</v>
      </c>
      <c r="B576" s="129" t="s">
        <v>83</v>
      </c>
      <c r="C576" s="120">
        <f t="shared" si="319"/>
        <v>249769</v>
      </c>
      <c r="D576" s="123"/>
      <c r="E576" s="120">
        <f t="shared" si="320"/>
        <v>0</v>
      </c>
      <c r="F576" s="137"/>
      <c r="G576" s="137"/>
      <c r="H576" s="155">
        <f t="shared" si="321"/>
        <v>0</v>
      </c>
      <c r="I576" s="120">
        <f t="shared" si="322"/>
        <v>0</v>
      </c>
      <c r="J576" s="121">
        <f t="shared" ref="J576:J583" si="324">+SUM(C576:G576)-(H576+I576)</f>
        <v>249769</v>
      </c>
      <c r="K576" s="144" t="b">
        <f t="shared" si="323"/>
        <v>1</v>
      </c>
    </row>
    <row r="577" spans="1:16">
      <c r="A577" s="122" t="str">
        <f t="shared" si="318"/>
        <v>OCTOBRE</v>
      </c>
      <c r="B577" s="127" t="s">
        <v>31</v>
      </c>
      <c r="C577" s="32">
        <f>C553</f>
        <v>76225</v>
      </c>
      <c r="D577" s="31"/>
      <c r="E577" s="32">
        <f>+D553</f>
        <v>15000</v>
      </c>
      <c r="F577" s="32"/>
      <c r="G577" s="104"/>
      <c r="H577" s="55">
        <f>+F553</f>
        <v>45000</v>
      </c>
      <c r="I577" s="32">
        <f>+E553</f>
        <v>34650</v>
      </c>
      <c r="J577" s="30">
        <f t="shared" si="324"/>
        <v>11575</v>
      </c>
      <c r="K577" s="144" t="b">
        <f>J577=I553</f>
        <v>1</v>
      </c>
    </row>
    <row r="578" spans="1:16">
      <c r="A578" s="122" t="str">
        <f t="shared" si="318"/>
        <v>OCTOBRE</v>
      </c>
      <c r="B578" s="127" t="s">
        <v>197</v>
      </c>
      <c r="C578" s="32">
        <f>C556</f>
        <v>41200</v>
      </c>
      <c r="D578" s="31"/>
      <c r="E578" s="32">
        <f>+D556</f>
        <v>294000</v>
      </c>
      <c r="F578" s="32"/>
      <c r="G578" s="104"/>
      <c r="H578" s="55">
        <f>+F556</f>
        <v>30000</v>
      </c>
      <c r="I578" s="32">
        <f>+E556</f>
        <v>258300</v>
      </c>
      <c r="J578" s="30">
        <f t="shared" si="324"/>
        <v>46900</v>
      </c>
      <c r="K578" s="144" t="b">
        <f>J578=I556</f>
        <v>1</v>
      </c>
    </row>
    <row r="579" spans="1:16">
      <c r="A579" s="122" t="str">
        <f t="shared" si="318"/>
        <v>OCTOBRE</v>
      </c>
      <c r="B579" s="127" t="s">
        <v>93</v>
      </c>
      <c r="C579" s="32">
        <f t="shared" ref="C579:C583" si="325">C557</f>
        <v>98100</v>
      </c>
      <c r="D579" s="31"/>
      <c r="E579" s="32">
        <f t="shared" ref="E579:E583" si="326">+D557</f>
        <v>0</v>
      </c>
      <c r="F579" s="32"/>
      <c r="G579" s="104"/>
      <c r="H579" s="55">
        <f t="shared" ref="H579:H583" si="327">+F557</f>
        <v>60000</v>
      </c>
      <c r="I579" s="32">
        <f t="shared" ref="I579:I583" si="328">+E557</f>
        <v>24000</v>
      </c>
      <c r="J579" s="30">
        <f t="shared" si="324"/>
        <v>14100</v>
      </c>
      <c r="K579" s="144" t="b">
        <f t="shared" ref="K579:K583" si="329">J579=I557</f>
        <v>1</v>
      </c>
    </row>
    <row r="580" spans="1:16">
      <c r="A580" s="122" t="str">
        <f>+A578</f>
        <v>OCTOBRE</v>
      </c>
      <c r="B580" s="127" t="s">
        <v>254</v>
      </c>
      <c r="C580" s="32">
        <f t="shared" si="325"/>
        <v>0</v>
      </c>
      <c r="D580" s="31"/>
      <c r="E580" s="32">
        <f t="shared" si="326"/>
        <v>105000</v>
      </c>
      <c r="F580" s="32"/>
      <c r="G580" s="104"/>
      <c r="H580" s="55">
        <f t="shared" si="327"/>
        <v>10000</v>
      </c>
      <c r="I580" s="32">
        <f t="shared" si="328"/>
        <v>98000</v>
      </c>
      <c r="J580" s="30">
        <f t="shared" si="324"/>
        <v>-3000</v>
      </c>
      <c r="K580" s="144" t="b">
        <f t="shared" si="329"/>
        <v>1</v>
      </c>
    </row>
    <row r="581" spans="1:16">
      <c r="A581" s="122" t="str">
        <f t="shared" ref="A581:A583" si="330">+A579</f>
        <v>OCTOBRE</v>
      </c>
      <c r="B581" s="127" t="s">
        <v>29</v>
      </c>
      <c r="C581" s="32">
        <f t="shared" si="325"/>
        <v>60950</v>
      </c>
      <c r="D581" s="31"/>
      <c r="E581" s="32">
        <f t="shared" si="326"/>
        <v>315000</v>
      </c>
      <c r="F581" s="32"/>
      <c r="G581" s="104"/>
      <c r="H581" s="55">
        <f t="shared" si="327"/>
        <v>60950</v>
      </c>
      <c r="I581" s="32">
        <f t="shared" si="328"/>
        <v>259000</v>
      </c>
      <c r="J581" s="30">
        <f t="shared" si="324"/>
        <v>56000</v>
      </c>
      <c r="K581" s="144" t="b">
        <f t="shared" si="329"/>
        <v>1</v>
      </c>
    </row>
    <row r="582" spans="1:16">
      <c r="A582" s="122" t="str">
        <f t="shared" si="330"/>
        <v>OCTOBRE</v>
      </c>
      <c r="B582" s="128" t="s">
        <v>113</v>
      </c>
      <c r="C582" s="32">
        <f t="shared" si="325"/>
        <v>26298</v>
      </c>
      <c r="D582" s="119"/>
      <c r="E582" s="32">
        <f t="shared" si="326"/>
        <v>150000</v>
      </c>
      <c r="F582" s="51"/>
      <c r="G582" s="138"/>
      <c r="H582" s="55">
        <f t="shared" si="327"/>
        <v>0</v>
      </c>
      <c r="I582" s="32">
        <f t="shared" si="328"/>
        <v>158000</v>
      </c>
      <c r="J582" s="30">
        <f t="shared" si="324"/>
        <v>18298</v>
      </c>
      <c r="K582" s="144" t="b">
        <f t="shared" si="329"/>
        <v>1</v>
      </c>
    </row>
    <row r="583" spans="1:16">
      <c r="A583" s="122" t="str">
        <f t="shared" si="330"/>
        <v>OCTOBRE</v>
      </c>
      <c r="B583" s="128" t="s">
        <v>212</v>
      </c>
      <c r="C583" s="32">
        <f t="shared" si="325"/>
        <v>-1700</v>
      </c>
      <c r="D583" s="119"/>
      <c r="E583" s="32">
        <f t="shared" si="326"/>
        <v>24200</v>
      </c>
      <c r="F583" s="51"/>
      <c r="G583" s="138"/>
      <c r="H583" s="55">
        <f t="shared" si="327"/>
        <v>0</v>
      </c>
      <c r="I583" s="32">
        <f t="shared" si="328"/>
        <v>22500</v>
      </c>
      <c r="J583" s="30">
        <f t="shared" si="324"/>
        <v>0</v>
      </c>
      <c r="K583" s="144" t="b">
        <f t="shared" si="329"/>
        <v>1</v>
      </c>
    </row>
    <row r="584" spans="1:16">
      <c r="A584" s="34" t="s">
        <v>60</v>
      </c>
      <c r="B584" s="35"/>
      <c r="C584" s="35"/>
      <c r="D584" s="35"/>
      <c r="E584" s="35"/>
      <c r="F584" s="35"/>
      <c r="G584" s="35"/>
      <c r="H584" s="35"/>
      <c r="I584" s="35"/>
      <c r="J584" s="36"/>
      <c r="K584" s="143"/>
    </row>
    <row r="585" spans="1:16">
      <c r="A585" s="122" t="str">
        <f>A583</f>
        <v>OCTOBRE</v>
      </c>
      <c r="B585" s="37" t="s">
        <v>61</v>
      </c>
      <c r="C585" s="38">
        <f>+C550</f>
        <v>1081474</v>
      </c>
      <c r="D585" s="49"/>
      <c r="E585" s="49">
        <f>D550</f>
        <v>4595950</v>
      </c>
      <c r="F585" s="49"/>
      <c r="G585" s="125"/>
      <c r="H585" s="51">
        <f>+F550</f>
        <v>1465700</v>
      </c>
      <c r="I585" s="126">
        <f>+E550</f>
        <v>2106393</v>
      </c>
      <c r="J585" s="30">
        <f>+SUM(C585:G585)-(H585+I585)</f>
        <v>2105331</v>
      </c>
      <c r="K585" s="144" t="b">
        <f>J585=I550</f>
        <v>1</v>
      </c>
    </row>
    <row r="586" spans="1:16">
      <c r="A586" s="43" t="s">
        <v>62</v>
      </c>
      <c r="B586" s="24"/>
      <c r="C586" s="35"/>
      <c r="D586" s="24"/>
      <c r="E586" s="24"/>
      <c r="F586" s="24"/>
      <c r="G586" s="24"/>
      <c r="H586" s="24"/>
      <c r="I586" s="24"/>
      <c r="J586" s="36"/>
      <c r="K586" s="143"/>
    </row>
    <row r="587" spans="1:16">
      <c r="A587" s="122" t="str">
        <f>+A585</f>
        <v>OCTOBRE</v>
      </c>
      <c r="B587" s="37" t="s">
        <v>156</v>
      </c>
      <c r="C587" s="125">
        <f>+C548</f>
        <v>14237475</v>
      </c>
      <c r="D587" s="132">
        <f>+G548</f>
        <v>0</v>
      </c>
      <c r="E587" s="49"/>
      <c r="F587" s="49"/>
      <c r="G587" s="49"/>
      <c r="H587" s="51">
        <f>+F548</f>
        <v>4000000</v>
      </c>
      <c r="I587" s="53">
        <f>+E548</f>
        <v>633748</v>
      </c>
      <c r="J587" s="30">
        <f>+SUM(C587:G587)-(H587+I587)</f>
        <v>9603727</v>
      </c>
      <c r="K587" s="144" t="b">
        <f>+J587=I548</f>
        <v>1</v>
      </c>
    </row>
    <row r="588" spans="1:16">
      <c r="A588" s="122" t="str">
        <f t="shared" ref="A588" si="331">+A587</f>
        <v>OCTOBRE</v>
      </c>
      <c r="B588" s="37" t="s">
        <v>64</v>
      </c>
      <c r="C588" s="125">
        <f>+C549</f>
        <v>8844061</v>
      </c>
      <c r="D588" s="49">
        <f>+G549</f>
        <v>5426732</v>
      </c>
      <c r="E588" s="48"/>
      <c r="F588" s="48"/>
      <c r="G588" s="48"/>
      <c r="H588" s="32">
        <f>+F549</f>
        <v>0</v>
      </c>
      <c r="I588" s="50">
        <f>+E549</f>
        <v>4731844</v>
      </c>
      <c r="J588" s="30">
        <f>SUM(C588:G588)-(H588+I588)</f>
        <v>9538949</v>
      </c>
      <c r="K588" s="144" t="b">
        <f>+J588=I549</f>
        <v>1</v>
      </c>
    </row>
    <row r="589" spans="1:16" ht="15.75">
      <c r="C589" s="141">
        <f>SUM(C573:C588)</f>
        <v>25430796</v>
      </c>
      <c r="I589" s="140">
        <f>SUM(I573:I588)</f>
        <v>8855335</v>
      </c>
      <c r="J589" s="105">
        <f>+SUM(J573:J588)</f>
        <v>22002193</v>
      </c>
      <c r="K589" s="5" t="b">
        <f>J589=I562</f>
        <v>1</v>
      </c>
    </row>
    <row r="590" spans="1:16" ht="15.75">
      <c r="A590" s="160"/>
      <c r="B590" s="160"/>
      <c r="C590" s="161"/>
      <c r="D590" s="160"/>
      <c r="E590" s="160"/>
      <c r="F590" s="160"/>
      <c r="G590" s="160"/>
      <c r="H590" s="160"/>
      <c r="I590" s="162"/>
      <c r="J590" s="163"/>
      <c r="K590" s="160"/>
      <c r="L590" s="164"/>
      <c r="M590" s="164"/>
      <c r="N590" s="164"/>
      <c r="O590" s="164"/>
      <c r="P590" s="160"/>
    </row>
    <row r="591" spans="1:16" ht="15.75">
      <c r="C591" s="141"/>
      <c r="I591" s="140"/>
      <c r="J591" s="105"/>
    </row>
    <row r="594" spans="1:15" ht="15.75">
      <c r="A594" s="6" t="s">
        <v>36</v>
      </c>
      <c r="B594" s="6" t="s">
        <v>1</v>
      </c>
      <c r="C594" s="6">
        <v>44805</v>
      </c>
      <c r="D594" s="7" t="s">
        <v>37</v>
      </c>
      <c r="E594" s="7" t="s">
        <v>38</v>
      </c>
      <c r="F594" s="7" t="s">
        <v>39</v>
      </c>
      <c r="G594" s="7" t="s">
        <v>40</v>
      </c>
      <c r="H594" s="6" t="s">
        <v>239</v>
      </c>
      <c r="I594" s="7" t="s">
        <v>41</v>
      </c>
      <c r="K594" s="45"/>
      <c r="L594" s="45" t="s">
        <v>42</v>
      </c>
      <c r="M594" s="45" t="s">
        <v>43</v>
      </c>
      <c r="N594" s="45" t="s">
        <v>44</v>
      </c>
      <c r="O594" s="45" t="s">
        <v>45</v>
      </c>
    </row>
    <row r="595" spans="1:15" ht="16.5">
      <c r="A595" s="58" t="str">
        <f>K595</f>
        <v>BCI</v>
      </c>
      <c r="B595" s="59" t="s">
        <v>46</v>
      </c>
      <c r="C595" s="61">
        <v>23820820</v>
      </c>
      <c r="D595" s="61">
        <f>+L595</f>
        <v>0</v>
      </c>
      <c r="E595" s="61">
        <f>+N595</f>
        <v>583345</v>
      </c>
      <c r="F595" s="61">
        <f>+M595</f>
        <v>9000000</v>
      </c>
      <c r="G595" s="61">
        <f t="shared" ref="G595:G607" si="332">+O595</f>
        <v>0</v>
      </c>
      <c r="H595" s="61">
        <v>14237475</v>
      </c>
      <c r="I595" s="61">
        <f>+C595+D595-E595-F595+G595</f>
        <v>14237475</v>
      </c>
      <c r="J595" s="9">
        <f>I595-H595</f>
        <v>0</v>
      </c>
      <c r="K595" s="45" t="s">
        <v>24</v>
      </c>
      <c r="L595" s="47">
        <v>0</v>
      </c>
      <c r="M595" s="47">
        <v>9000000</v>
      </c>
      <c r="N595" s="47">
        <v>583345</v>
      </c>
      <c r="O595" s="47">
        <v>0</v>
      </c>
    </row>
    <row r="596" spans="1:15" ht="16.5">
      <c r="A596" s="58" t="str">
        <f t="shared" ref="A596:A607" si="333">K596</f>
        <v>BCI-Sous Compte</v>
      </c>
      <c r="B596" s="59" t="s">
        <v>46</v>
      </c>
      <c r="C596" s="61">
        <v>14424581</v>
      </c>
      <c r="D596" s="61">
        <f t="shared" ref="D596:D607" si="334">+L596</f>
        <v>0</v>
      </c>
      <c r="E596" s="61">
        <f t="shared" ref="E596:E607" si="335">+N596</f>
        <v>5580520</v>
      </c>
      <c r="F596" s="61">
        <f t="shared" ref="F596:F607" si="336">+M596</f>
        <v>0</v>
      </c>
      <c r="G596" s="61">
        <f t="shared" si="332"/>
        <v>0</v>
      </c>
      <c r="H596" s="61">
        <v>8844061</v>
      </c>
      <c r="I596" s="61">
        <f>+C596+D596-E596-F596+G596</f>
        <v>8844061</v>
      </c>
      <c r="J596" s="9">
        <f t="shared" ref="J596:J602" si="337">I596-H596</f>
        <v>0</v>
      </c>
      <c r="K596" s="45" t="s">
        <v>148</v>
      </c>
      <c r="L596" s="46">
        <v>0</v>
      </c>
      <c r="M596" s="47">
        <v>0</v>
      </c>
      <c r="N596" s="47">
        <v>5580520</v>
      </c>
      <c r="O596" s="47">
        <v>0</v>
      </c>
    </row>
    <row r="597" spans="1:15" ht="16.5">
      <c r="A597" s="58" t="str">
        <f t="shared" si="333"/>
        <v>Caisse</v>
      </c>
      <c r="B597" s="59" t="s">
        <v>25</v>
      </c>
      <c r="C597" s="61">
        <v>980042</v>
      </c>
      <c r="D597" s="61">
        <f t="shared" si="334"/>
        <v>9476115</v>
      </c>
      <c r="E597" s="61">
        <f t="shared" si="335"/>
        <v>2448183</v>
      </c>
      <c r="F597" s="61">
        <f t="shared" si="336"/>
        <v>6926500</v>
      </c>
      <c r="G597" s="61">
        <f t="shared" si="332"/>
        <v>0</v>
      </c>
      <c r="H597" s="61">
        <v>1081474</v>
      </c>
      <c r="I597" s="61">
        <f>+C597+D597-E597-F597+G597</f>
        <v>1081474</v>
      </c>
      <c r="J597" s="102">
        <f t="shared" si="337"/>
        <v>0</v>
      </c>
      <c r="K597" s="45" t="s">
        <v>25</v>
      </c>
      <c r="L597" s="47">
        <v>9476115</v>
      </c>
      <c r="M597" s="47">
        <v>6926500</v>
      </c>
      <c r="N597" s="47">
        <v>2448183</v>
      </c>
      <c r="O597" s="47">
        <v>0</v>
      </c>
    </row>
    <row r="598" spans="1:15" ht="16.5">
      <c r="A598" s="58" t="str">
        <f t="shared" si="333"/>
        <v>Crépin</v>
      </c>
      <c r="B598" s="59" t="s">
        <v>154</v>
      </c>
      <c r="C598" s="61">
        <v>65910</v>
      </c>
      <c r="D598" s="61">
        <f t="shared" si="334"/>
        <v>2886000</v>
      </c>
      <c r="E598" s="61">
        <f t="shared" si="335"/>
        <v>1968580</v>
      </c>
      <c r="F598" s="61">
        <f t="shared" si="336"/>
        <v>500000</v>
      </c>
      <c r="G598" s="61">
        <f t="shared" si="332"/>
        <v>0</v>
      </c>
      <c r="H598" s="61">
        <v>483330</v>
      </c>
      <c r="I598" s="61">
        <f>+C598+D598-E598-F598+G598</f>
        <v>483330</v>
      </c>
      <c r="J598" s="9">
        <f t="shared" si="337"/>
        <v>0</v>
      </c>
      <c r="K598" s="45" t="s">
        <v>47</v>
      </c>
      <c r="L598" s="47">
        <v>2886000</v>
      </c>
      <c r="M598" s="47">
        <v>500000</v>
      </c>
      <c r="N598" s="47">
        <v>1968580</v>
      </c>
      <c r="O598" s="47">
        <v>0</v>
      </c>
    </row>
    <row r="599" spans="1:15" ht="16.5">
      <c r="A599" s="58" t="str">
        <f t="shared" si="333"/>
        <v>Evariste</v>
      </c>
      <c r="B599" s="59" t="s">
        <v>155</v>
      </c>
      <c r="C599" s="61">
        <v>4795</v>
      </c>
      <c r="D599" s="61">
        <f t="shared" si="334"/>
        <v>782000</v>
      </c>
      <c r="E599" s="61">
        <f t="shared" si="335"/>
        <v>710570</v>
      </c>
      <c r="F599" s="61">
        <f t="shared" si="336"/>
        <v>0</v>
      </c>
      <c r="G599" s="61">
        <f t="shared" si="332"/>
        <v>0</v>
      </c>
      <c r="H599" s="61">
        <v>76225</v>
      </c>
      <c r="I599" s="61">
        <f t="shared" ref="I599" si="338">+C599+D599-E599-F599+G599</f>
        <v>76225</v>
      </c>
      <c r="J599" s="9">
        <f t="shared" si="337"/>
        <v>0</v>
      </c>
      <c r="K599" s="45" t="s">
        <v>31</v>
      </c>
      <c r="L599" s="47">
        <v>782000</v>
      </c>
      <c r="M599" s="47">
        <v>0</v>
      </c>
      <c r="N599" s="47">
        <v>710570</v>
      </c>
      <c r="O599" s="47">
        <v>0</v>
      </c>
    </row>
    <row r="600" spans="1:15" ht="16.5">
      <c r="A600" s="58" t="str">
        <f t="shared" si="333"/>
        <v>I55S</v>
      </c>
      <c r="B600" s="116" t="s">
        <v>4</v>
      </c>
      <c r="C600" s="118">
        <v>233614</v>
      </c>
      <c r="D600" s="118">
        <f t="shared" si="334"/>
        <v>0</v>
      </c>
      <c r="E600" s="118">
        <f t="shared" si="335"/>
        <v>0</v>
      </c>
      <c r="F600" s="118">
        <f t="shared" si="336"/>
        <v>0</v>
      </c>
      <c r="G600" s="118">
        <f t="shared" si="332"/>
        <v>0</v>
      </c>
      <c r="H600" s="118">
        <v>233614</v>
      </c>
      <c r="I600" s="118">
        <f>+C600+D600-E600-F600+G600</f>
        <v>233614</v>
      </c>
      <c r="J600" s="9">
        <f t="shared" si="337"/>
        <v>0</v>
      </c>
      <c r="K600" s="45" t="s">
        <v>84</v>
      </c>
      <c r="L600" s="47">
        <v>0</v>
      </c>
      <c r="M600" s="47">
        <v>0</v>
      </c>
      <c r="N600" s="47">
        <v>0</v>
      </c>
      <c r="O600" s="47">
        <v>0</v>
      </c>
    </row>
    <row r="601" spans="1:15" ht="16.5">
      <c r="A601" s="58" t="str">
        <f t="shared" si="333"/>
        <v>I73X</v>
      </c>
      <c r="B601" s="116" t="s">
        <v>4</v>
      </c>
      <c r="C601" s="118">
        <v>249769</v>
      </c>
      <c r="D601" s="118">
        <f t="shared" si="334"/>
        <v>0</v>
      </c>
      <c r="E601" s="118">
        <f t="shared" si="335"/>
        <v>0</v>
      </c>
      <c r="F601" s="118">
        <f t="shared" si="336"/>
        <v>0</v>
      </c>
      <c r="G601" s="118">
        <f t="shared" si="332"/>
        <v>0</v>
      </c>
      <c r="H601" s="118">
        <v>249769</v>
      </c>
      <c r="I601" s="118">
        <f t="shared" ref="I601:I604" si="339">+C601+D601-E601-F601+G601</f>
        <v>249769</v>
      </c>
      <c r="J601" s="9">
        <f t="shared" si="337"/>
        <v>0</v>
      </c>
      <c r="K601" s="45" t="s">
        <v>83</v>
      </c>
      <c r="L601" s="47">
        <v>0</v>
      </c>
      <c r="M601" s="47">
        <v>0</v>
      </c>
      <c r="N601" s="47">
        <v>0</v>
      </c>
      <c r="O601" s="47">
        <v>0</v>
      </c>
    </row>
    <row r="602" spans="1:15" ht="16.5">
      <c r="A602" s="58" t="str">
        <f t="shared" si="333"/>
        <v>Grace</v>
      </c>
      <c r="B602" s="98" t="s">
        <v>2</v>
      </c>
      <c r="C602" s="61">
        <v>116815</v>
      </c>
      <c r="D602" s="61">
        <f t="shared" si="334"/>
        <v>1388000</v>
      </c>
      <c r="E602" s="61">
        <f t="shared" si="335"/>
        <v>228700</v>
      </c>
      <c r="F602" s="61">
        <f t="shared" si="336"/>
        <v>1276115</v>
      </c>
      <c r="G602" s="61">
        <f t="shared" si="332"/>
        <v>0</v>
      </c>
      <c r="H602" s="61">
        <v>0</v>
      </c>
      <c r="I602" s="61">
        <f t="shared" si="339"/>
        <v>0</v>
      </c>
      <c r="J602" s="9">
        <f t="shared" si="337"/>
        <v>0</v>
      </c>
      <c r="K602" s="45" t="s">
        <v>143</v>
      </c>
      <c r="L602" s="47">
        <v>1388000</v>
      </c>
      <c r="M602" s="47">
        <v>1276115</v>
      </c>
      <c r="N602" s="47">
        <v>228700</v>
      </c>
      <c r="O602" s="47">
        <v>0</v>
      </c>
    </row>
    <row r="603" spans="1:15" s="188" customFormat="1" ht="16.5">
      <c r="A603" s="58" t="str">
        <f t="shared" si="333"/>
        <v>Hurielle</v>
      </c>
      <c r="B603" s="183" t="s">
        <v>154</v>
      </c>
      <c r="C603" s="184">
        <v>700</v>
      </c>
      <c r="D603" s="61">
        <f t="shared" si="334"/>
        <v>629000</v>
      </c>
      <c r="E603" s="61">
        <f t="shared" si="335"/>
        <v>513500</v>
      </c>
      <c r="F603" s="61">
        <f t="shared" si="336"/>
        <v>75000</v>
      </c>
      <c r="G603" s="61">
        <f t="shared" si="332"/>
        <v>0</v>
      </c>
      <c r="H603" s="184">
        <f>5000+36200</f>
        <v>41200</v>
      </c>
      <c r="I603" s="184">
        <f t="shared" si="339"/>
        <v>41200</v>
      </c>
      <c r="J603" s="185">
        <f>I603-H603</f>
        <v>0</v>
      </c>
      <c r="K603" s="186" t="s">
        <v>197</v>
      </c>
      <c r="L603" s="187">
        <v>629000</v>
      </c>
      <c r="M603" s="187">
        <v>75000</v>
      </c>
      <c r="N603" s="187">
        <v>513500</v>
      </c>
      <c r="O603" s="187">
        <v>0</v>
      </c>
    </row>
    <row r="604" spans="1:15" ht="16.5">
      <c r="A604" s="58" t="str">
        <f t="shared" si="333"/>
        <v>Merveille</v>
      </c>
      <c r="B604" s="98" t="s">
        <v>2</v>
      </c>
      <c r="C604" s="61">
        <v>6900</v>
      </c>
      <c r="D604" s="61">
        <f t="shared" si="334"/>
        <v>521000</v>
      </c>
      <c r="E604" s="61">
        <f>+N604</f>
        <v>394800</v>
      </c>
      <c r="F604" s="61">
        <f t="shared" si="336"/>
        <v>35000</v>
      </c>
      <c r="G604" s="61">
        <f t="shared" si="332"/>
        <v>0</v>
      </c>
      <c r="H604" s="61">
        <f>97600+500</f>
        <v>98100</v>
      </c>
      <c r="I604" s="61">
        <f t="shared" si="339"/>
        <v>98100</v>
      </c>
      <c r="J604" s="9">
        <f t="shared" ref="J604:J605" si="340">I604-H604</f>
        <v>0</v>
      </c>
      <c r="K604" s="45" t="s">
        <v>93</v>
      </c>
      <c r="L604" s="47">
        <v>521000</v>
      </c>
      <c r="M604" s="47">
        <v>35000</v>
      </c>
      <c r="N604" s="47">
        <f>395300-500</f>
        <v>394800</v>
      </c>
      <c r="O604" s="47">
        <v>0</v>
      </c>
    </row>
    <row r="605" spans="1:15" ht="16.5">
      <c r="A605" s="58" t="str">
        <f t="shared" si="333"/>
        <v>P29</v>
      </c>
      <c r="B605" s="59" t="s">
        <v>4</v>
      </c>
      <c r="C605" s="61">
        <v>24050</v>
      </c>
      <c r="D605" s="61">
        <f t="shared" si="334"/>
        <v>885000</v>
      </c>
      <c r="E605" s="61">
        <f t="shared" si="335"/>
        <v>798100</v>
      </c>
      <c r="F605" s="61">
        <f t="shared" si="336"/>
        <v>50000</v>
      </c>
      <c r="G605" s="61">
        <f t="shared" si="332"/>
        <v>0</v>
      </c>
      <c r="H605" s="61">
        <v>60950</v>
      </c>
      <c r="I605" s="61">
        <f>+C605+D605-E605-F605+G605</f>
        <v>60950</v>
      </c>
      <c r="J605" s="9">
        <f t="shared" si="340"/>
        <v>0</v>
      </c>
      <c r="K605" s="45" t="s">
        <v>29</v>
      </c>
      <c r="L605" s="47">
        <v>885000</v>
      </c>
      <c r="M605" s="47">
        <v>50000</v>
      </c>
      <c r="N605" s="47">
        <v>798100</v>
      </c>
      <c r="O605" s="47">
        <v>0</v>
      </c>
    </row>
    <row r="606" spans="1:15" ht="16.5">
      <c r="A606" s="58" t="str">
        <f t="shared" si="333"/>
        <v>Tiffany</v>
      </c>
      <c r="B606" s="59" t="s">
        <v>2</v>
      </c>
      <c r="C606" s="61">
        <v>-653702</v>
      </c>
      <c r="D606" s="61">
        <f t="shared" si="334"/>
        <v>731000</v>
      </c>
      <c r="E606" s="61">
        <f t="shared" si="335"/>
        <v>51000</v>
      </c>
      <c r="F606" s="61">
        <f t="shared" si="336"/>
        <v>0</v>
      </c>
      <c r="G606" s="61">
        <f t="shared" si="332"/>
        <v>0</v>
      </c>
      <c r="H606" s="61">
        <v>26298</v>
      </c>
      <c r="I606" s="61">
        <f>+C606+D606-E606-F606+G606</f>
        <v>26298</v>
      </c>
      <c r="J606" s="9">
        <f>I606-H606</f>
        <v>0</v>
      </c>
      <c r="K606" s="45" t="s">
        <v>113</v>
      </c>
      <c r="L606" s="47">
        <v>731000</v>
      </c>
      <c r="M606" s="47">
        <v>0</v>
      </c>
      <c r="N606" s="47">
        <v>51000</v>
      </c>
      <c r="O606" s="47">
        <v>0</v>
      </c>
    </row>
    <row r="607" spans="1:15" ht="16.5">
      <c r="A607" s="58" t="str">
        <f t="shared" si="333"/>
        <v>Yan</v>
      </c>
      <c r="B607" s="59" t="s">
        <v>154</v>
      </c>
      <c r="C607" s="61">
        <v>0</v>
      </c>
      <c r="D607" s="61">
        <f t="shared" si="334"/>
        <v>599500</v>
      </c>
      <c r="E607" s="61">
        <f t="shared" si="335"/>
        <v>566200</v>
      </c>
      <c r="F607" s="61">
        <f t="shared" si="336"/>
        <v>35000</v>
      </c>
      <c r="G607" s="61">
        <f t="shared" si="332"/>
        <v>0</v>
      </c>
      <c r="H607" s="61">
        <v>-1700</v>
      </c>
      <c r="I607" s="61">
        <f t="shared" ref="I607" si="341">+C607+D607-E607-F607+G607</f>
        <v>-1700</v>
      </c>
      <c r="J607" s="9">
        <f t="shared" ref="J607" si="342">I607-H607</f>
        <v>0</v>
      </c>
      <c r="K607" s="45" t="s">
        <v>212</v>
      </c>
      <c r="L607" s="47">
        <v>599500</v>
      </c>
      <c r="M607" s="47">
        <v>35000</v>
      </c>
      <c r="N607" s="47">
        <v>566200</v>
      </c>
      <c r="O607" s="47">
        <v>0</v>
      </c>
    </row>
    <row r="608" spans="1:15" ht="16.5">
      <c r="A608" s="10" t="s">
        <v>50</v>
      </c>
      <c r="B608" s="11"/>
      <c r="C608" s="12">
        <f t="shared" ref="C608:I608" si="343">SUM(C595:C607)</f>
        <v>39274294</v>
      </c>
      <c r="D608" s="57">
        <f t="shared" si="343"/>
        <v>17897615</v>
      </c>
      <c r="E608" s="57">
        <f t="shared" si="343"/>
        <v>13843498</v>
      </c>
      <c r="F608" s="57">
        <f t="shared" si="343"/>
        <v>17897615</v>
      </c>
      <c r="G608" s="57">
        <f t="shared" si="343"/>
        <v>0</v>
      </c>
      <c r="H608" s="57">
        <f>SUM(H595:H607)</f>
        <v>25430796</v>
      </c>
      <c r="I608" s="57">
        <f t="shared" si="343"/>
        <v>25430796</v>
      </c>
      <c r="J608" s="9">
        <f>I608-H608</f>
        <v>0</v>
      </c>
      <c r="K608" s="3"/>
      <c r="L608" s="47">
        <f>+SUM(L595:L607)</f>
        <v>17897615</v>
      </c>
      <c r="M608" s="47">
        <f>+SUM(M595:M607)</f>
        <v>17897615</v>
      </c>
      <c r="N608" s="47">
        <f>+SUM(N595:N607)</f>
        <v>13843498</v>
      </c>
      <c r="O608" s="47">
        <f>+SUM(O595:O607)</f>
        <v>0</v>
      </c>
    </row>
    <row r="609" spans="1:15" ht="16.5">
      <c r="A609" s="10"/>
      <c r="B609" s="11"/>
      <c r="C609" s="12"/>
      <c r="D609" s="13"/>
      <c r="E609" s="12"/>
      <c r="F609" s="13"/>
      <c r="G609" s="12"/>
      <c r="H609" s="12"/>
      <c r="I609" s="134" t="b">
        <f>I608=D611</f>
        <v>1</v>
      </c>
      <c r="J609" s="9">
        <f>H608-I608</f>
        <v>0</v>
      </c>
      <c r="L609" s="5"/>
      <c r="M609" s="5"/>
      <c r="N609" s="5"/>
      <c r="O609" s="5"/>
    </row>
    <row r="610" spans="1:15" ht="16.5">
      <c r="A610" s="10" t="s">
        <v>243</v>
      </c>
      <c r="B610" s="11" t="s">
        <v>242</v>
      </c>
      <c r="C610" s="12" t="s">
        <v>241</v>
      </c>
      <c r="D610" s="12" t="s">
        <v>240</v>
      </c>
      <c r="E610" s="12" t="s">
        <v>51</v>
      </c>
      <c r="F610" s="12"/>
      <c r="G610" s="12">
        <f>+D608-F608</f>
        <v>0</v>
      </c>
      <c r="H610" s="12"/>
      <c r="I610" s="12"/>
    </row>
    <row r="611" spans="1:15" ht="16.5">
      <c r="A611" s="14">
        <f>C608</f>
        <v>39274294</v>
      </c>
      <c r="B611" s="15">
        <f>G608</f>
        <v>0</v>
      </c>
      <c r="C611" s="12">
        <f>E608</f>
        <v>13843498</v>
      </c>
      <c r="D611" s="12">
        <f>A611+B611-C611</f>
        <v>25430796</v>
      </c>
      <c r="E611" s="13">
        <f>I608-D611</f>
        <v>0</v>
      </c>
      <c r="F611" s="12"/>
      <c r="G611" s="12"/>
      <c r="H611" s="12"/>
      <c r="I611" s="12"/>
    </row>
    <row r="612" spans="1:15" ht="16.5">
      <c r="A612" s="14"/>
      <c r="B612" s="15"/>
      <c r="C612" s="12"/>
      <c r="D612" s="12"/>
      <c r="E612" s="13"/>
      <c r="F612" s="12"/>
      <c r="G612" s="12"/>
      <c r="H612" s="12"/>
      <c r="I612" s="12"/>
    </row>
    <row r="613" spans="1:15">
      <c r="A613" s="16" t="s">
        <v>52</v>
      </c>
      <c r="B613" s="16"/>
      <c r="C613" s="16"/>
      <c r="D613" s="17"/>
      <c r="E613" s="17"/>
      <c r="F613" s="17"/>
      <c r="G613" s="17"/>
      <c r="H613" s="17"/>
      <c r="I613" s="17"/>
    </row>
    <row r="614" spans="1:15">
      <c r="A614" s="18" t="s">
        <v>244</v>
      </c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5">
      <c r="A615" s="19"/>
      <c r="B615" s="17"/>
      <c r="C615" s="20"/>
      <c r="D615" s="20"/>
      <c r="E615" s="20"/>
      <c r="F615" s="20"/>
      <c r="G615" s="20"/>
      <c r="H615" s="17"/>
      <c r="I615" s="17"/>
    </row>
    <row r="616" spans="1:15" ht="45" customHeight="1">
      <c r="A616" s="169" t="s">
        <v>53</v>
      </c>
      <c r="B616" s="171" t="s">
        <v>54</v>
      </c>
      <c r="C616" s="173" t="s">
        <v>245</v>
      </c>
      <c r="D616" s="174" t="s">
        <v>55</v>
      </c>
      <c r="E616" s="175"/>
      <c r="F616" s="175"/>
      <c r="G616" s="176"/>
      <c r="H616" s="177" t="s">
        <v>56</v>
      </c>
      <c r="I616" s="165" t="s">
        <v>57</v>
      </c>
      <c r="J616" s="17"/>
    </row>
    <row r="617" spans="1:15" ht="28.5" customHeight="1">
      <c r="A617" s="170"/>
      <c r="B617" s="172"/>
      <c r="C617" s="22"/>
      <c r="D617" s="21" t="s">
        <v>24</v>
      </c>
      <c r="E617" s="21" t="s">
        <v>25</v>
      </c>
      <c r="F617" s="22" t="s">
        <v>123</v>
      </c>
      <c r="G617" s="21" t="s">
        <v>58</v>
      </c>
      <c r="H617" s="178"/>
      <c r="I617" s="166"/>
      <c r="J617" s="167" t="s">
        <v>246</v>
      </c>
      <c r="K617" s="143"/>
    </row>
    <row r="618" spans="1:15">
      <c r="A618" s="23"/>
      <c r="B618" s="24" t="s">
        <v>59</v>
      </c>
      <c r="C618" s="25"/>
      <c r="D618" s="25"/>
      <c r="E618" s="25"/>
      <c r="F618" s="25"/>
      <c r="G618" s="25"/>
      <c r="H618" s="25"/>
      <c r="I618" s="26"/>
      <c r="J618" s="168"/>
      <c r="K618" s="143"/>
    </row>
    <row r="619" spans="1:15">
      <c r="A619" s="122" t="s">
        <v>79</v>
      </c>
      <c r="B619" s="127" t="s">
        <v>47</v>
      </c>
      <c r="C619" s="32">
        <f t="shared" ref="C619:C628" si="344">+C598</f>
        <v>65910</v>
      </c>
      <c r="D619" s="31"/>
      <c r="E619" s="32">
        <f t="shared" ref="E619:E628" si="345">+D598</f>
        <v>2886000</v>
      </c>
      <c r="F619" s="32"/>
      <c r="G619" s="32"/>
      <c r="H619" s="55">
        <f t="shared" ref="H619:H628" si="346">+F598</f>
        <v>500000</v>
      </c>
      <c r="I619" s="32">
        <f t="shared" ref="I619:I628" si="347">+E598</f>
        <v>1968580</v>
      </c>
      <c r="J619" s="30">
        <f t="shared" ref="J619:J620" si="348">+SUM(C619:G619)-(H619+I619)</f>
        <v>483330</v>
      </c>
      <c r="K619" s="144" t="b">
        <f t="shared" ref="K619:K628" si="349">J619=I598</f>
        <v>1</v>
      </c>
    </row>
    <row r="620" spans="1:15">
      <c r="A620" s="122" t="str">
        <f>+A619</f>
        <v>SEPTEMBRE</v>
      </c>
      <c r="B620" s="127" t="s">
        <v>31</v>
      </c>
      <c r="C620" s="32">
        <f t="shared" si="344"/>
        <v>4795</v>
      </c>
      <c r="D620" s="31"/>
      <c r="E620" s="32">
        <f t="shared" si="345"/>
        <v>782000</v>
      </c>
      <c r="F620" s="32"/>
      <c r="G620" s="32"/>
      <c r="H620" s="55">
        <f t="shared" si="346"/>
        <v>0</v>
      </c>
      <c r="I620" s="32">
        <f t="shared" si="347"/>
        <v>710570</v>
      </c>
      <c r="J620" s="101">
        <f t="shared" si="348"/>
        <v>76225</v>
      </c>
      <c r="K620" s="144" t="b">
        <f t="shared" si="349"/>
        <v>1</v>
      </c>
    </row>
    <row r="621" spans="1:15">
      <c r="A621" s="122" t="str">
        <f t="shared" ref="A621:A625" si="350">+A620</f>
        <v>SEPTEMBRE</v>
      </c>
      <c r="B621" s="129" t="s">
        <v>84</v>
      </c>
      <c r="C621" s="120">
        <f t="shared" si="344"/>
        <v>233614</v>
      </c>
      <c r="D621" s="123"/>
      <c r="E621" s="120">
        <f t="shared" si="345"/>
        <v>0</v>
      </c>
      <c r="F621" s="137"/>
      <c r="G621" s="137"/>
      <c r="H621" s="155">
        <f t="shared" si="346"/>
        <v>0</v>
      </c>
      <c r="I621" s="120">
        <f t="shared" si="347"/>
        <v>0</v>
      </c>
      <c r="J621" s="121">
        <f>+SUM(C621:G621)-(H621+I621)</f>
        <v>233614</v>
      </c>
      <c r="K621" s="144" t="b">
        <f t="shared" si="349"/>
        <v>1</v>
      </c>
    </row>
    <row r="622" spans="1:15">
      <c r="A622" s="122" t="str">
        <f t="shared" si="350"/>
        <v>SEPTEMBRE</v>
      </c>
      <c r="B622" s="129" t="s">
        <v>83</v>
      </c>
      <c r="C622" s="120">
        <f t="shared" si="344"/>
        <v>249769</v>
      </c>
      <c r="D622" s="123"/>
      <c r="E622" s="120">
        <f t="shared" si="345"/>
        <v>0</v>
      </c>
      <c r="F622" s="137"/>
      <c r="G622" s="137"/>
      <c r="H622" s="155">
        <f t="shared" si="346"/>
        <v>0</v>
      </c>
      <c r="I622" s="120">
        <f t="shared" si="347"/>
        <v>0</v>
      </c>
      <c r="J622" s="121">
        <f t="shared" ref="J622:J628" si="351">+SUM(C622:G622)-(H622+I622)</f>
        <v>249769</v>
      </c>
      <c r="K622" s="144" t="b">
        <f t="shared" si="349"/>
        <v>1</v>
      </c>
    </row>
    <row r="623" spans="1:15">
      <c r="A623" s="122" t="str">
        <f t="shared" si="350"/>
        <v>SEPTEMBRE</v>
      </c>
      <c r="B623" s="127" t="s">
        <v>143</v>
      </c>
      <c r="C623" s="32">
        <f t="shared" si="344"/>
        <v>116815</v>
      </c>
      <c r="D623" s="31"/>
      <c r="E623" s="32">
        <f t="shared" si="345"/>
        <v>1388000</v>
      </c>
      <c r="F623" s="32"/>
      <c r="G623" s="104"/>
      <c r="H623" s="55">
        <f t="shared" si="346"/>
        <v>1276115</v>
      </c>
      <c r="I623" s="32">
        <f t="shared" si="347"/>
        <v>228700</v>
      </c>
      <c r="J623" s="30">
        <f t="shared" si="351"/>
        <v>0</v>
      </c>
      <c r="K623" s="144" t="b">
        <f t="shared" si="349"/>
        <v>1</v>
      </c>
    </row>
    <row r="624" spans="1:15">
      <c r="A624" s="122" t="str">
        <f t="shared" si="350"/>
        <v>SEPTEMBRE</v>
      </c>
      <c r="B624" s="127" t="s">
        <v>197</v>
      </c>
      <c r="C624" s="32">
        <f t="shared" si="344"/>
        <v>700</v>
      </c>
      <c r="D624" s="31"/>
      <c r="E624" s="32">
        <f t="shared" si="345"/>
        <v>629000</v>
      </c>
      <c r="F624" s="32"/>
      <c r="G624" s="104"/>
      <c r="H624" s="55">
        <f t="shared" si="346"/>
        <v>75000</v>
      </c>
      <c r="I624" s="32">
        <f t="shared" si="347"/>
        <v>513500</v>
      </c>
      <c r="J624" s="30">
        <f t="shared" si="351"/>
        <v>41200</v>
      </c>
      <c r="K624" s="144" t="b">
        <f t="shared" si="349"/>
        <v>1</v>
      </c>
    </row>
    <row r="625" spans="1:16">
      <c r="A625" s="122" t="str">
        <f t="shared" si="350"/>
        <v>SEPTEMBRE</v>
      </c>
      <c r="B625" s="127" t="s">
        <v>93</v>
      </c>
      <c r="C625" s="32">
        <f t="shared" si="344"/>
        <v>6900</v>
      </c>
      <c r="D625" s="31"/>
      <c r="E625" s="32">
        <f t="shared" si="345"/>
        <v>521000</v>
      </c>
      <c r="F625" s="32"/>
      <c r="G625" s="104"/>
      <c r="H625" s="55">
        <f t="shared" si="346"/>
        <v>35000</v>
      </c>
      <c r="I625" s="32">
        <f t="shared" si="347"/>
        <v>394800</v>
      </c>
      <c r="J625" s="30">
        <f t="shared" si="351"/>
        <v>98100</v>
      </c>
      <c r="K625" s="144" t="b">
        <f t="shared" si="349"/>
        <v>1</v>
      </c>
    </row>
    <row r="626" spans="1:16">
      <c r="A626" s="122" t="str">
        <f>+A624</f>
        <v>SEPTEMBRE</v>
      </c>
      <c r="B626" s="127" t="s">
        <v>29</v>
      </c>
      <c r="C626" s="32">
        <f t="shared" si="344"/>
        <v>24050</v>
      </c>
      <c r="D626" s="31"/>
      <c r="E626" s="32">
        <f t="shared" si="345"/>
        <v>885000</v>
      </c>
      <c r="F626" s="32"/>
      <c r="G626" s="104"/>
      <c r="H626" s="55">
        <f t="shared" si="346"/>
        <v>50000</v>
      </c>
      <c r="I626" s="32">
        <f t="shared" si="347"/>
        <v>798100</v>
      </c>
      <c r="J626" s="30">
        <f t="shared" si="351"/>
        <v>60950</v>
      </c>
      <c r="K626" s="144" t="b">
        <f t="shared" si="349"/>
        <v>1</v>
      </c>
    </row>
    <row r="627" spans="1:16">
      <c r="A627" s="122" t="str">
        <f>+A625</f>
        <v>SEPTEMBRE</v>
      </c>
      <c r="B627" s="127" t="s">
        <v>113</v>
      </c>
      <c r="C627" s="32">
        <f t="shared" si="344"/>
        <v>-653702</v>
      </c>
      <c r="D627" s="31"/>
      <c r="E627" s="32">
        <f t="shared" si="345"/>
        <v>731000</v>
      </c>
      <c r="F627" s="32"/>
      <c r="G627" s="104"/>
      <c r="H627" s="55">
        <f t="shared" si="346"/>
        <v>0</v>
      </c>
      <c r="I627" s="32">
        <f t="shared" si="347"/>
        <v>51000</v>
      </c>
      <c r="J627" s="30">
        <f t="shared" si="351"/>
        <v>26298</v>
      </c>
      <c r="K627" s="144" t="b">
        <f t="shared" si="349"/>
        <v>1</v>
      </c>
    </row>
    <row r="628" spans="1:16">
      <c r="A628" s="122" t="str">
        <f>+A626</f>
        <v>SEPTEMBRE</v>
      </c>
      <c r="B628" s="128" t="s">
        <v>212</v>
      </c>
      <c r="C628" s="32">
        <f t="shared" si="344"/>
        <v>0</v>
      </c>
      <c r="D628" s="119"/>
      <c r="E628" s="32">
        <f t="shared" si="345"/>
        <v>599500</v>
      </c>
      <c r="F628" s="51"/>
      <c r="G628" s="138"/>
      <c r="H628" s="55">
        <f t="shared" si="346"/>
        <v>35000</v>
      </c>
      <c r="I628" s="32">
        <f t="shared" si="347"/>
        <v>566200</v>
      </c>
      <c r="J628" s="30">
        <f t="shared" si="351"/>
        <v>-1700</v>
      </c>
      <c r="K628" s="144" t="b">
        <f t="shared" si="349"/>
        <v>1</v>
      </c>
    </row>
    <row r="629" spans="1:16">
      <c r="A629" s="34" t="s">
        <v>60</v>
      </c>
      <c r="B629" s="35"/>
      <c r="C629" s="35"/>
      <c r="D629" s="35"/>
      <c r="E629" s="35"/>
      <c r="F629" s="35"/>
      <c r="G629" s="35"/>
      <c r="H629" s="35"/>
      <c r="I629" s="35"/>
      <c r="J629" s="36"/>
      <c r="K629" s="143"/>
    </row>
    <row r="630" spans="1:16">
      <c r="A630" s="122" t="str">
        <f>A628</f>
        <v>SEPTEMBRE</v>
      </c>
      <c r="B630" s="37" t="s">
        <v>61</v>
      </c>
      <c r="C630" s="38">
        <f>+C597</f>
        <v>980042</v>
      </c>
      <c r="D630" s="49"/>
      <c r="E630" s="49">
        <f>D597</f>
        <v>9476115</v>
      </c>
      <c r="F630" s="49"/>
      <c r="G630" s="125"/>
      <c r="H630" s="51">
        <f>+F597</f>
        <v>6926500</v>
      </c>
      <c r="I630" s="126">
        <f>+E597</f>
        <v>2448183</v>
      </c>
      <c r="J630" s="30">
        <f>+SUM(C630:G630)-(H630+I630)</f>
        <v>1081474</v>
      </c>
      <c r="K630" s="144" t="b">
        <f>J630=I597</f>
        <v>1</v>
      </c>
    </row>
    <row r="631" spans="1:16">
      <c r="A631" s="43" t="s">
        <v>62</v>
      </c>
      <c r="B631" s="24"/>
      <c r="C631" s="35"/>
      <c r="D631" s="24"/>
      <c r="E631" s="24"/>
      <c r="F631" s="24"/>
      <c r="G631" s="24"/>
      <c r="H631" s="24"/>
      <c r="I631" s="24"/>
      <c r="J631" s="36"/>
      <c r="K631" s="143"/>
    </row>
    <row r="632" spans="1:16">
      <c r="A632" s="122" t="str">
        <f>+A630</f>
        <v>SEPTEMBRE</v>
      </c>
      <c r="B632" s="37" t="s">
        <v>156</v>
      </c>
      <c r="C632" s="125">
        <f>+C595</f>
        <v>23820820</v>
      </c>
      <c r="D632" s="132">
        <f>+G595</f>
        <v>0</v>
      </c>
      <c r="E632" s="49"/>
      <c r="F632" s="49"/>
      <c r="G632" s="49"/>
      <c r="H632" s="51">
        <f>+F595</f>
        <v>9000000</v>
      </c>
      <c r="I632" s="53">
        <f>+E595</f>
        <v>583345</v>
      </c>
      <c r="J632" s="30">
        <f>+SUM(C632:G632)-(H632+I632)</f>
        <v>14237475</v>
      </c>
      <c r="K632" s="144" t="b">
        <f>+J632=I595</f>
        <v>1</v>
      </c>
    </row>
    <row r="633" spans="1:16">
      <c r="A633" s="122" t="str">
        <f t="shared" ref="A633" si="352">+A632</f>
        <v>SEPTEMBRE</v>
      </c>
      <c r="B633" s="37" t="s">
        <v>64</v>
      </c>
      <c r="C633" s="125">
        <f>+C596</f>
        <v>14424581</v>
      </c>
      <c r="D633" s="49">
        <f>+G596</f>
        <v>0</v>
      </c>
      <c r="E633" s="48"/>
      <c r="F633" s="48"/>
      <c r="G633" s="48"/>
      <c r="H633" s="32">
        <f>+F596</f>
        <v>0</v>
      </c>
      <c r="I633" s="50">
        <f>+E596</f>
        <v>5580520</v>
      </c>
      <c r="J633" s="30">
        <f>SUM(C633:G633)-(H633+I633)</f>
        <v>8844061</v>
      </c>
      <c r="K633" s="144" t="b">
        <f>+J633=I596</f>
        <v>1</v>
      </c>
    </row>
    <row r="634" spans="1:16" ht="15.75">
      <c r="C634" s="141">
        <f>SUM(C619:C633)</f>
        <v>39274294</v>
      </c>
      <c r="I634" s="140">
        <f>SUM(I619:I633)</f>
        <v>13843498</v>
      </c>
      <c r="J634" s="105">
        <f>+SUM(J619:J633)</f>
        <v>25430796</v>
      </c>
      <c r="K634" s="5" t="b">
        <f>J634=I608</f>
        <v>1</v>
      </c>
    </row>
    <row r="635" spans="1:16" ht="15.75">
      <c r="A635" s="160"/>
      <c r="B635" s="160"/>
      <c r="C635" s="161"/>
      <c r="D635" s="160"/>
      <c r="E635" s="160"/>
      <c r="F635" s="160"/>
      <c r="G635" s="160"/>
      <c r="H635" s="160"/>
      <c r="I635" s="162"/>
      <c r="J635" s="163"/>
      <c r="K635" s="160"/>
      <c r="L635" s="164"/>
      <c r="M635" s="164"/>
      <c r="N635" s="164"/>
      <c r="O635" s="164"/>
      <c r="P635" s="160"/>
    </row>
    <row r="636" spans="1:16" ht="15.75">
      <c r="C636" s="141"/>
      <c r="I636" s="140"/>
      <c r="J636" s="105"/>
    </row>
    <row r="637" spans="1:16" ht="15.75">
      <c r="C637" s="141"/>
      <c r="I637" s="140"/>
      <c r="J637" s="105"/>
    </row>
    <row r="638" spans="1:16" ht="15.75">
      <c r="A638" s="6" t="s">
        <v>36</v>
      </c>
      <c r="B638" s="6" t="s">
        <v>1</v>
      </c>
      <c r="C638" s="6">
        <v>44774</v>
      </c>
      <c r="D638" s="7" t="s">
        <v>37</v>
      </c>
      <c r="E638" s="7" t="s">
        <v>38</v>
      </c>
      <c r="F638" s="7" t="s">
        <v>39</v>
      </c>
      <c r="G638" s="7" t="s">
        <v>40</v>
      </c>
      <c r="H638" s="6">
        <v>44804</v>
      </c>
      <c r="I638" s="7" t="s">
        <v>41</v>
      </c>
      <c r="K638" s="45"/>
      <c r="L638" s="45" t="s">
        <v>42</v>
      </c>
      <c r="M638" s="45" t="s">
        <v>43</v>
      </c>
      <c r="N638" s="45" t="s">
        <v>44</v>
      </c>
      <c r="O638" s="45" t="s">
        <v>45</v>
      </c>
    </row>
    <row r="639" spans="1:16" ht="16.5">
      <c r="A639" s="58" t="str">
        <f>K639</f>
        <v>BCI</v>
      </c>
      <c r="B639" s="59" t="s">
        <v>46</v>
      </c>
      <c r="C639" s="61">
        <v>168348</v>
      </c>
      <c r="D639" s="61">
        <f>+L639</f>
        <v>0</v>
      </c>
      <c r="E639" s="61">
        <f>+N639</f>
        <v>286008</v>
      </c>
      <c r="F639" s="61">
        <f>+M639</f>
        <v>1000000</v>
      </c>
      <c r="G639" s="61">
        <f t="shared" ref="G639:G649" si="353">+O639</f>
        <v>24938480</v>
      </c>
      <c r="H639" s="61">
        <v>23820820</v>
      </c>
      <c r="I639" s="61">
        <f>+C639+D639-E639-F639+G639</f>
        <v>23820820</v>
      </c>
      <c r="J639" s="9">
        <f>I639-H639</f>
        <v>0</v>
      </c>
      <c r="K639" s="45" t="s">
        <v>24</v>
      </c>
      <c r="L639" s="47">
        <v>0</v>
      </c>
      <c r="M639" s="47">
        <v>1000000</v>
      </c>
      <c r="N639" s="47">
        <v>286008</v>
      </c>
      <c r="O639" s="47">
        <v>24938480</v>
      </c>
    </row>
    <row r="640" spans="1:16" ht="16.5">
      <c r="A640" s="58" t="str">
        <f t="shared" ref="A640:A651" si="354">K640</f>
        <v>BCI-Sous Compte</v>
      </c>
      <c r="B640" s="59" t="s">
        <v>46</v>
      </c>
      <c r="C640" s="61">
        <v>21477810</v>
      </c>
      <c r="D640" s="61">
        <f t="shared" ref="D640:D651" si="355">+L640</f>
        <v>0</v>
      </c>
      <c r="E640" s="61">
        <f t="shared" ref="E640:E651" si="356">+N640</f>
        <v>4453229</v>
      </c>
      <c r="F640" s="61">
        <f t="shared" ref="F640:F651" si="357">+M640</f>
        <v>2600000</v>
      </c>
      <c r="G640" s="61">
        <f t="shared" si="353"/>
        <v>0</v>
      </c>
      <c r="H640" s="61">
        <v>14424581</v>
      </c>
      <c r="I640" s="61">
        <f>+C640+D640-E640-F640+G640</f>
        <v>14424581</v>
      </c>
      <c r="J640" s="9">
        <f t="shared" ref="J640:J646" si="358">I640-H640</f>
        <v>0</v>
      </c>
      <c r="K640" s="45" t="s">
        <v>148</v>
      </c>
      <c r="L640" s="46">
        <v>0</v>
      </c>
      <c r="M640" s="47">
        <v>2600000</v>
      </c>
      <c r="N640" s="47">
        <v>4453229</v>
      </c>
      <c r="O640" s="47">
        <v>0</v>
      </c>
    </row>
    <row r="641" spans="1:15" ht="16.5">
      <c r="A641" s="58" t="str">
        <f t="shared" si="354"/>
        <v>Caisse</v>
      </c>
      <c r="B641" s="59" t="s">
        <v>25</v>
      </c>
      <c r="C641" s="61">
        <v>103032</v>
      </c>
      <c r="D641" s="61">
        <f t="shared" si="355"/>
        <v>3946550</v>
      </c>
      <c r="E641" s="61">
        <f t="shared" si="356"/>
        <v>994290</v>
      </c>
      <c r="F641" s="61">
        <f t="shared" si="357"/>
        <v>2075250</v>
      </c>
      <c r="G641" s="61">
        <f t="shared" si="353"/>
        <v>0</v>
      </c>
      <c r="H641" s="61">
        <v>980042</v>
      </c>
      <c r="I641" s="61">
        <f>+C641+D641-E641-F641+G641</f>
        <v>980042</v>
      </c>
      <c r="J641" s="102">
        <f t="shared" si="358"/>
        <v>0</v>
      </c>
      <c r="K641" s="45" t="s">
        <v>25</v>
      </c>
      <c r="L641" s="47">
        <v>3946550</v>
      </c>
      <c r="M641" s="47">
        <v>2075250</v>
      </c>
      <c r="N641" s="47">
        <v>994290</v>
      </c>
      <c r="O641" s="47">
        <v>0</v>
      </c>
    </row>
    <row r="642" spans="1:15" ht="16.5">
      <c r="A642" s="58" t="str">
        <f t="shared" si="354"/>
        <v>Crépin</v>
      </c>
      <c r="B642" s="59" t="s">
        <v>154</v>
      </c>
      <c r="C642" s="61">
        <v>-5640</v>
      </c>
      <c r="D642" s="61">
        <f t="shared" si="355"/>
        <v>600250</v>
      </c>
      <c r="E642" s="61">
        <f t="shared" si="356"/>
        <v>421700</v>
      </c>
      <c r="F642" s="61">
        <f t="shared" si="357"/>
        <v>107000</v>
      </c>
      <c r="G642" s="61">
        <f t="shared" si="353"/>
        <v>0</v>
      </c>
      <c r="H642" s="61">
        <v>65910</v>
      </c>
      <c r="I642" s="61">
        <f>+C642+D642-E642-F642+G642</f>
        <v>65910</v>
      </c>
      <c r="J642" s="9">
        <f t="shared" si="358"/>
        <v>0</v>
      </c>
      <c r="K642" s="45" t="s">
        <v>47</v>
      </c>
      <c r="L642" s="47">
        <v>600250</v>
      </c>
      <c r="M642" s="47">
        <v>107000</v>
      </c>
      <c r="N642" s="47">
        <v>421700</v>
      </c>
      <c r="O642" s="47">
        <v>0</v>
      </c>
    </row>
    <row r="643" spans="1:15" ht="16.5">
      <c r="A643" s="58" t="str">
        <f t="shared" si="354"/>
        <v>Evariste</v>
      </c>
      <c r="B643" s="59" t="s">
        <v>155</v>
      </c>
      <c r="C643" s="61">
        <v>4795</v>
      </c>
      <c r="D643" s="61">
        <f t="shared" si="355"/>
        <v>0</v>
      </c>
      <c r="E643" s="61">
        <f t="shared" si="356"/>
        <v>0</v>
      </c>
      <c r="F643" s="61">
        <f t="shared" si="357"/>
        <v>0</v>
      </c>
      <c r="G643" s="61">
        <f t="shared" si="353"/>
        <v>0</v>
      </c>
      <c r="H643" s="61">
        <v>4795</v>
      </c>
      <c r="I643" s="61">
        <f t="shared" ref="I643" si="359">+C643+D643-E643-F643+G643</f>
        <v>4795</v>
      </c>
      <c r="J643" s="9">
        <f t="shared" si="358"/>
        <v>0</v>
      </c>
      <c r="K643" s="45" t="s">
        <v>31</v>
      </c>
      <c r="L643" s="47">
        <v>0</v>
      </c>
      <c r="M643" s="47">
        <v>0</v>
      </c>
      <c r="N643" s="47">
        <v>0</v>
      </c>
      <c r="O643" s="47">
        <v>0</v>
      </c>
    </row>
    <row r="644" spans="1:15" ht="16.5">
      <c r="A644" s="58" t="str">
        <f t="shared" si="354"/>
        <v>I55S</v>
      </c>
      <c r="B644" s="116" t="s">
        <v>4</v>
      </c>
      <c r="C644" s="118">
        <v>233614</v>
      </c>
      <c r="D644" s="118">
        <f t="shared" si="355"/>
        <v>0</v>
      </c>
      <c r="E644" s="118">
        <f t="shared" si="356"/>
        <v>0</v>
      </c>
      <c r="F644" s="118">
        <f t="shared" si="357"/>
        <v>0</v>
      </c>
      <c r="G644" s="118">
        <f t="shared" si="353"/>
        <v>0</v>
      </c>
      <c r="H644" s="118">
        <v>233614</v>
      </c>
      <c r="I644" s="118">
        <f>+C644+D644-E644-F644+G644</f>
        <v>233614</v>
      </c>
      <c r="J644" s="9">
        <f t="shared" si="358"/>
        <v>0</v>
      </c>
      <c r="K644" s="45" t="s">
        <v>84</v>
      </c>
      <c r="L644" s="47">
        <v>0</v>
      </c>
      <c r="M644" s="47">
        <v>0</v>
      </c>
      <c r="N644" s="47">
        <v>0</v>
      </c>
      <c r="O644" s="47">
        <v>0</v>
      </c>
    </row>
    <row r="645" spans="1:15" ht="16.5">
      <c r="A645" s="58" t="str">
        <f t="shared" si="354"/>
        <v>I73X</v>
      </c>
      <c r="B645" s="116" t="s">
        <v>4</v>
      </c>
      <c r="C645" s="118">
        <v>249769</v>
      </c>
      <c r="D645" s="118">
        <f t="shared" si="355"/>
        <v>0</v>
      </c>
      <c r="E645" s="118">
        <f t="shared" si="356"/>
        <v>0</v>
      </c>
      <c r="F645" s="118">
        <f t="shared" si="357"/>
        <v>0</v>
      </c>
      <c r="G645" s="118">
        <f t="shared" si="353"/>
        <v>0</v>
      </c>
      <c r="H645" s="118">
        <v>249769</v>
      </c>
      <c r="I645" s="118">
        <f t="shared" ref="I645:I648" si="360">+C645+D645-E645-F645+G645</f>
        <v>249769</v>
      </c>
      <c r="J645" s="9">
        <f t="shared" si="358"/>
        <v>0</v>
      </c>
      <c r="K645" s="45" t="s">
        <v>83</v>
      </c>
      <c r="L645" s="47">
        <v>0</v>
      </c>
      <c r="M645" s="47">
        <v>0</v>
      </c>
      <c r="N645" s="47">
        <v>0</v>
      </c>
      <c r="O645" s="47">
        <v>0</v>
      </c>
    </row>
    <row r="646" spans="1:15" ht="16.5">
      <c r="A646" s="58" t="str">
        <f t="shared" si="354"/>
        <v>Grace</v>
      </c>
      <c r="B646" s="98" t="s">
        <v>2</v>
      </c>
      <c r="C646" s="61">
        <v>18815</v>
      </c>
      <c r="D646" s="61">
        <f t="shared" si="355"/>
        <v>105000</v>
      </c>
      <c r="E646" s="61">
        <f t="shared" si="356"/>
        <v>7000</v>
      </c>
      <c r="F646" s="61">
        <f t="shared" si="357"/>
        <v>0</v>
      </c>
      <c r="G646" s="61">
        <f t="shared" si="353"/>
        <v>0</v>
      </c>
      <c r="H646" s="61">
        <v>116815</v>
      </c>
      <c r="I646" s="61">
        <f t="shared" si="360"/>
        <v>116815</v>
      </c>
      <c r="J646" s="9">
        <f t="shared" si="358"/>
        <v>0</v>
      </c>
      <c r="K646" s="45" t="s">
        <v>143</v>
      </c>
      <c r="L646" s="47">
        <v>105000</v>
      </c>
      <c r="M646" s="47">
        <v>0</v>
      </c>
      <c r="N646" s="47">
        <v>7000</v>
      </c>
      <c r="O646" s="47">
        <v>0</v>
      </c>
    </row>
    <row r="647" spans="1:15" s="188" customFormat="1" ht="15.75">
      <c r="A647" s="182" t="str">
        <f t="shared" si="354"/>
        <v>Hurielle</v>
      </c>
      <c r="B647" s="183" t="s">
        <v>154</v>
      </c>
      <c r="C647" s="184">
        <v>36500</v>
      </c>
      <c r="D647" s="184">
        <f t="shared" si="355"/>
        <v>266000</v>
      </c>
      <c r="E647" s="184">
        <f t="shared" si="356"/>
        <v>213800</v>
      </c>
      <c r="F647" s="184">
        <f t="shared" si="357"/>
        <v>88000</v>
      </c>
      <c r="G647" s="184">
        <f t="shared" si="353"/>
        <v>0</v>
      </c>
      <c r="H647" s="184">
        <v>700</v>
      </c>
      <c r="I647" s="184">
        <f t="shared" si="360"/>
        <v>700</v>
      </c>
      <c r="J647" s="185">
        <f>I647-H647</f>
        <v>0</v>
      </c>
      <c r="K647" s="186" t="s">
        <v>197</v>
      </c>
      <c r="L647" s="187">
        <v>266000</v>
      </c>
      <c r="M647" s="187">
        <v>88000</v>
      </c>
      <c r="N647" s="187">
        <v>213800</v>
      </c>
      <c r="O647" s="187">
        <v>0</v>
      </c>
    </row>
    <row r="648" spans="1:15" ht="16.5">
      <c r="A648" s="58" t="str">
        <f t="shared" si="354"/>
        <v>I23C</v>
      </c>
      <c r="B648" s="98" t="s">
        <v>4</v>
      </c>
      <c r="C648" s="61">
        <v>79550</v>
      </c>
      <c r="D648" s="61">
        <f t="shared" si="355"/>
        <v>506000</v>
      </c>
      <c r="E648" s="61">
        <f t="shared" si="356"/>
        <v>484000</v>
      </c>
      <c r="F648" s="61">
        <f t="shared" si="357"/>
        <v>101550</v>
      </c>
      <c r="G648" s="61">
        <f t="shared" si="353"/>
        <v>0</v>
      </c>
      <c r="H648" s="61">
        <v>0</v>
      </c>
      <c r="I648" s="61">
        <f t="shared" si="360"/>
        <v>0</v>
      </c>
      <c r="J648" s="9">
        <f t="shared" ref="J648:J649" si="361">I648-H648</f>
        <v>0</v>
      </c>
      <c r="K648" s="45" t="s">
        <v>30</v>
      </c>
      <c r="L648" s="47">
        <v>506000</v>
      </c>
      <c r="M648" s="47">
        <v>101550</v>
      </c>
      <c r="N648" s="47">
        <v>484000</v>
      </c>
      <c r="O648" s="47">
        <v>0</v>
      </c>
    </row>
    <row r="649" spans="1:15" ht="16.5">
      <c r="A649" s="58" t="str">
        <f t="shared" si="354"/>
        <v>Merveille</v>
      </c>
      <c r="B649" s="59" t="s">
        <v>2</v>
      </c>
      <c r="C649" s="61">
        <v>5900</v>
      </c>
      <c r="D649" s="61">
        <f t="shared" si="355"/>
        <v>20000</v>
      </c>
      <c r="E649" s="61">
        <f t="shared" si="356"/>
        <v>19000</v>
      </c>
      <c r="F649" s="61">
        <f t="shared" si="357"/>
        <v>0</v>
      </c>
      <c r="G649" s="61">
        <f t="shared" si="353"/>
        <v>0</v>
      </c>
      <c r="H649" s="61">
        <v>6900</v>
      </c>
      <c r="I649" s="61">
        <f>+C649+D649-E649-F649+G649</f>
        <v>6900</v>
      </c>
      <c r="J649" s="9">
        <f t="shared" si="361"/>
        <v>0</v>
      </c>
      <c r="K649" s="45" t="s">
        <v>93</v>
      </c>
      <c r="L649" s="47">
        <v>20000</v>
      </c>
      <c r="M649" s="47">
        <v>0</v>
      </c>
      <c r="N649" s="47">
        <v>19000</v>
      </c>
      <c r="O649" s="47">
        <v>0</v>
      </c>
    </row>
    <row r="650" spans="1:15" ht="16.5">
      <c r="A650" s="58" t="str">
        <f t="shared" si="354"/>
        <v>P29</v>
      </c>
      <c r="B650" s="59" t="s">
        <v>4</v>
      </c>
      <c r="C650" s="61">
        <v>29850</v>
      </c>
      <c r="D650" s="61">
        <f t="shared" si="355"/>
        <v>578000</v>
      </c>
      <c r="E650" s="61">
        <f t="shared" si="356"/>
        <v>533800</v>
      </c>
      <c r="F650" s="61">
        <f t="shared" si="357"/>
        <v>50000</v>
      </c>
      <c r="G650" s="61">
        <f>+O650</f>
        <v>0</v>
      </c>
      <c r="H650" s="61">
        <v>24050</v>
      </c>
      <c r="I650" s="61">
        <f>+C650+D650-E650-F650+G650</f>
        <v>24050</v>
      </c>
      <c r="J650" s="9">
        <f>I650-H650</f>
        <v>0</v>
      </c>
      <c r="K650" s="45" t="s">
        <v>29</v>
      </c>
      <c r="L650" s="47">
        <v>578000</v>
      </c>
      <c r="M650" s="47">
        <v>50000</v>
      </c>
      <c r="N650" s="47">
        <v>533800</v>
      </c>
      <c r="O650" s="47">
        <v>0</v>
      </c>
    </row>
    <row r="651" spans="1:15" ht="16.5">
      <c r="A651" s="58" t="str">
        <f t="shared" si="354"/>
        <v>Tiffany</v>
      </c>
      <c r="B651" s="59" t="s">
        <v>2</v>
      </c>
      <c r="C651" s="61">
        <v>1123541</v>
      </c>
      <c r="D651" s="61">
        <f t="shared" si="355"/>
        <v>0</v>
      </c>
      <c r="E651" s="61">
        <f t="shared" si="356"/>
        <v>1777243</v>
      </c>
      <c r="F651" s="61">
        <f t="shared" si="357"/>
        <v>0</v>
      </c>
      <c r="G651" s="61">
        <f t="shared" ref="G651" si="362">+O651</f>
        <v>0</v>
      </c>
      <c r="H651" s="61">
        <v>-653702</v>
      </c>
      <c r="I651" s="61">
        <f t="shared" ref="I651" si="363">+C651+D651-E651-F651+G651</f>
        <v>-653702</v>
      </c>
      <c r="J651" s="9">
        <f t="shared" ref="J651" si="364">I651-H651</f>
        <v>0</v>
      </c>
      <c r="K651" s="45" t="s">
        <v>113</v>
      </c>
      <c r="L651" s="47">
        <v>0</v>
      </c>
      <c r="M651" s="47">
        <v>0</v>
      </c>
      <c r="N651" s="47">
        <v>1777243</v>
      </c>
      <c r="O651" s="47">
        <v>0</v>
      </c>
    </row>
    <row r="652" spans="1:15" ht="16.5">
      <c r="A652" s="10" t="s">
        <v>50</v>
      </c>
      <c r="B652" s="11"/>
      <c r="C652" s="12">
        <f t="shared" ref="C652:I652" si="365">SUM(C639:C651)</f>
        <v>23525884</v>
      </c>
      <c r="D652" s="57">
        <f t="shared" si="365"/>
        <v>6021800</v>
      </c>
      <c r="E652" s="57">
        <f t="shared" si="365"/>
        <v>9190070</v>
      </c>
      <c r="F652" s="57">
        <f t="shared" si="365"/>
        <v>6021800</v>
      </c>
      <c r="G652" s="57">
        <f t="shared" si="365"/>
        <v>24938480</v>
      </c>
      <c r="H652" s="57">
        <f t="shared" si="365"/>
        <v>39274294</v>
      </c>
      <c r="I652" s="57">
        <f t="shared" si="365"/>
        <v>39274294</v>
      </c>
      <c r="J652" s="9">
        <f>I652-H652</f>
        <v>0</v>
      </c>
      <c r="K652" s="3"/>
      <c r="L652" s="47">
        <f>+SUM(L639:L651)</f>
        <v>6021800</v>
      </c>
      <c r="M652" s="47">
        <f>+SUM(M639:M651)</f>
        <v>6021800</v>
      </c>
      <c r="N652" s="47">
        <f>+SUM(N639:N651)</f>
        <v>9190070</v>
      </c>
      <c r="O652" s="47">
        <f>+SUM(O639:O651)</f>
        <v>24938480</v>
      </c>
    </row>
    <row r="653" spans="1:15" ht="16.5">
      <c r="A653" s="10"/>
      <c r="B653" s="11"/>
      <c r="C653" s="12"/>
      <c r="D653" s="13"/>
      <c r="E653" s="12"/>
      <c r="F653" s="13"/>
      <c r="G653" s="12"/>
      <c r="H653" s="12"/>
      <c r="I653" s="134" t="b">
        <f>I652=D655</f>
        <v>1</v>
      </c>
      <c r="L653" s="5"/>
      <c r="M653" s="5"/>
      <c r="N653" s="5"/>
      <c r="O653" s="5"/>
    </row>
    <row r="654" spans="1:15" ht="16.5">
      <c r="A654" s="10" t="s">
        <v>230</v>
      </c>
      <c r="B654" s="11" t="s">
        <v>231</v>
      </c>
      <c r="C654" s="12" t="s">
        <v>232</v>
      </c>
      <c r="D654" s="12" t="s">
        <v>233</v>
      </c>
      <c r="E654" s="12" t="s">
        <v>51</v>
      </c>
      <c r="F654" s="12"/>
      <c r="G654" s="12">
        <f>+D652-F652</f>
        <v>0</v>
      </c>
      <c r="H654" s="12"/>
      <c r="I654" s="12"/>
    </row>
    <row r="655" spans="1:15" ht="16.5">
      <c r="A655" s="14">
        <f>C652</f>
        <v>23525884</v>
      </c>
      <c r="B655" s="15">
        <f>G652</f>
        <v>24938480</v>
      </c>
      <c r="C655" s="12">
        <f>E652</f>
        <v>9190070</v>
      </c>
      <c r="D655" s="12">
        <f>A655+B655-C655</f>
        <v>39274294</v>
      </c>
      <c r="E655" s="13">
        <f>I652-D655</f>
        <v>0</v>
      </c>
      <c r="F655" s="12"/>
      <c r="G655" s="12"/>
      <c r="H655" s="12"/>
      <c r="I655" s="12"/>
    </row>
    <row r="656" spans="1:15" ht="16.5">
      <c r="A656" s="14"/>
      <c r="B656" s="15"/>
      <c r="C656" s="12"/>
      <c r="D656" s="12"/>
      <c r="E656" s="13"/>
      <c r="F656" s="12"/>
      <c r="G656" s="12"/>
      <c r="H656" s="12"/>
      <c r="I656" s="12"/>
    </row>
    <row r="657" spans="1:11">
      <c r="A657" s="16" t="s">
        <v>52</v>
      </c>
      <c r="B657" s="16"/>
      <c r="C657" s="16"/>
      <c r="D657" s="17"/>
      <c r="E657" s="17"/>
      <c r="F657" s="17"/>
      <c r="G657" s="17"/>
      <c r="H657" s="17"/>
      <c r="I657" s="17"/>
    </row>
    <row r="658" spans="1:11">
      <c r="A658" s="18" t="s">
        <v>235</v>
      </c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1">
      <c r="A659" s="19"/>
      <c r="B659" s="17"/>
      <c r="C659" s="20"/>
      <c r="D659" s="20"/>
      <c r="E659" s="20"/>
      <c r="F659" s="20"/>
      <c r="G659" s="20"/>
      <c r="H659" s="17"/>
      <c r="I659" s="17"/>
    </row>
    <row r="660" spans="1:11">
      <c r="A660" s="169" t="s">
        <v>53</v>
      </c>
      <c r="B660" s="171" t="s">
        <v>54</v>
      </c>
      <c r="C660" s="173" t="s">
        <v>236</v>
      </c>
      <c r="D660" s="174" t="s">
        <v>55</v>
      </c>
      <c r="E660" s="175"/>
      <c r="F660" s="175"/>
      <c r="G660" s="176"/>
      <c r="H660" s="177" t="s">
        <v>56</v>
      </c>
      <c r="I660" s="165" t="s">
        <v>57</v>
      </c>
      <c r="J660" s="17"/>
    </row>
    <row r="661" spans="1:11" ht="28.5" customHeight="1">
      <c r="A661" s="170"/>
      <c r="B661" s="172"/>
      <c r="C661" s="22"/>
      <c r="D661" s="21" t="s">
        <v>24</v>
      </c>
      <c r="E661" s="21" t="s">
        <v>25</v>
      </c>
      <c r="F661" s="22" t="s">
        <v>123</v>
      </c>
      <c r="G661" s="21" t="s">
        <v>58</v>
      </c>
      <c r="H661" s="178"/>
      <c r="I661" s="166"/>
      <c r="J661" s="167" t="s">
        <v>237</v>
      </c>
      <c r="K661" s="143"/>
    </row>
    <row r="662" spans="1:11">
      <c r="A662" s="23"/>
      <c r="B662" s="24" t="s">
        <v>59</v>
      </c>
      <c r="C662" s="25"/>
      <c r="D662" s="25"/>
      <c r="E662" s="25"/>
      <c r="F662" s="25"/>
      <c r="G662" s="25"/>
      <c r="H662" s="25"/>
      <c r="I662" s="26"/>
      <c r="J662" s="168"/>
      <c r="K662" s="143"/>
    </row>
    <row r="663" spans="1:11">
      <c r="A663" s="122" t="s">
        <v>139</v>
      </c>
      <c r="B663" s="127" t="s">
        <v>47</v>
      </c>
      <c r="C663" s="32">
        <f t="shared" ref="C663:C672" si="366">+C642</f>
        <v>-5640</v>
      </c>
      <c r="D663" s="31"/>
      <c r="E663" s="32">
        <f t="shared" ref="E663:E672" si="367">+D642</f>
        <v>600250</v>
      </c>
      <c r="F663" s="32"/>
      <c r="G663" s="32"/>
      <c r="H663" s="55">
        <f t="shared" ref="H663:H672" si="368">+F642</f>
        <v>107000</v>
      </c>
      <c r="I663" s="32">
        <f t="shared" ref="I663:I672" si="369">+E642</f>
        <v>421700</v>
      </c>
      <c r="J663" s="30">
        <f t="shared" ref="J663:J664" si="370">+SUM(C663:G663)-(H663+I663)</f>
        <v>65910</v>
      </c>
      <c r="K663" s="144" t="b">
        <f t="shared" ref="K663:K672" si="371">J663=I642</f>
        <v>1</v>
      </c>
    </row>
    <row r="664" spans="1:11">
      <c r="A664" s="122" t="str">
        <f>+A663</f>
        <v>AOUT</v>
      </c>
      <c r="B664" s="127" t="s">
        <v>31</v>
      </c>
      <c r="C664" s="32">
        <f t="shared" si="366"/>
        <v>4795</v>
      </c>
      <c r="D664" s="31"/>
      <c r="E664" s="32">
        <f t="shared" si="367"/>
        <v>0</v>
      </c>
      <c r="F664" s="32"/>
      <c r="G664" s="32"/>
      <c r="H664" s="55">
        <f t="shared" si="368"/>
        <v>0</v>
      </c>
      <c r="I664" s="32">
        <f t="shared" si="369"/>
        <v>0</v>
      </c>
      <c r="J664" s="101">
        <f t="shared" si="370"/>
        <v>4795</v>
      </c>
      <c r="K664" s="144" t="b">
        <f t="shared" si="371"/>
        <v>1</v>
      </c>
    </row>
    <row r="665" spans="1:11">
      <c r="A665" s="122" t="str">
        <f t="shared" ref="A665:A669" si="372">+A664</f>
        <v>AOUT</v>
      </c>
      <c r="B665" s="129" t="s">
        <v>84</v>
      </c>
      <c r="C665" s="120">
        <f t="shared" si="366"/>
        <v>233614</v>
      </c>
      <c r="D665" s="123"/>
      <c r="E665" s="120">
        <f t="shared" si="367"/>
        <v>0</v>
      </c>
      <c r="F665" s="137"/>
      <c r="G665" s="137"/>
      <c r="H665" s="155">
        <f t="shared" si="368"/>
        <v>0</v>
      </c>
      <c r="I665" s="120">
        <f t="shared" si="369"/>
        <v>0</v>
      </c>
      <c r="J665" s="121">
        <f>+SUM(C665:G665)-(H665+I665)</f>
        <v>233614</v>
      </c>
      <c r="K665" s="144" t="b">
        <f t="shared" si="371"/>
        <v>1</v>
      </c>
    </row>
    <row r="666" spans="1:11">
      <c r="A666" s="122" t="str">
        <f t="shared" si="372"/>
        <v>AOUT</v>
      </c>
      <c r="B666" s="129" t="s">
        <v>83</v>
      </c>
      <c r="C666" s="120">
        <f t="shared" si="366"/>
        <v>249769</v>
      </c>
      <c r="D666" s="123"/>
      <c r="E666" s="120">
        <f t="shared" si="367"/>
        <v>0</v>
      </c>
      <c r="F666" s="137"/>
      <c r="G666" s="137"/>
      <c r="H666" s="155">
        <f t="shared" si="368"/>
        <v>0</v>
      </c>
      <c r="I666" s="120">
        <f t="shared" si="369"/>
        <v>0</v>
      </c>
      <c r="J666" s="121">
        <f t="shared" ref="J666:J672" si="373">+SUM(C666:G666)-(H666+I666)</f>
        <v>249769</v>
      </c>
      <c r="K666" s="144" t="b">
        <f t="shared" si="371"/>
        <v>1</v>
      </c>
    </row>
    <row r="667" spans="1:11">
      <c r="A667" s="122" t="str">
        <f t="shared" si="372"/>
        <v>AOUT</v>
      </c>
      <c r="B667" s="127" t="s">
        <v>143</v>
      </c>
      <c r="C667" s="32">
        <f t="shared" si="366"/>
        <v>18815</v>
      </c>
      <c r="D667" s="31"/>
      <c r="E667" s="32">
        <f t="shared" si="367"/>
        <v>105000</v>
      </c>
      <c r="F667" s="32"/>
      <c r="G667" s="104"/>
      <c r="H667" s="55">
        <f t="shared" si="368"/>
        <v>0</v>
      </c>
      <c r="I667" s="32">
        <f t="shared" si="369"/>
        <v>7000</v>
      </c>
      <c r="J667" s="30">
        <f t="shared" si="373"/>
        <v>116815</v>
      </c>
      <c r="K667" s="144" t="b">
        <f t="shared" si="371"/>
        <v>1</v>
      </c>
    </row>
    <row r="668" spans="1:11">
      <c r="A668" s="122" t="str">
        <f t="shared" si="372"/>
        <v>AOUT</v>
      </c>
      <c r="B668" s="127" t="s">
        <v>197</v>
      </c>
      <c r="C668" s="32">
        <f t="shared" si="366"/>
        <v>36500</v>
      </c>
      <c r="D668" s="31"/>
      <c r="E668" s="32">
        <f t="shared" si="367"/>
        <v>266000</v>
      </c>
      <c r="F668" s="32"/>
      <c r="G668" s="104"/>
      <c r="H668" s="55">
        <f t="shared" si="368"/>
        <v>88000</v>
      </c>
      <c r="I668" s="32">
        <f t="shared" si="369"/>
        <v>213800</v>
      </c>
      <c r="J668" s="30">
        <f t="shared" si="373"/>
        <v>700</v>
      </c>
      <c r="K668" s="144" t="b">
        <f t="shared" si="371"/>
        <v>1</v>
      </c>
    </row>
    <row r="669" spans="1:11">
      <c r="A669" s="122" t="str">
        <f t="shared" si="372"/>
        <v>AOUT</v>
      </c>
      <c r="B669" s="127" t="s">
        <v>30</v>
      </c>
      <c r="C669" s="32">
        <f t="shared" si="366"/>
        <v>79550</v>
      </c>
      <c r="D669" s="31"/>
      <c r="E669" s="32">
        <f t="shared" si="367"/>
        <v>506000</v>
      </c>
      <c r="F669" s="32"/>
      <c r="G669" s="104"/>
      <c r="H669" s="55">
        <f t="shared" si="368"/>
        <v>101550</v>
      </c>
      <c r="I669" s="32">
        <f t="shared" si="369"/>
        <v>484000</v>
      </c>
      <c r="J669" s="30">
        <f t="shared" si="373"/>
        <v>0</v>
      </c>
      <c r="K669" s="144" t="b">
        <f t="shared" si="371"/>
        <v>1</v>
      </c>
    </row>
    <row r="670" spans="1:11">
      <c r="A670" s="122" t="str">
        <f>+A668</f>
        <v>AOUT</v>
      </c>
      <c r="B670" s="127" t="s">
        <v>93</v>
      </c>
      <c r="C670" s="32">
        <f t="shared" si="366"/>
        <v>5900</v>
      </c>
      <c r="D670" s="31"/>
      <c r="E670" s="32">
        <f t="shared" si="367"/>
        <v>20000</v>
      </c>
      <c r="F670" s="32"/>
      <c r="G670" s="104"/>
      <c r="H670" s="55">
        <f t="shared" si="368"/>
        <v>0</v>
      </c>
      <c r="I670" s="32">
        <f t="shared" si="369"/>
        <v>19000</v>
      </c>
      <c r="J670" s="30">
        <f t="shared" si="373"/>
        <v>6900</v>
      </c>
      <c r="K670" s="144" t="b">
        <f t="shared" si="371"/>
        <v>1</v>
      </c>
    </row>
    <row r="671" spans="1:11">
      <c r="A671" s="122" t="str">
        <f>+A669</f>
        <v>AOUT</v>
      </c>
      <c r="B671" s="127" t="s">
        <v>29</v>
      </c>
      <c r="C671" s="32">
        <f t="shared" si="366"/>
        <v>29850</v>
      </c>
      <c r="D671" s="31"/>
      <c r="E671" s="32">
        <f t="shared" si="367"/>
        <v>578000</v>
      </c>
      <c r="F671" s="32"/>
      <c r="G671" s="104"/>
      <c r="H671" s="55">
        <f t="shared" si="368"/>
        <v>50000</v>
      </c>
      <c r="I671" s="32">
        <f t="shared" si="369"/>
        <v>533800</v>
      </c>
      <c r="J671" s="30">
        <f t="shared" si="373"/>
        <v>24050</v>
      </c>
      <c r="K671" s="144" t="b">
        <f t="shared" si="371"/>
        <v>1</v>
      </c>
    </row>
    <row r="672" spans="1:11">
      <c r="A672" s="122" t="str">
        <f>+A670</f>
        <v>AOUT</v>
      </c>
      <c r="B672" s="128" t="s">
        <v>113</v>
      </c>
      <c r="C672" s="32">
        <f t="shared" si="366"/>
        <v>1123541</v>
      </c>
      <c r="D672" s="119"/>
      <c r="E672" s="32">
        <f t="shared" si="367"/>
        <v>0</v>
      </c>
      <c r="F672" s="51"/>
      <c r="G672" s="138"/>
      <c r="H672" s="55">
        <f t="shared" si="368"/>
        <v>0</v>
      </c>
      <c r="I672" s="32">
        <f t="shared" si="369"/>
        <v>1777243</v>
      </c>
      <c r="J672" s="30">
        <f t="shared" si="373"/>
        <v>-653702</v>
      </c>
      <c r="K672" s="144" t="b">
        <f t="shared" si="371"/>
        <v>1</v>
      </c>
    </row>
    <row r="673" spans="1:16">
      <c r="A673" s="34" t="s">
        <v>60</v>
      </c>
      <c r="B673" s="35"/>
      <c r="C673" s="35"/>
      <c r="D673" s="35"/>
      <c r="E673" s="35"/>
      <c r="F673" s="35"/>
      <c r="G673" s="35"/>
      <c r="H673" s="35"/>
      <c r="I673" s="35"/>
      <c r="J673" s="36"/>
      <c r="K673" s="143"/>
    </row>
    <row r="674" spans="1:16">
      <c r="A674" s="122" t="str">
        <f>A672</f>
        <v>AOUT</v>
      </c>
      <c r="B674" s="37" t="s">
        <v>61</v>
      </c>
      <c r="C674" s="38">
        <f>+C641</f>
        <v>103032</v>
      </c>
      <c r="D674" s="49"/>
      <c r="E674" s="49">
        <f>D641</f>
        <v>3946550</v>
      </c>
      <c r="F674" s="49"/>
      <c r="G674" s="125"/>
      <c r="H674" s="51">
        <f>+F641</f>
        <v>2075250</v>
      </c>
      <c r="I674" s="126">
        <f>+E641</f>
        <v>994290</v>
      </c>
      <c r="J674" s="30">
        <f>+SUM(C674:G674)-(H674+I674)</f>
        <v>980042</v>
      </c>
      <c r="K674" s="144" t="b">
        <f>J674=I641</f>
        <v>1</v>
      </c>
    </row>
    <row r="675" spans="1:16">
      <c r="A675" s="43" t="s">
        <v>62</v>
      </c>
      <c r="B675" s="24"/>
      <c r="C675" s="35"/>
      <c r="D675" s="24"/>
      <c r="E675" s="24"/>
      <c r="F675" s="24"/>
      <c r="G675" s="24"/>
      <c r="H675" s="24"/>
      <c r="I675" s="24"/>
      <c r="J675" s="36"/>
      <c r="K675" s="143"/>
    </row>
    <row r="676" spans="1:16">
      <c r="A676" s="122" t="str">
        <f>+A674</f>
        <v>AOUT</v>
      </c>
      <c r="B676" s="37" t="s">
        <v>156</v>
      </c>
      <c r="C676" s="125">
        <f>+C639</f>
        <v>168348</v>
      </c>
      <c r="D676" s="132">
        <f>+G639</f>
        <v>24938480</v>
      </c>
      <c r="E676" s="49"/>
      <c r="F676" s="49"/>
      <c r="G676" s="49"/>
      <c r="H676" s="51">
        <f>+F639</f>
        <v>1000000</v>
      </c>
      <c r="I676" s="53">
        <f>+E639</f>
        <v>286008</v>
      </c>
      <c r="J676" s="30">
        <f>+SUM(C676:G676)-(H676+I676)</f>
        <v>23820820</v>
      </c>
      <c r="K676" s="144" t="b">
        <f>+J676=I639</f>
        <v>1</v>
      </c>
    </row>
    <row r="677" spans="1:16">
      <c r="A677" s="122" t="str">
        <f t="shared" ref="A677" si="374">+A676</f>
        <v>AOUT</v>
      </c>
      <c r="B677" s="37" t="s">
        <v>64</v>
      </c>
      <c r="C677" s="125">
        <f>+C640</f>
        <v>21477810</v>
      </c>
      <c r="D677" s="49">
        <f>+G640</f>
        <v>0</v>
      </c>
      <c r="E677" s="48"/>
      <c r="F677" s="48"/>
      <c r="G677" s="48"/>
      <c r="H677" s="32">
        <f>+F640</f>
        <v>2600000</v>
      </c>
      <c r="I677" s="50">
        <f>+E640</f>
        <v>4453229</v>
      </c>
      <c r="J677" s="30">
        <f>SUM(C677:G677)-(H677+I677)</f>
        <v>14424581</v>
      </c>
      <c r="K677" s="144" t="b">
        <f>+J677=I640</f>
        <v>1</v>
      </c>
    </row>
    <row r="678" spans="1:16" ht="15.75">
      <c r="C678" s="141">
        <f>SUM(C663:C677)</f>
        <v>23525884</v>
      </c>
      <c r="I678" s="140">
        <f>SUM(I663:I677)</f>
        <v>9190070</v>
      </c>
      <c r="J678" s="105">
        <f>+SUM(J663:J677)</f>
        <v>39274294</v>
      </c>
      <c r="K678" s="5" t="b">
        <f>J678=I652</f>
        <v>1</v>
      </c>
    </row>
    <row r="679" spans="1:16" ht="15.75">
      <c r="A679" s="160"/>
      <c r="B679" s="160"/>
      <c r="C679" s="161"/>
      <c r="D679" s="160"/>
      <c r="E679" s="160"/>
      <c r="F679" s="160"/>
      <c r="G679" s="160"/>
      <c r="H679" s="160"/>
      <c r="I679" s="162"/>
      <c r="J679" s="163"/>
      <c r="K679" s="160"/>
      <c r="L679" s="164"/>
      <c r="M679" s="164"/>
      <c r="N679" s="164"/>
      <c r="O679" s="164"/>
      <c r="P679" s="160"/>
    </row>
    <row r="681" spans="1:16" ht="15.75">
      <c r="A681" s="6" t="s">
        <v>36</v>
      </c>
      <c r="B681" s="6" t="s">
        <v>1</v>
      </c>
      <c r="C681" s="6">
        <v>44743</v>
      </c>
      <c r="D681" s="7" t="s">
        <v>37</v>
      </c>
      <c r="E681" s="7" t="s">
        <v>38</v>
      </c>
      <c r="F681" s="7" t="s">
        <v>39</v>
      </c>
      <c r="G681" s="7" t="s">
        <v>40</v>
      </c>
      <c r="H681" s="6">
        <v>44773</v>
      </c>
      <c r="I681" s="7" t="s">
        <v>41</v>
      </c>
      <c r="K681" s="45"/>
      <c r="L681" s="45" t="s">
        <v>42</v>
      </c>
      <c r="M681" s="45" t="s">
        <v>43</v>
      </c>
      <c r="N681" s="45" t="s">
        <v>44</v>
      </c>
      <c r="O681" s="45" t="s">
        <v>45</v>
      </c>
    </row>
    <row r="682" spans="1:16" ht="16.5">
      <c r="A682" s="58" t="str">
        <f>K682</f>
        <v>BCI</v>
      </c>
      <c r="B682" s="59" t="s">
        <v>46</v>
      </c>
      <c r="C682" s="61">
        <v>4291693</v>
      </c>
      <c r="D682" s="61">
        <f>+L682</f>
        <v>0</v>
      </c>
      <c r="E682" s="61">
        <f>+N682</f>
        <v>23345</v>
      </c>
      <c r="F682" s="61">
        <f>+M682</f>
        <v>4100000</v>
      </c>
      <c r="G682" s="61">
        <f t="shared" ref="G682:G692" si="375">+O682</f>
        <v>0</v>
      </c>
      <c r="H682" s="61">
        <v>168348</v>
      </c>
      <c r="I682" s="61">
        <f>+C682+D682-E682-F682+G682</f>
        <v>168348</v>
      </c>
      <c r="J682" s="9">
        <f>I682-H682</f>
        <v>0</v>
      </c>
      <c r="K682" s="45" t="s">
        <v>24</v>
      </c>
      <c r="L682" s="47">
        <v>0</v>
      </c>
      <c r="M682" s="47">
        <v>4100000</v>
      </c>
      <c r="N682" s="47">
        <v>23345</v>
      </c>
      <c r="O682" s="47">
        <v>0</v>
      </c>
    </row>
    <row r="683" spans="1:16" ht="16.5">
      <c r="A683" s="58" t="str">
        <f t="shared" ref="A683:A695" si="376">K683</f>
        <v>BCI-Sous Compte</v>
      </c>
      <c r="B683" s="59" t="s">
        <v>46</v>
      </c>
      <c r="C683" s="61">
        <v>4852627</v>
      </c>
      <c r="D683" s="61">
        <f t="shared" ref="D683:D686" si="377">+L683</f>
        <v>0</v>
      </c>
      <c r="E683" s="61">
        <f t="shared" ref="E683:E695" si="378">+N683</f>
        <v>3777704</v>
      </c>
      <c r="F683" s="61">
        <f t="shared" ref="F683:F695" si="379">+M683</f>
        <v>0</v>
      </c>
      <c r="G683" s="61">
        <f t="shared" si="375"/>
        <v>20402887</v>
      </c>
      <c r="H683" s="61">
        <v>21477810</v>
      </c>
      <c r="I683" s="61">
        <f>+C683+D683-E683-F683+G683</f>
        <v>21477810</v>
      </c>
      <c r="J683" s="9">
        <f t="shared" ref="J683:J689" si="380">I683-H683</f>
        <v>0</v>
      </c>
      <c r="K683" s="45" t="s">
        <v>148</v>
      </c>
      <c r="L683" s="46">
        <v>0</v>
      </c>
      <c r="M683" s="47">
        <v>0</v>
      </c>
      <c r="N683" s="47">
        <v>3777704</v>
      </c>
      <c r="O683" s="47">
        <v>20402887</v>
      </c>
    </row>
    <row r="684" spans="1:16" ht="16.5">
      <c r="A684" s="58" t="str">
        <f t="shared" si="376"/>
        <v>Caisse</v>
      </c>
      <c r="B684" s="59" t="s">
        <v>25</v>
      </c>
      <c r="C684" s="61">
        <v>1696326</v>
      </c>
      <c r="D684" s="61">
        <f t="shared" si="377"/>
        <v>4430000</v>
      </c>
      <c r="E684" s="61">
        <f t="shared" si="378"/>
        <v>1453294</v>
      </c>
      <c r="F684" s="61">
        <f t="shared" si="379"/>
        <v>4570000</v>
      </c>
      <c r="G684" s="61">
        <f t="shared" si="375"/>
        <v>0</v>
      </c>
      <c r="H684" s="61">
        <v>103032</v>
      </c>
      <c r="I684" s="61">
        <f>+C684+D684-E684-F684+G684</f>
        <v>103032</v>
      </c>
      <c r="J684" s="102">
        <f t="shared" si="380"/>
        <v>0</v>
      </c>
      <c r="K684" s="45" t="s">
        <v>25</v>
      </c>
      <c r="L684" s="47">
        <v>4430000</v>
      </c>
      <c r="M684" s="47">
        <v>4570000</v>
      </c>
      <c r="N684" s="47">
        <v>1453294</v>
      </c>
      <c r="O684" s="47">
        <v>0</v>
      </c>
    </row>
    <row r="685" spans="1:16" ht="16.5">
      <c r="A685" s="58" t="str">
        <f t="shared" si="376"/>
        <v>Crépin</v>
      </c>
      <c r="B685" s="59" t="s">
        <v>154</v>
      </c>
      <c r="C685" s="61">
        <v>9800</v>
      </c>
      <c r="D685" s="61">
        <f t="shared" si="377"/>
        <v>1043000</v>
      </c>
      <c r="E685" s="61">
        <f t="shared" si="378"/>
        <v>975940</v>
      </c>
      <c r="F685" s="61">
        <f t="shared" si="379"/>
        <v>82500</v>
      </c>
      <c r="G685" s="61">
        <f t="shared" si="375"/>
        <v>0</v>
      </c>
      <c r="H685" s="61">
        <v>-5640</v>
      </c>
      <c r="I685" s="61">
        <f>+C685+D685-E685-F685+G685</f>
        <v>-5640</v>
      </c>
      <c r="J685" s="9">
        <f t="shared" si="380"/>
        <v>0</v>
      </c>
      <c r="K685" s="45" t="s">
        <v>47</v>
      </c>
      <c r="L685" s="47">
        <v>1043000</v>
      </c>
      <c r="M685" s="47">
        <v>82500</v>
      </c>
      <c r="N685" s="47">
        <v>975940</v>
      </c>
      <c r="O685" s="47">
        <v>0</v>
      </c>
    </row>
    <row r="686" spans="1:16" ht="16.5">
      <c r="A686" s="58" t="str">
        <f t="shared" si="376"/>
        <v>Evariste</v>
      </c>
      <c r="B686" s="59" t="s">
        <v>155</v>
      </c>
      <c r="C686" s="61">
        <v>2295</v>
      </c>
      <c r="D686" s="61">
        <f t="shared" si="377"/>
        <v>242500</v>
      </c>
      <c r="E686" s="61">
        <f t="shared" si="378"/>
        <v>240000</v>
      </c>
      <c r="F686" s="61">
        <f t="shared" si="379"/>
        <v>0</v>
      </c>
      <c r="G686" s="61">
        <f t="shared" si="375"/>
        <v>0</v>
      </c>
      <c r="H686" s="61">
        <v>4795</v>
      </c>
      <c r="I686" s="61">
        <f t="shared" ref="I686" si="381">+C686+D686-E686-F686+G686</f>
        <v>4795</v>
      </c>
      <c r="J686" s="9">
        <f t="shared" si="380"/>
        <v>0</v>
      </c>
      <c r="K686" s="45" t="s">
        <v>31</v>
      </c>
      <c r="L686" s="47">
        <v>242500</v>
      </c>
      <c r="M686" s="47">
        <v>0</v>
      </c>
      <c r="N686" s="47">
        <v>240000</v>
      </c>
      <c r="O686" s="47">
        <v>0</v>
      </c>
    </row>
    <row r="687" spans="1:16" ht="16.5">
      <c r="A687" s="58" t="str">
        <f t="shared" si="376"/>
        <v>I55S</v>
      </c>
      <c r="B687" s="116" t="s">
        <v>4</v>
      </c>
      <c r="C687" s="118">
        <v>233614</v>
      </c>
      <c r="D687" s="118">
        <f t="shared" ref="D687:D695" si="382">+L687</f>
        <v>0</v>
      </c>
      <c r="E687" s="118">
        <f t="shared" si="378"/>
        <v>0</v>
      </c>
      <c r="F687" s="118">
        <f t="shared" si="379"/>
        <v>0</v>
      </c>
      <c r="G687" s="118">
        <f t="shared" si="375"/>
        <v>0</v>
      </c>
      <c r="H687" s="118">
        <v>233614</v>
      </c>
      <c r="I687" s="118">
        <f>+C687+D687-E687-F687+G687</f>
        <v>233614</v>
      </c>
      <c r="J687" s="9">
        <f t="shared" si="380"/>
        <v>0</v>
      </c>
      <c r="K687" s="45" t="s">
        <v>84</v>
      </c>
      <c r="L687" s="47">
        <v>0</v>
      </c>
      <c r="M687" s="47">
        <v>0</v>
      </c>
      <c r="N687" s="47">
        <v>0</v>
      </c>
      <c r="O687" s="47">
        <v>0</v>
      </c>
    </row>
    <row r="688" spans="1:16" ht="16.5">
      <c r="A688" s="58" t="str">
        <f t="shared" si="376"/>
        <v>I73X</v>
      </c>
      <c r="B688" s="116" t="s">
        <v>4</v>
      </c>
      <c r="C688" s="118">
        <v>249769</v>
      </c>
      <c r="D688" s="118">
        <f t="shared" si="382"/>
        <v>0</v>
      </c>
      <c r="E688" s="118">
        <f t="shared" si="378"/>
        <v>0</v>
      </c>
      <c r="F688" s="118">
        <f t="shared" si="379"/>
        <v>0</v>
      </c>
      <c r="G688" s="118">
        <f t="shared" si="375"/>
        <v>0</v>
      </c>
      <c r="H688" s="118">
        <v>249769</v>
      </c>
      <c r="I688" s="118">
        <f t="shared" ref="I688:I691" si="383">+C688+D688-E688-F688+G688</f>
        <v>249769</v>
      </c>
      <c r="J688" s="9">
        <f t="shared" si="380"/>
        <v>0</v>
      </c>
      <c r="K688" s="45" t="s">
        <v>83</v>
      </c>
      <c r="L688" s="47">
        <v>0</v>
      </c>
      <c r="M688" s="47">
        <v>0</v>
      </c>
      <c r="N688" s="47">
        <v>0</v>
      </c>
      <c r="O688" s="47">
        <v>0</v>
      </c>
    </row>
    <row r="689" spans="1:15" ht="16.5">
      <c r="A689" s="58" t="str">
        <f t="shared" si="376"/>
        <v>Grace</v>
      </c>
      <c r="B689" s="98" t="s">
        <v>2</v>
      </c>
      <c r="C689" s="61">
        <v>28600</v>
      </c>
      <c r="D689" s="61">
        <f t="shared" si="382"/>
        <v>389000</v>
      </c>
      <c r="E689" s="61">
        <f t="shared" si="378"/>
        <v>87785</v>
      </c>
      <c r="F689" s="61">
        <f t="shared" si="379"/>
        <v>311000</v>
      </c>
      <c r="G689" s="61">
        <f t="shared" si="375"/>
        <v>0</v>
      </c>
      <c r="H689" s="61">
        <v>18815</v>
      </c>
      <c r="I689" s="61">
        <f t="shared" si="383"/>
        <v>18815</v>
      </c>
      <c r="J689" s="9">
        <f t="shared" si="380"/>
        <v>0</v>
      </c>
      <c r="K689" s="45" t="s">
        <v>143</v>
      </c>
      <c r="L689" s="47">
        <v>389000</v>
      </c>
      <c r="M689" s="47">
        <v>311000</v>
      </c>
      <c r="N689" s="47">
        <v>87785</v>
      </c>
      <c r="O689" s="47">
        <v>0</v>
      </c>
    </row>
    <row r="690" spans="1:15" ht="16.5">
      <c r="A690" s="58" t="str">
        <f t="shared" si="376"/>
        <v>Hurielle</v>
      </c>
      <c r="B690" s="59" t="s">
        <v>154</v>
      </c>
      <c r="C690" s="61">
        <v>18000</v>
      </c>
      <c r="D690" s="61">
        <f t="shared" si="382"/>
        <v>354000</v>
      </c>
      <c r="E690" s="61">
        <f t="shared" si="378"/>
        <v>335500</v>
      </c>
      <c r="F690" s="61">
        <f t="shared" si="379"/>
        <v>0</v>
      </c>
      <c r="G690" s="61">
        <f t="shared" si="375"/>
        <v>0</v>
      </c>
      <c r="H690" s="61">
        <v>36500</v>
      </c>
      <c r="I690" s="61">
        <f t="shared" si="383"/>
        <v>36500</v>
      </c>
      <c r="J690" s="9">
        <f>I690-H690</f>
        <v>0</v>
      </c>
      <c r="K690" s="45" t="s">
        <v>197</v>
      </c>
      <c r="L690" s="47">
        <v>354000</v>
      </c>
      <c r="M690" s="47">
        <v>0</v>
      </c>
      <c r="N690" s="47">
        <v>335500</v>
      </c>
      <c r="O690" s="47">
        <v>0</v>
      </c>
    </row>
    <row r="691" spans="1:15" ht="16.5">
      <c r="A691" s="58" t="str">
        <f t="shared" si="376"/>
        <v>I23C</v>
      </c>
      <c r="B691" s="98" t="s">
        <v>4</v>
      </c>
      <c r="C691" s="61">
        <v>262050</v>
      </c>
      <c r="D691" s="61">
        <f t="shared" si="382"/>
        <v>602000</v>
      </c>
      <c r="E691" s="61">
        <f t="shared" si="378"/>
        <v>784500</v>
      </c>
      <c r="F691" s="61">
        <f t="shared" si="379"/>
        <v>0</v>
      </c>
      <c r="G691" s="61">
        <f t="shared" si="375"/>
        <v>0</v>
      </c>
      <c r="H691" s="61">
        <v>79550</v>
      </c>
      <c r="I691" s="61">
        <f t="shared" si="383"/>
        <v>79550</v>
      </c>
      <c r="J691" s="9">
        <f t="shared" ref="J691:J692" si="384">I691-H691</f>
        <v>0</v>
      </c>
      <c r="K691" s="45" t="s">
        <v>30</v>
      </c>
      <c r="L691" s="47">
        <v>602000</v>
      </c>
      <c r="M691" s="47">
        <v>0</v>
      </c>
      <c r="N691" s="47">
        <v>784500</v>
      </c>
      <c r="O691" s="47">
        <v>0</v>
      </c>
    </row>
    <row r="692" spans="1:15" ht="16.5">
      <c r="A692" s="58" t="str">
        <f t="shared" si="376"/>
        <v>Merveille</v>
      </c>
      <c r="B692" s="59" t="s">
        <v>2</v>
      </c>
      <c r="C692" s="61">
        <v>11900</v>
      </c>
      <c r="D692" s="61">
        <f t="shared" si="382"/>
        <v>96000</v>
      </c>
      <c r="E692" s="61">
        <f t="shared" si="378"/>
        <v>72000</v>
      </c>
      <c r="F692" s="61">
        <f t="shared" si="379"/>
        <v>30000</v>
      </c>
      <c r="G692" s="61">
        <f t="shared" si="375"/>
        <v>0</v>
      </c>
      <c r="H692" s="61">
        <v>5900</v>
      </c>
      <c r="I692" s="61">
        <f>+C692+D692-E692-F692+G692</f>
        <v>5900</v>
      </c>
      <c r="J692" s="9">
        <f t="shared" si="384"/>
        <v>0</v>
      </c>
      <c r="K692" s="45" t="s">
        <v>93</v>
      </c>
      <c r="L692" s="47">
        <v>96000</v>
      </c>
      <c r="M692" s="47">
        <v>30000</v>
      </c>
      <c r="N692" s="47">
        <v>72000</v>
      </c>
      <c r="O692" s="47">
        <v>0</v>
      </c>
    </row>
    <row r="693" spans="1:15" ht="16.5">
      <c r="A693" s="58" t="str">
        <f t="shared" si="376"/>
        <v>P29</v>
      </c>
      <c r="B693" s="59" t="s">
        <v>4</v>
      </c>
      <c r="C693" s="61">
        <v>221050</v>
      </c>
      <c r="D693" s="61">
        <f t="shared" si="382"/>
        <v>608500</v>
      </c>
      <c r="E693" s="61">
        <f t="shared" si="378"/>
        <v>799700</v>
      </c>
      <c r="F693" s="61">
        <f t="shared" si="379"/>
        <v>0</v>
      </c>
      <c r="G693" s="61">
        <f>+O693</f>
        <v>0</v>
      </c>
      <c r="H693" s="61">
        <v>29850</v>
      </c>
      <c r="I693" s="61">
        <f>+C693+D693-E693-F693+G693</f>
        <v>29850</v>
      </c>
      <c r="J693" s="9">
        <f>I693-H693</f>
        <v>0</v>
      </c>
      <c r="K693" s="45" t="s">
        <v>29</v>
      </c>
      <c r="L693" s="47">
        <v>608500</v>
      </c>
      <c r="M693" s="47">
        <v>0</v>
      </c>
      <c r="N693" s="47">
        <v>799700</v>
      </c>
      <c r="O693" s="47">
        <v>0</v>
      </c>
    </row>
    <row r="694" spans="1:15" ht="16.5">
      <c r="A694" s="58" t="str">
        <f t="shared" si="376"/>
        <v>Tiffany</v>
      </c>
      <c r="B694" s="59" t="s">
        <v>2</v>
      </c>
      <c r="C694" s="61">
        <v>-3959</v>
      </c>
      <c r="D694" s="61">
        <f t="shared" si="382"/>
        <v>1340000</v>
      </c>
      <c r="E694" s="61">
        <f t="shared" si="378"/>
        <v>12500</v>
      </c>
      <c r="F694" s="61">
        <f t="shared" si="379"/>
        <v>200000</v>
      </c>
      <c r="G694" s="61">
        <f t="shared" ref="G694:G695" si="385">+O694</f>
        <v>0</v>
      </c>
      <c r="H694" s="61">
        <v>1123541</v>
      </c>
      <c r="I694" s="61">
        <f t="shared" ref="I694" si="386">+C694+D694-E694-F694+G694</f>
        <v>1123541</v>
      </c>
      <c r="J694" s="9">
        <f t="shared" ref="J694" si="387">I694-H694</f>
        <v>0</v>
      </c>
      <c r="K694" s="45" t="s">
        <v>113</v>
      </c>
      <c r="L694" s="47">
        <v>1340000</v>
      </c>
      <c r="M694" s="47">
        <v>200000</v>
      </c>
      <c r="N694" s="47">
        <v>12500</v>
      </c>
      <c r="O694" s="47">
        <v>0</v>
      </c>
    </row>
    <row r="695" spans="1:15" ht="16.5">
      <c r="A695" s="58" t="str">
        <f t="shared" si="376"/>
        <v>Yan</v>
      </c>
      <c r="B695" s="59" t="s">
        <v>154</v>
      </c>
      <c r="C695" s="61">
        <v>95000</v>
      </c>
      <c r="D695" s="61">
        <f t="shared" si="382"/>
        <v>248500</v>
      </c>
      <c r="E695" s="61">
        <f t="shared" si="378"/>
        <v>283500</v>
      </c>
      <c r="F695" s="61">
        <f t="shared" si="379"/>
        <v>60000</v>
      </c>
      <c r="G695" s="61">
        <f t="shared" si="385"/>
        <v>0</v>
      </c>
      <c r="H695" s="61">
        <v>0</v>
      </c>
      <c r="I695" s="61">
        <f>+C695+D695-E695-F695+G695</f>
        <v>0</v>
      </c>
      <c r="J695" s="9">
        <f>I695-H695</f>
        <v>0</v>
      </c>
      <c r="K695" s="45" t="s">
        <v>212</v>
      </c>
      <c r="L695" s="47">
        <v>248500</v>
      </c>
      <c r="M695" s="47">
        <v>60000</v>
      </c>
      <c r="N695" s="47">
        <v>283500</v>
      </c>
      <c r="O695" s="47">
        <v>0</v>
      </c>
    </row>
    <row r="696" spans="1:15" ht="16.5">
      <c r="A696" s="10" t="s">
        <v>50</v>
      </c>
      <c r="B696" s="11"/>
      <c r="C696" s="12">
        <f t="shared" ref="C696:I696" si="388">SUM(C682:C695)</f>
        <v>11968765</v>
      </c>
      <c r="D696" s="57">
        <f t="shared" si="388"/>
        <v>9353500</v>
      </c>
      <c r="E696" s="57">
        <f t="shared" si="388"/>
        <v>8845768</v>
      </c>
      <c r="F696" s="57">
        <f t="shared" si="388"/>
        <v>9353500</v>
      </c>
      <c r="G696" s="57">
        <f t="shared" si="388"/>
        <v>20402887</v>
      </c>
      <c r="H696" s="57">
        <f t="shared" si="388"/>
        <v>23525884</v>
      </c>
      <c r="I696" s="57">
        <f t="shared" si="388"/>
        <v>23525884</v>
      </c>
      <c r="J696" s="9">
        <f>I696-H696</f>
        <v>0</v>
      </c>
      <c r="K696" s="3"/>
      <c r="L696" s="47">
        <f>+SUM(L682:L695)</f>
        <v>9353500</v>
      </c>
      <c r="M696" s="47">
        <f>+SUM(M682:M695)</f>
        <v>9353500</v>
      </c>
      <c r="N696" s="47">
        <f>+SUM(N682:N695)</f>
        <v>8845768</v>
      </c>
      <c r="O696" s="47">
        <f>+SUM(O682:O694)</f>
        <v>20402887</v>
      </c>
    </row>
    <row r="697" spans="1:15" ht="16.5">
      <c r="A697" s="10"/>
      <c r="B697" s="11"/>
      <c r="C697" s="12"/>
      <c r="D697" s="13"/>
      <c r="E697" s="12"/>
      <c r="F697" s="13"/>
      <c r="G697" s="12"/>
      <c r="H697" s="12"/>
      <c r="I697" s="134" t="b">
        <f>I696=D699</f>
        <v>1</v>
      </c>
      <c r="L697" s="5"/>
      <c r="M697" s="5"/>
      <c r="N697" s="5"/>
      <c r="O697" s="5"/>
    </row>
    <row r="698" spans="1:15" ht="16.5">
      <c r="A698" s="10" t="s">
        <v>226</v>
      </c>
      <c r="B698" s="11" t="s">
        <v>234</v>
      </c>
      <c r="C698" s="12" t="s">
        <v>227</v>
      </c>
      <c r="D698" s="12" t="s">
        <v>228</v>
      </c>
      <c r="E698" s="12" t="s">
        <v>51</v>
      </c>
      <c r="F698" s="12"/>
      <c r="G698" s="12">
        <f>+D696-F696</f>
        <v>0</v>
      </c>
      <c r="H698" s="12"/>
      <c r="I698" s="12"/>
    </row>
    <row r="699" spans="1:15" ht="16.5">
      <c r="A699" s="14">
        <f>C696</f>
        <v>11968765</v>
      </c>
      <c r="B699" s="15">
        <f>G696</f>
        <v>20402887</v>
      </c>
      <c r="C699" s="12">
        <f>E696</f>
        <v>8845768</v>
      </c>
      <c r="D699" s="12">
        <f>A699+B699-C699</f>
        <v>23525884</v>
      </c>
      <c r="E699" s="13">
        <f>I696-D699</f>
        <v>0</v>
      </c>
      <c r="F699" s="12"/>
      <c r="G699" s="12"/>
      <c r="H699" s="12"/>
      <c r="I699" s="12"/>
    </row>
    <row r="700" spans="1:15" ht="16.5">
      <c r="A700" s="14"/>
      <c r="B700" s="15"/>
      <c r="C700" s="12"/>
      <c r="D700" s="12"/>
      <c r="E700" s="13"/>
      <c r="F700" s="12"/>
      <c r="G700" s="12"/>
      <c r="H700" s="12"/>
      <c r="I700" s="12"/>
    </row>
    <row r="701" spans="1:15">
      <c r="A701" s="16" t="s">
        <v>52</v>
      </c>
      <c r="B701" s="16"/>
      <c r="C701" s="16"/>
      <c r="D701" s="17"/>
      <c r="E701" s="17"/>
      <c r="F701" s="17"/>
      <c r="G701" s="17"/>
      <c r="H701" s="17"/>
      <c r="I701" s="17"/>
    </row>
    <row r="702" spans="1:15">
      <c r="A702" s="18" t="s">
        <v>225</v>
      </c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5">
      <c r="A703" s="19"/>
      <c r="B703" s="17"/>
      <c r="C703" s="20"/>
      <c r="D703" s="20"/>
      <c r="E703" s="20"/>
      <c r="F703" s="20"/>
      <c r="G703" s="20"/>
      <c r="H703" s="17"/>
      <c r="I703" s="17"/>
    </row>
    <row r="704" spans="1:15">
      <c r="A704" s="169" t="s">
        <v>53</v>
      </c>
      <c r="B704" s="171" t="s">
        <v>54</v>
      </c>
      <c r="C704" s="173" t="s">
        <v>223</v>
      </c>
      <c r="D704" s="174" t="s">
        <v>55</v>
      </c>
      <c r="E704" s="175"/>
      <c r="F704" s="175"/>
      <c r="G704" s="176"/>
      <c r="H704" s="177" t="s">
        <v>56</v>
      </c>
      <c r="I704" s="165" t="s">
        <v>57</v>
      </c>
      <c r="J704" s="17"/>
    </row>
    <row r="705" spans="1:11" ht="28.5" customHeight="1">
      <c r="A705" s="170"/>
      <c r="B705" s="172"/>
      <c r="C705" s="22"/>
      <c r="D705" s="21" t="s">
        <v>24</v>
      </c>
      <c r="E705" s="21" t="s">
        <v>25</v>
      </c>
      <c r="F705" s="22" t="s">
        <v>123</v>
      </c>
      <c r="G705" s="21" t="s">
        <v>58</v>
      </c>
      <c r="H705" s="178"/>
      <c r="I705" s="166"/>
      <c r="J705" s="167" t="s">
        <v>224</v>
      </c>
      <c r="K705" s="143"/>
    </row>
    <row r="706" spans="1:11">
      <c r="A706" s="23"/>
      <c r="B706" s="24" t="s">
        <v>59</v>
      </c>
      <c r="C706" s="25"/>
      <c r="D706" s="25"/>
      <c r="E706" s="25"/>
      <c r="F706" s="25"/>
      <c r="G706" s="25"/>
      <c r="H706" s="25"/>
      <c r="I706" s="26"/>
      <c r="J706" s="168"/>
      <c r="K706" s="143"/>
    </row>
    <row r="707" spans="1:11">
      <c r="A707" s="122" t="s">
        <v>72</v>
      </c>
      <c r="B707" s="127" t="s">
        <v>47</v>
      </c>
      <c r="C707" s="32">
        <f>+C685</f>
        <v>9800</v>
      </c>
      <c r="D707" s="31"/>
      <c r="E707" s="32">
        <f t="shared" ref="E707:E717" si="389">+D685</f>
        <v>1043000</v>
      </c>
      <c r="F707" s="32"/>
      <c r="G707" s="32"/>
      <c r="H707" s="55">
        <f t="shared" ref="H707:H717" si="390">+F685</f>
        <v>82500</v>
      </c>
      <c r="I707" s="32">
        <f t="shared" ref="I707:I717" si="391">+E685</f>
        <v>975940</v>
      </c>
      <c r="J707" s="30">
        <f t="shared" ref="J707:J708" si="392">+SUM(C707:G707)-(H707+I707)</f>
        <v>-5640</v>
      </c>
      <c r="K707" s="144" t="b">
        <f t="shared" ref="K707:K717" si="393">J707=I685</f>
        <v>1</v>
      </c>
    </row>
    <row r="708" spans="1:11">
      <c r="A708" s="122" t="str">
        <f>+A707</f>
        <v>JUILLET</v>
      </c>
      <c r="B708" s="127" t="s">
        <v>31</v>
      </c>
      <c r="C708" s="32">
        <f>+C686</f>
        <v>2295</v>
      </c>
      <c r="D708" s="31"/>
      <c r="E708" s="32">
        <f t="shared" si="389"/>
        <v>242500</v>
      </c>
      <c r="F708" s="32"/>
      <c r="G708" s="32"/>
      <c r="H708" s="55">
        <f t="shared" si="390"/>
        <v>0</v>
      </c>
      <c r="I708" s="32">
        <f t="shared" si="391"/>
        <v>240000</v>
      </c>
      <c r="J708" s="101">
        <f t="shared" si="392"/>
        <v>4795</v>
      </c>
      <c r="K708" s="144" t="b">
        <f t="shared" si="393"/>
        <v>1</v>
      </c>
    </row>
    <row r="709" spans="1:11">
      <c r="A709" s="122" t="str">
        <f t="shared" ref="A709:A713" si="394">+A708</f>
        <v>JUILLET</v>
      </c>
      <c r="B709" s="129" t="s">
        <v>84</v>
      </c>
      <c r="C709" s="120">
        <f>+C687</f>
        <v>233614</v>
      </c>
      <c r="D709" s="123"/>
      <c r="E709" s="120">
        <f t="shared" si="389"/>
        <v>0</v>
      </c>
      <c r="F709" s="137"/>
      <c r="G709" s="137"/>
      <c r="H709" s="155">
        <f t="shared" si="390"/>
        <v>0</v>
      </c>
      <c r="I709" s="120">
        <f t="shared" si="391"/>
        <v>0</v>
      </c>
      <c r="J709" s="121">
        <f>+SUM(C709:G709)-(H709+I709)</f>
        <v>233614</v>
      </c>
      <c r="K709" s="144" t="b">
        <f t="shared" si="393"/>
        <v>1</v>
      </c>
    </row>
    <row r="710" spans="1:11">
      <c r="A710" s="122" t="str">
        <f t="shared" si="394"/>
        <v>JUILLET</v>
      </c>
      <c r="B710" s="129" t="s">
        <v>83</v>
      </c>
      <c r="C710" s="120">
        <f>+C688</f>
        <v>249769</v>
      </c>
      <c r="D710" s="123"/>
      <c r="E710" s="120">
        <f t="shared" si="389"/>
        <v>0</v>
      </c>
      <c r="F710" s="137"/>
      <c r="G710" s="137"/>
      <c r="H710" s="155">
        <f t="shared" si="390"/>
        <v>0</v>
      </c>
      <c r="I710" s="120">
        <f t="shared" si="391"/>
        <v>0</v>
      </c>
      <c r="J710" s="121">
        <f t="shared" ref="J710:J717" si="395">+SUM(C710:G710)-(H710+I710)</f>
        <v>249769</v>
      </c>
      <c r="K710" s="144" t="b">
        <f t="shared" si="393"/>
        <v>1</v>
      </c>
    </row>
    <row r="711" spans="1:11">
      <c r="A711" s="122" t="str">
        <f t="shared" si="394"/>
        <v>JUILLET</v>
      </c>
      <c r="B711" s="127" t="s">
        <v>143</v>
      </c>
      <c r="C711" s="32">
        <f>+C689</f>
        <v>28600</v>
      </c>
      <c r="D711" s="31"/>
      <c r="E711" s="32">
        <f t="shared" si="389"/>
        <v>389000</v>
      </c>
      <c r="F711" s="32"/>
      <c r="G711" s="104"/>
      <c r="H711" s="55">
        <f t="shared" si="390"/>
        <v>311000</v>
      </c>
      <c r="I711" s="32">
        <f t="shared" si="391"/>
        <v>87785</v>
      </c>
      <c r="J711" s="30">
        <f t="shared" si="395"/>
        <v>18815</v>
      </c>
      <c r="K711" s="144" t="b">
        <f t="shared" si="393"/>
        <v>1</v>
      </c>
    </row>
    <row r="712" spans="1:11">
      <c r="A712" s="122" t="str">
        <f t="shared" si="394"/>
        <v>JUILLET</v>
      </c>
      <c r="B712" s="127" t="s">
        <v>197</v>
      </c>
      <c r="C712" s="32">
        <f t="shared" ref="C712:C717" si="396">+C690</f>
        <v>18000</v>
      </c>
      <c r="D712" s="31"/>
      <c r="E712" s="32">
        <f t="shared" si="389"/>
        <v>354000</v>
      </c>
      <c r="F712" s="32"/>
      <c r="G712" s="104"/>
      <c r="H712" s="55">
        <f t="shared" si="390"/>
        <v>0</v>
      </c>
      <c r="I712" s="32">
        <f t="shared" si="391"/>
        <v>335500</v>
      </c>
      <c r="J712" s="30">
        <f t="shared" si="395"/>
        <v>36500</v>
      </c>
      <c r="K712" s="144" t="b">
        <f t="shared" si="393"/>
        <v>1</v>
      </c>
    </row>
    <row r="713" spans="1:11">
      <c r="A713" s="122" t="str">
        <f t="shared" si="394"/>
        <v>JUILLET</v>
      </c>
      <c r="B713" s="127" t="s">
        <v>30</v>
      </c>
      <c r="C713" s="32">
        <f t="shared" si="396"/>
        <v>262050</v>
      </c>
      <c r="D713" s="31"/>
      <c r="E713" s="32">
        <f t="shared" si="389"/>
        <v>602000</v>
      </c>
      <c r="F713" s="32"/>
      <c r="G713" s="104"/>
      <c r="H713" s="55">
        <f t="shared" si="390"/>
        <v>0</v>
      </c>
      <c r="I713" s="32">
        <f t="shared" si="391"/>
        <v>784500</v>
      </c>
      <c r="J713" s="30">
        <f t="shared" si="395"/>
        <v>79550</v>
      </c>
      <c r="K713" s="144" t="b">
        <f t="shared" si="393"/>
        <v>1</v>
      </c>
    </row>
    <row r="714" spans="1:11">
      <c r="A714" s="122" t="str">
        <f>+A712</f>
        <v>JUILLET</v>
      </c>
      <c r="B714" s="127" t="s">
        <v>93</v>
      </c>
      <c r="C714" s="32">
        <f t="shared" si="396"/>
        <v>11900</v>
      </c>
      <c r="D714" s="31"/>
      <c r="E714" s="32">
        <f t="shared" si="389"/>
        <v>96000</v>
      </c>
      <c r="F714" s="32"/>
      <c r="G714" s="104"/>
      <c r="H714" s="55">
        <f t="shared" si="390"/>
        <v>30000</v>
      </c>
      <c r="I714" s="32">
        <f t="shared" si="391"/>
        <v>72000</v>
      </c>
      <c r="J714" s="30">
        <f t="shared" si="395"/>
        <v>5900</v>
      </c>
      <c r="K714" s="144" t="b">
        <f t="shared" si="393"/>
        <v>1</v>
      </c>
    </row>
    <row r="715" spans="1:11">
      <c r="A715" s="122" t="str">
        <f>+A713</f>
        <v>JUILLET</v>
      </c>
      <c r="B715" s="127" t="s">
        <v>29</v>
      </c>
      <c r="C715" s="32">
        <f t="shared" si="396"/>
        <v>221050</v>
      </c>
      <c r="D715" s="31"/>
      <c r="E715" s="32">
        <f t="shared" si="389"/>
        <v>608500</v>
      </c>
      <c r="F715" s="32"/>
      <c r="G715" s="104"/>
      <c r="H715" s="55">
        <f t="shared" si="390"/>
        <v>0</v>
      </c>
      <c r="I715" s="32">
        <f t="shared" si="391"/>
        <v>799700</v>
      </c>
      <c r="J715" s="30">
        <f t="shared" si="395"/>
        <v>29850</v>
      </c>
      <c r="K715" s="144" t="b">
        <f t="shared" si="393"/>
        <v>1</v>
      </c>
    </row>
    <row r="716" spans="1:11">
      <c r="A716" s="122" t="str">
        <f>+A714</f>
        <v>JUILLET</v>
      </c>
      <c r="B716" s="128" t="s">
        <v>113</v>
      </c>
      <c r="C716" s="32">
        <f t="shared" si="396"/>
        <v>-3959</v>
      </c>
      <c r="D716" s="119"/>
      <c r="E716" s="32">
        <f t="shared" si="389"/>
        <v>1340000</v>
      </c>
      <c r="F716" s="51"/>
      <c r="G716" s="138"/>
      <c r="H716" s="55">
        <f t="shared" si="390"/>
        <v>200000</v>
      </c>
      <c r="I716" s="32">
        <f t="shared" si="391"/>
        <v>12500</v>
      </c>
      <c r="J716" s="30">
        <f t="shared" si="395"/>
        <v>1123541</v>
      </c>
      <c r="K716" s="144" t="b">
        <f t="shared" si="393"/>
        <v>1</v>
      </c>
    </row>
    <row r="717" spans="1:11">
      <c r="A717" s="122" t="str">
        <f>+A715</f>
        <v>JUILLET</v>
      </c>
      <c r="B717" s="128" t="s">
        <v>212</v>
      </c>
      <c r="C717" s="32">
        <f t="shared" si="396"/>
        <v>95000</v>
      </c>
      <c r="D717" s="119"/>
      <c r="E717" s="32">
        <f t="shared" si="389"/>
        <v>248500</v>
      </c>
      <c r="F717" s="51"/>
      <c r="G717" s="138"/>
      <c r="H717" s="55">
        <f t="shared" si="390"/>
        <v>60000</v>
      </c>
      <c r="I717" s="32">
        <f t="shared" si="391"/>
        <v>283500</v>
      </c>
      <c r="J717" s="30">
        <f t="shared" si="395"/>
        <v>0</v>
      </c>
      <c r="K717" s="144" t="b">
        <f t="shared" si="393"/>
        <v>1</v>
      </c>
    </row>
    <row r="718" spans="1:11">
      <c r="A718" s="34" t="s">
        <v>60</v>
      </c>
      <c r="B718" s="35"/>
      <c r="C718" s="35"/>
      <c r="D718" s="35"/>
      <c r="E718" s="35"/>
      <c r="F718" s="35"/>
      <c r="G718" s="35"/>
      <c r="H718" s="35"/>
      <c r="I718" s="35"/>
      <c r="J718" s="36"/>
      <c r="K718" s="143"/>
    </row>
    <row r="719" spans="1:11">
      <c r="A719" s="122" t="str">
        <f>+A717</f>
        <v>JUILLET</v>
      </c>
      <c r="B719" s="37" t="s">
        <v>61</v>
      </c>
      <c r="C719" s="38">
        <f>+C684</f>
        <v>1696326</v>
      </c>
      <c r="D719" s="49"/>
      <c r="E719" s="49">
        <f>D684</f>
        <v>4430000</v>
      </c>
      <c r="F719" s="49"/>
      <c r="G719" s="125"/>
      <c r="H719" s="51">
        <f>+F684</f>
        <v>4570000</v>
      </c>
      <c r="I719" s="126">
        <f>+E684</f>
        <v>1453294</v>
      </c>
      <c r="J719" s="30">
        <f>+SUM(C719:G719)-(H719+I719)</f>
        <v>103032</v>
      </c>
      <c r="K719" s="144" t="b">
        <f>J719=I684</f>
        <v>1</v>
      </c>
    </row>
    <row r="720" spans="1:11">
      <c r="A720" s="43" t="s">
        <v>62</v>
      </c>
      <c r="B720" s="24"/>
      <c r="C720" s="35"/>
      <c r="D720" s="24"/>
      <c r="E720" s="24"/>
      <c r="F720" s="24"/>
      <c r="G720" s="24"/>
      <c r="H720" s="24"/>
      <c r="I720" s="24"/>
      <c r="J720" s="36"/>
      <c r="K720" s="143"/>
    </row>
    <row r="721" spans="1:16">
      <c r="A721" s="122" t="str">
        <f>+A719</f>
        <v>JUILLET</v>
      </c>
      <c r="B721" s="37" t="s">
        <v>156</v>
      </c>
      <c r="C721" s="125">
        <f>+C682</f>
        <v>4291693</v>
      </c>
      <c r="D721" s="132">
        <f>+G682</f>
        <v>0</v>
      </c>
      <c r="E721" s="49"/>
      <c r="F721" s="49"/>
      <c r="G721" s="49"/>
      <c r="H721" s="51">
        <f>+F682</f>
        <v>4100000</v>
      </c>
      <c r="I721" s="53">
        <f>+E682</f>
        <v>23345</v>
      </c>
      <c r="J721" s="30">
        <f>+SUM(C721:G721)-(H721+I721)</f>
        <v>168348</v>
      </c>
      <c r="K721" s="144" t="b">
        <f>+J721=I682</f>
        <v>1</v>
      </c>
    </row>
    <row r="722" spans="1:16">
      <c r="A722" s="122" t="str">
        <f t="shared" ref="A722" si="397">+A721</f>
        <v>JUILLET</v>
      </c>
      <c r="B722" s="37" t="s">
        <v>64</v>
      </c>
      <c r="C722" s="125">
        <f>+C683</f>
        <v>4852627</v>
      </c>
      <c r="D722" s="49">
        <f>+G683</f>
        <v>20402887</v>
      </c>
      <c r="E722" s="48"/>
      <c r="F722" s="48"/>
      <c r="G722" s="48"/>
      <c r="H722" s="32">
        <f>+F683</f>
        <v>0</v>
      </c>
      <c r="I722" s="50">
        <f>+E683</f>
        <v>3777704</v>
      </c>
      <c r="J722" s="30">
        <f>SUM(C722:G722)-(H722+I722)</f>
        <v>21477810</v>
      </c>
      <c r="K722" s="144" t="b">
        <f>+J722=I683</f>
        <v>1</v>
      </c>
    </row>
    <row r="723" spans="1:16" ht="15.75">
      <c r="C723" s="141">
        <f>SUM(C707:C722)</f>
        <v>11968765</v>
      </c>
      <c r="I723" s="140">
        <f>SUM(I707:I722)</f>
        <v>8845768</v>
      </c>
      <c r="J723" s="105">
        <f>+SUM(J707:J722)</f>
        <v>23525884</v>
      </c>
      <c r="K723" s="5" t="b">
        <f>J723=I696</f>
        <v>1</v>
      </c>
    </row>
    <row r="724" spans="1:16" ht="15.75">
      <c r="A724" s="160"/>
      <c r="B724" s="160"/>
      <c r="C724" s="161"/>
      <c r="D724" s="160"/>
      <c r="E724" s="160"/>
      <c r="F724" s="160"/>
      <c r="G724" s="160"/>
      <c r="H724" s="160"/>
      <c r="I724" s="162"/>
      <c r="J724" s="163"/>
      <c r="K724" s="160"/>
      <c r="L724" s="164"/>
      <c r="M724" s="164"/>
      <c r="N724" s="164"/>
      <c r="O724" s="164"/>
      <c r="P724" s="160"/>
    </row>
    <row r="727" spans="1:16" ht="15.75">
      <c r="A727" s="6" t="s">
        <v>36</v>
      </c>
      <c r="B727" s="6" t="s">
        <v>1</v>
      </c>
      <c r="C727" s="6">
        <v>44713</v>
      </c>
      <c r="D727" s="7" t="s">
        <v>37</v>
      </c>
      <c r="E727" s="7" t="s">
        <v>38</v>
      </c>
      <c r="F727" s="7" t="s">
        <v>39</v>
      </c>
      <c r="G727" s="7" t="s">
        <v>40</v>
      </c>
      <c r="H727" s="6">
        <v>44742</v>
      </c>
      <c r="I727" s="7" t="s">
        <v>41</v>
      </c>
      <c r="K727" s="45"/>
      <c r="L727" s="45" t="s">
        <v>42</v>
      </c>
      <c r="M727" s="45" t="s">
        <v>43</v>
      </c>
      <c r="N727" s="45" t="s">
        <v>44</v>
      </c>
      <c r="O727" s="45" t="s">
        <v>45</v>
      </c>
    </row>
    <row r="728" spans="1:16" ht="16.5">
      <c r="A728" s="58" t="str">
        <f>K728</f>
        <v>BCI</v>
      </c>
      <c r="B728" s="59" t="s">
        <v>46</v>
      </c>
      <c r="C728" s="61">
        <v>8575038</v>
      </c>
      <c r="D728" s="61">
        <f>+L728</f>
        <v>0</v>
      </c>
      <c r="E728" s="61">
        <f>+N728</f>
        <v>283345</v>
      </c>
      <c r="F728" s="61">
        <f>+M728</f>
        <v>4000000</v>
      </c>
      <c r="G728" s="61">
        <f t="shared" ref="G728:G738" si="398">+O728</f>
        <v>0</v>
      </c>
      <c r="H728" s="61">
        <v>4291693</v>
      </c>
      <c r="I728" s="61">
        <f>+C728+D728-E728-F728+G728</f>
        <v>4291693</v>
      </c>
      <c r="J728" s="9">
        <f>I728-H728</f>
        <v>0</v>
      </c>
      <c r="K728" s="45" t="s">
        <v>24</v>
      </c>
      <c r="L728" s="47">
        <v>0</v>
      </c>
      <c r="M728" s="47">
        <v>4000000</v>
      </c>
      <c r="N728" s="47">
        <v>283345</v>
      </c>
      <c r="O728" s="47">
        <v>0</v>
      </c>
    </row>
    <row r="729" spans="1:16" ht="16.5">
      <c r="A729" s="58" t="str">
        <f t="shared" ref="A729:A741" si="399">K729</f>
        <v>BCI-Sous Compte</v>
      </c>
      <c r="B729" s="59" t="s">
        <v>46</v>
      </c>
      <c r="C729" s="61">
        <v>12231533</v>
      </c>
      <c r="D729" s="61">
        <f t="shared" ref="D729:D741" si="400">+L729</f>
        <v>0</v>
      </c>
      <c r="E729" s="61">
        <f t="shared" ref="E729:E741" si="401">+N729</f>
        <v>5378906</v>
      </c>
      <c r="F729" s="61">
        <f t="shared" ref="F729:F741" si="402">+M729</f>
        <v>2000000</v>
      </c>
      <c r="G729" s="61">
        <f t="shared" si="398"/>
        <v>0</v>
      </c>
      <c r="H729" s="61">
        <v>4852627</v>
      </c>
      <c r="I729" s="61">
        <f>+C729+D729-E729-F729+G729</f>
        <v>4852627</v>
      </c>
      <c r="J729" s="9">
        <f t="shared" ref="J729:J735" si="403">I729-H729</f>
        <v>0</v>
      </c>
      <c r="K729" s="45" t="s">
        <v>148</v>
      </c>
      <c r="L729" s="47">
        <v>0</v>
      </c>
      <c r="M729" s="47">
        <v>2000000</v>
      </c>
      <c r="N729" s="47">
        <v>5378906</v>
      </c>
      <c r="O729" s="47">
        <v>0</v>
      </c>
    </row>
    <row r="730" spans="1:16" ht="16.5">
      <c r="A730" s="58" t="str">
        <f t="shared" si="399"/>
        <v>Caisse</v>
      </c>
      <c r="B730" s="59" t="s">
        <v>25</v>
      </c>
      <c r="C730" s="61">
        <v>1700406</v>
      </c>
      <c r="D730" s="61">
        <f t="shared" si="400"/>
        <v>6172450</v>
      </c>
      <c r="E730" s="61">
        <f t="shared" si="401"/>
        <v>2587130</v>
      </c>
      <c r="F730" s="61">
        <f t="shared" si="402"/>
        <v>3589400</v>
      </c>
      <c r="G730" s="61">
        <f t="shared" si="398"/>
        <v>0</v>
      </c>
      <c r="H730" s="61">
        <v>1696326</v>
      </c>
      <c r="I730" s="61">
        <f>+C730+D730-E730-F730+G730</f>
        <v>1696326</v>
      </c>
      <c r="J730" s="102">
        <f t="shared" si="403"/>
        <v>0</v>
      </c>
      <c r="K730" s="45" t="s">
        <v>25</v>
      </c>
      <c r="L730" s="47">
        <v>6172450</v>
      </c>
      <c r="M730" s="47">
        <v>3589400</v>
      </c>
      <c r="N730" s="47">
        <v>2587130</v>
      </c>
      <c r="O730" s="47">
        <v>0</v>
      </c>
    </row>
    <row r="731" spans="1:16" ht="16.5">
      <c r="A731" s="58" t="str">
        <f t="shared" si="399"/>
        <v>Crépin</v>
      </c>
      <c r="B731" s="59" t="s">
        <v>154</v>
      </c>
      <c r="C731" s="61">
        <v>15750</v>
      </c>
      <c r="D731" s="61">
        <f t="shared" si="400"/>
        <v>1223400</v>
      </c>
      <c r="E731" s="61">
        <f t="shared" si="401"/>
        <v>1184350</v>
      </c>
      <c r="F731" s="61">
        <f t="shared" si="402"/>
        <v>45000</v>
      </c>
      <c r="G731" s="61">
        <f t="shared" si="398"/>
        <v>0</v>
      </c>
      <c r="H731" s="61">
        <v>9800</v>
      </c>
      <c r="I731" s="61">
        <f>+C731+D731-E731-F731+G731</f>
        <v>9800</v>
      </c>
      <c r="J731" s="9">
        <f t="shared" si="403"/>
        <v>0</v>
      </c>
      <c r="K731" s="45" t="s">
        <v>47</v>
      </c>
      <c r="L731" s="47">
        <v>1223400</v>
      </c>
      <c r="M731" s="47">
        <v>45000</v>
      </c>
      <c r="N731" s="47">
        <v>1184350</v>
      </c>
      <c r="O731" s="47">
        <v>0</v>
      </c>
    </row>
    <row r="732" spans="1:16" ht="16.5">
      <c r="A732" s="58" t="str">
        <f t="shared" si="399"/>
        <v>Evariste</v>
      </c>
      <c r="B732" s="59" t="s">
        <v>155</v>
      </c>
      <c r="C732" s="61">
        <v>8795</v>
      </c>
      <c r="D732" s="61">
        <f t="shared" si="400"/>
        <v>248000</v>
      </c>
      <c r="E732" s="61">
        <f t="shared" si="401"/>
        <v>254500</v>
      </c>
      <c r="F732" s="61">
        <f t="shared" si="402"/>
        <v>0</v>
      </c>
      <c r="G732" s="61">
        <f t="shared" si="398"/>
        <v>0</v>
      </c>
      <c r="H732" s="61">
        <v>2295</v>
      </c>
      <c r="I732" s="61">
        <f t="shared" ref="I732" si="404">+C732+D732-E732-F732+G732</f>
        <v>2295</v>
      </c>
      <c r="J732" s="9">
        <f t="shared" si="403"/>
        <v>0</v>
      </c>
      <c r="K732" s="45" t="s">
        <v>31</v>
      </c>
      <c r="L732" s="47">
        <v>248000</v>
      </c>
      <c r="M732" s="47">
        <v>0</v>
      </c>
      <c r="N732" s="47">
        <v>254500</v>
      </c>
      <c r="O732" s="47">
        <v>0</v>
      </c>
    </row>
    <row r="733" spans="1:16" ht="16.5">
      <c r="A733" s="58" t="str">
        <f t="shared" si="399"/>
        <v>I55S</v>
      </c>
      <c r="B733" s="116" t="s">
        <v>4</v>
      </c>
      <c r="C733" s="118">
        <v>233614</v>
      </c>
      <c r="D733" s="118">
        <f t="shared" si="400"/>
        <v>0</v>
      </c>
      <c r="E733" s="118">
        <f t="shared" si="401"/>
        <v>0</v>
      </c>
      <c r="F733" s="118">
        <f t="shared" si="402"/>
        <v>0</v>
      </c>
      <c r="G733" s="118">
        <f t="shared" si="398"/>
        <v>0</v>
      </c>
      <c r="H733" s="118">
        <v>233614</v>
      </c>
      <c r="I733" s="118">
        <f>+C733+D733-E733-F733+G733</f>
        <v>233614</v>
      </c>
      <c r="J733" s="9">
        <f t="shared" si="403"/>
        <v>0</v>
      </c>
      <c r="K733" s="45" t="s">
        <v>84</v>
      </c>
      <c r="L733" s="47">
        <v>0</v>
      </c>
      <c r="M733" s="47">
        <v>0</v>
      </c>
      <c r="N733" s="47">
        <v>0</v>
      </c>
      <c r="O733" s="47">
        <v>0</v>
      </c>
    </row>
    <row r="734" spans="1:16" ht="16.5">
      <c r="A734" s="58" t="str">
        <f t="shared" si="399"/>
        <v>I73X</v>
      </c>
      <c r="B734" s="116" t="s">
        <v>4</v>
      </c>
      <c r="C734" s="118">
        <v>249769</v>
      </c>
      <c r="D734" s="118">
        <f t="shared" si="400"/>
        <v>0</v>
      </c>
      <c r="E734" s="118">
        <f t="shared" si="401"/>
        <v>0</v>
      </c>
      <c r="F734" s="118">
        <f t="shared" si="402"/>
        <v>0</v>
      </c>
      <c r="G734" s="118">
        <f t="shared" si="398"/>
        <v>0</v>
      </c>
      <c r="H734" s="118">
        <v>249769</v>
      </c>
      <c r="I734" s="118">
        <f t="shared" ref="I734:I737" si="405">+C734+D734-E734-F734+G734</f>
        <v>249769</v>
      </c>
      <c r="J734" s="9">
        <f t="shared" si="403"/>
        <v>0</v>
      </c>
      <c r="K734" s="45" t="s">
        <v>83</v>
      </c>
      <c r="L734" s="47">
        <v>0</v>
      </c>
      <c r="M734" s="47">
        <v>0</v>
      </c>
      <c r="N734" s="47">
        <v>0</v>
      </c>
      <c r="O734" s="47">
        <v>0</v>
      </c>
    </row>
    <row r="735" spans="1:16" ht="16.5">
      <c r="A735" s="58" t="str">
        <f t="shared" si="399"/>
        <v>Grace</v>
      </c>
      <c r="B735" s="98" t="s">
        <v>2</v>
      </c>
      <c r="C735" s="61">
        <v>14700</v>
      </c>
      <c r="D735" s="61">
        <f t="shared" si="400"/>
        <v>994000</v>
      </c>
      <c r="E735" s="61">
        <f t="shared" si="401"/>
        <v>220100</v>
      </c>
      <c r="F735" s="61">
        <f t="shared" si="402"/>
        <v>760000</v>
      </c>
      <c r="G735" s="61">
        <f t="shared" si="398"/>
        <v>0</v>
      </c>
      <c r="H735" s="61">
        <v>28600</v>
      </c>
      <c r="I735" s="61">
        <f t="shared" si="405"/>
        <v>28600</v>
      </c>
      <c r="J735" s="9">
        <f t="shared" si="403"/>
        <v>0</v>
      </c>
      <c r="K735" s="45" t="s">
        <v>143</v>
      </c>
      <c r="L735" s="47">
        <v>994000</v>
      </c>
      <c r="M735" s="47">
        <v>760000</v>
      </c>
      <c r="N735" s="47">
        <v>220100</v>
      </c>
      <c r="O735" s="47">
        <v>0</v>
      </c>
    </row>
    <row r="736" spans="1:16" ht="16.5">
      <c r="A736" s="58" t="str">
        <f t="shared" si="399"/>
        <v>Hurielle</v>
      </c>
      <c r="B736" s="59" t="s">
        <v>154</v>
      </c>
      <c r="C736" s="61">
        <v>46950</v>
      </c>
      <c r="D736" s="61">
        <f t="shared" si="400"/>
        <v>254000</v>
      </c>
      <c r="E736" s="61">
        <f t="shared" si="401"/>
        <v>245500</v>
      </c>
      <c r="F736" s="61">
        <f t="shared" si="402"/>
        <v>37450</v>
      </c>
      <c r="G736" s="61">
        <f t="shared" si="398"/>
        <v>0</v>
      </c>
      <c r="H736" s="61">
        <v>18000</v>
      </c>
      <c r="I736" s="61">
        <f t="shared" si="405"/>
        <v>18000</v>
      </c>
      <c r="J736" s="9">
        <f>I736-H736</f>
        <v>0</v>
      </c>
      <c r="K736" s="45" t="s">
        <v>197</v>
      </c>
      <c r="L736" s="47">
        <v>254000</v>
      </c>
      <c r="M736" s="47">
        <v>37450</v>
      </c>
      <c r="N736" s="47">
        <v>245500</v>
      </c>
      <c r="O736" s="47">
        <v>0</v>
      </c>
    </row>
    <row r="737" spans="1:15" ht="16.5">
      <c r="A737" s="58" t="str">
        <f t="shared" si="399"/>
        <v>I23C</v>
      </c>
      <c r="B737" s="98" t="s">
        <v>4</v>
      </c>
      <c r="C737" s="61">
        <v>112050</v>
      </c>
      <c r="D737" s="61">
        <f t="shared" si="400"/>
        <v>584000</v>
      </c>
      <c r="E737" s="61">
        <f t="shared" si="401"/>
        <v>434000</v>
      </c>
      <c r="F737" s="61">
        <f t="shared" si="402"/>
        <v>0</v>
      </c>
      <c r="G737" s="61">
        <f t="shared" si="398"/>
        <v>0</v>
      </c>
      <c r="H737" s="61">
        <v>262050</v>
      </c>
      <c r="I737" s="61">
        <f t="shared" si="405"/>
        <v>262050</v>
      </c>
      <c r="J737" s="9">
        <f t="shared" ref="J737:J738" si="406">I737-H737</f>
        <v>0</v>
      </c>
      <c r="K737" s="45" t="s">
        <v>30</v>
      </c>
      <c r="L737" s="47">
        <v>584000</v>
      </c>
      <c r="M737" s="47">
        <v>0</v>
      </c>
      <c r="N737" s="47">
        <v>434000</v>
      </c>
      <c r="O737" s="47">
        <v>0</v>
      </c>
    </row>
    <row r="738" spans="1:15" ht="16.5">
      <c r="A738" s="58" t="str">
        <f t="shared" si="399"/>
        <v>Merveille</v>
      </c>
      <c r="B738" s="59" t="s">
        <v>2</v>
      </c>
      <c r="C738" s="61">
        <v>2900</v>
      </c>
      <c r="D738" s="61">
        <f t="shared" si="400"/>
        <v>40000</v>
      </c>
      <c r="E738" s="61">
        <f t="shared" si="401"/>
        <v>31000</v>
      </c>
      <c r="F738" s="61">
        <f t="shared" si="402"/>
        <v>0</v>
      </c>
      <c r="G738" s="61">
        <f t="shared" si="398"/>
        <v>0</v>
      </c>
      <c r="H738" s="61">
        <v>11900</v>
      </c>
      <c r="I738" s="61">
        <f>+C738+D738-E738-F738+G738</f>
        <v>11900</v>
      </c>
      <c r="J738" s="9">
        <f t="shared" si="406"/>
        <v>0</v>
      </c>
      <c r="K738" s="45" t="s">
        <v>93</v>
      </c>
      <c r="L738" s="47">
        <v>40000</v>
      </c>
      <c r="M738" s="47">
        <v>0</v>
      </c>
      <c r="N738" s="47">
        <v>31000</v>
      </c>
      <c r="O738" s="47">
        <v>0</v>
      </c>
    </row>
    <row r="739" spans="1:15" ht="16.5">
      <c r="A739" s="58" t="str">
        <f t="shared" si="399"/>
        <v>P29</v>
      </c>
      <c r="B739" s="59" t="s">
        <v>4</v>
      </c>
      <c r="C739" s="61">
        <v>140700</v>
      </c>
      <c r="D739" s="61">
        <f t="shared" si="400"/>
        <v>638000</v>
      </c>
      <c r="E739" s="61">
        <f t="shared" si="401"/>
        <v>507650</v>
      </c>
      <c r="F739" s="61">
        <f t="shared" si="402"/>
        <v>50000</v>
      </c>
      <c r="G739" s="61">
        <f>+O739</f>
        <v>0</v>
      </c>
      <c r="H739" s="61">
        <v>221050</v>
      </c>
      <c r="I739" s="61">
        <f>+C739+D739-E739-F739+G739</f>
        <v>221050</v>
      </c>
      <c r="J739" s="9">
        <f>I739-H739</f>
        <v>0</v>
      </c>
      <c r="K739" s="45" t="s">
        <v>29</v>
      </c>
      <c r="L739" s="47">
        <v>638000</v>
      </c>
      <c r="M739" s="47">
        <v>50000</v>
      </c>
      <c r="N739" s="47">
        <v>507650</v>
      </c>
      <c r="O739" s="47">
        <v>0</v>
      </c>
    </row>
    <row r="740" spans="1:15" ht="16.5">
      <c r="A740" s="58" t="str">
        <f t="shared" si="399"/>
        <v>Tiffany</v>
      </c>
      <c r="B740" s="59" t="s">
        <v>2</v>
      </c>
      <c r="C740" s="61">
        <v>2241</v>
      </c>
      <c r="D740" s="61">
        <f t="shared" si="400"/>
        <v>0</v>
      </c>
      <c r="E740" s="61">
        <f t="shared" si="401"/>
        <v>6200</v>
      </c>
      <c r="F740" s="61">
        <f t="shared" si="402"/>
        <v>0</v>
      </c>
      <c r="G740" s="61">
        <f t="shared" ref="G740:G741" si="407">+O740</f>
        <v>0</v>
      </c>
      <c r="H740" s="61">
        <v>-3959</v>
      </c>
      <c r="I740" s="61">
        <f t="shared" ref="I740" si="408">+C740+D740-E740-F740+G740</f>
        <v>-3959</v>
      </c>
      <c r="J740" s="9">
        <f t="shared" ref="J740" si="409">I740-H740</f>
        <v>0</v>
      </c>
      <c r="K740" s="45" t="s">
        <v>113</v>
      </c>
      <c r="L740" s="47">
        <v>0</v>
      </c>
      <c r="M740" s="47">
        <v>0</v>
      </c>
      <c r="N740" s="47">
        <v>6200</v>
      </c>
      <c r="O740" s="47">
        <v>0</v>
      </c>
    </row>
    <row r="741" spans="1:15" ht="16.5">
      <c r="A741" s="58" t="str">
        <f t="shared" si="399"/>
        <v>Yan</v>
      </c>
      <c r="B741" s="59" t="s">
        <v>154</v>
      </c>
      <c r="C741" s="61">
        <v>10500</v>
      </c>
      <c r="D741" s="61">
        <f t="shared" si="400"/>
        <v>368000</v>
      </c>
      <c r="E741" s="61">
        <f t="shared" si="401"/>
        <v>243500</v>
      </c>
      <c r="F741" s="61">
        <f t="shared" si="402"/>
        <v>40000</v>
      </c>
      <c r="G741" s="61">
        <f t="shared" si="407"/>
        <v>0</v>
      </c>
      <c r="H741" s="61">
        <v>95000</v>
      </c>
      <c r="I741" s="61">
        <f>+C741+D741-E741-F741+G741</f>
        <v>95000</v>
      </c>
      <c r="J741" s="9">
        <f>I741-H741</f>
        <v>0</v>
      </c>
      <c r="K741" s="45" t="s">
        <v>212</v>
      </c>
      <c r="L741" s="47">
        <v>368000</v>
      </c>
      <c r="M741" s="47">
        <v>40000</v>
      </c>
      <c r="N741" s="47">
        <v>243500</v>
      </c>
      <c r="O741" s="47">
        <v>0</v>
      </c>
    </row>
    <row r="742" spans="1:15" ht="16.5">
      <c r="A742" s="10" t="s">
        <v>50</v>
      </c>
      <c r="B742" s="11"/>
      <c r="C742" s="12">
        <f t="shared" ref="C742:I742" si="410">SUM(C728:C741)</f>
        <v>23344946</v>
      </c>
      <c r="D742" s="57">
        <f t="shared" si="410"/>
        <v>10521850</v>
      </c>
      <c r="E742" s="57">
        <f t="shared" si="410"/>
        <v>11376181</v>
      </c>
      <c r="F742" s="57">
        <f t="shared" si="410"/>
        <v>10521850</v>
      </c>
      <c r="G742" s="57">
        <f t="shared" si="410"/>
        <v>0</v>
      </c>
      <c r="H742" s="57">
        <f t="shared" si="410"/>
        <v>11968765</v>
      </c>
      <c r="I742" s="57">
        <f t="shared" si="410"/>
        <v>11968765</v>
      </c>
      <c r="J742" s="9">
        <f>I742-H742</f>
        <v>0</v>
      </c>
      <c r="K742" s="3"/>
      <c r="L742" s="47">
        <f>+SUM(L728:L741)</f>
        <v>10521850</v>
      </c>
      <c r="M742" s="47">
        <f>+SUM(M728:M741)</f>
        <v>10521850</v>
      </c>
      <c r="N742" s="47">
        <f>+SUM(N728:N741)</f>
        <v>11376181</v>
      </c>
      <c r="O742" s="47">
        <f>+SUM(O728:O740)</f>
        <v>0</v>
      </c>
    </row>
    <row r="743" spans="1:15" ht="16.5">
      <c r="A743" s="10"/>
      <c r="B743" s="11"/>
      <c r="C743" s="12"/>
      <c r="D743" s="13"/>
      <c r="E743" s="12"/>
      <c r="F743" s="13"/>
      <c r="G743" s="12"/>
      <c r="H743" s="12"/>
      <c r="I743" s="134" t="b">
        <f>I742=D745</f>
        <v>1</v>
      </c>
      <c r="L743" s="5"/>
      <c r="M743" s="5"/>
      <c r="N743" s="5"/>
      <c r="O743" s="5"/>
    </row>
    <row r="744" spans="1:15" ht="16.5">
      <c r="A744" s="10" t="s">
        <v>216</v>
      </c>
      <c r="B744" s="11" t="s">
        <v>217</v>
      </c>
      <c r="C744" s="12" t="s">
        <v>218</v>
      </c>
      <c r="D744" s="12" t="s">
        <v>220</v>
      </c>
      <c r="E744" s="12" t="s">
        <v>51</v>
      </c>
      <c r="F744" s="12"/>
      <c r="G744" s="12">
        <f>+D742-F742</f>
        <v>0</v>
      </c>
      <c r="H744" s="12"/>
      <c r="I744" s="12"/>
    </row>
    <row r="745" spans="1:15" ht="16.5">
      <c r="A745" s="14">
        <f>C742</f>
        <v>23344946</v>
      </c>
      <c r="B745" s="15">
        <f>G742</f>
        <v>0</v>
      </c>
      <c r="C745" s="12">
        <f>E742</f>
        <v>11376181</v>
      </c>
      <c r="D745" s="12">
        <f>A745+B745-C745</f>
        <v>11968765</v>
      </c>
      <c r="E745" s="13">
        <f>I742-D745</f>
        <v>0</v>
      </c>
      <c r="F745" s="12"/>
      <c r="G745" s="12"/>
      <c r="H745" s="12"/>
      <c r="I745" s="12"/>
    </row>
    <row r="746" spans="1:15" ht="16.5">
      <c r="A746" s="14"/>
      <c r="B746" s="15"/>
      <c r="C746" s="12"/>
      <c r="D746" s="12"/>
      <c r="E746" s="13"/>
      <c r="F746" s="12"/>
      <c r="G746" s="12"/>
      <c r="H746" s="12"/>
      <c r="I746" s="12"/>
    </row>
    <row r="747" spans="1:15">
      <c r="A747" s="16" t="s">
        <v>52</v>
      </c>
      <c r="B747" s="16"/>
      <c r="C747" s="16"/>
      <c r="D747" s="17"/>
      <c r="E747" s="17"/>
      <c r="F747" s="17"/>
      <c r="G747" s="17"/>
      <c r="H747" s="17"/>
      <c r="I747" s="17"/>
    </row>
    <row r="748" spans="1:15">
      <c r="A748" s="18" t="s">
        <v>219</v>
      </c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5">
      <c r="A749" s="19"/>
      <c r="B749" s="17"/>
      <c r="C749" s="20"/>
      <c r="D749" s="20"/>
      <c r="E749" s="20"/>
      <c r="F749" s="20"/>
      <c r="G749" s="20"/>
      <c r="H749" s="17"/>
      <c r="I749" s="17"/>
    </row>
    <row r="750" spans="1:15">
      <c r="A750" s="169" t="s">
        <v>53</v>
      </c>
      <c r="B750" s="171" t="s">
        <v>54</v>
      </c>
      <c r="C750" s="173" t="s">
        <v>221</v>
      </c>
      <c r="D750" s="174" t="s">
        <v>55</v>
      </c>
      <c r="E750" s="175"/>
      <c r="F750" s="175"/>
      <c r="G750" s="176"/>
      <c r="H750" s="177" t="s">
        <v>56</v>
      </c>
      <c r="I750" s="165" t="s">
        <v>57</v>
      </c>
      <c r="J750" s="17"/>
    </row>
    <row r="751" spans="1:15" ht="28.5" customHeight="1">
      <c r="A751" s="170"/>
      <c r="B751" s="172"/>
      <c r="C751" s="22"/>
      <c r="D751" s="21" t="s">
        <v>24</v>
      </c>
      <c r="E751" s="21" t="s">
        <v>25</v>
      </c>
      <c r="F751" s="22" t="s">
        <v>123</v>
      </c>
      <c r="G751" s="21" t="s">
        <v>58</v>
      </c>
      <c r="H751" s="178"/>
      <c r="I751" s="166"/>
      <c r="J751" s="167" t="s">
        <v>222</v>
      </c>
      <c r="K751" s="143"/>
    </row>
    <row r="752" spans="1:15">
      <c r="A752" s="23"/>
      <c r="B752" s="24" t="s">
        <v>59</v>
      </c>
      <c r="C752" s="25"/>
      <c r="D752" s="25"/>
      <c r="E752" s="25"/>
      <c r="F752" s="25"/>
      <c r="G752" s="25"/>
      <c r="H752" s="25"/>
      <c r="I752" s="26"/>
      <c r="J752" s="168"/>
      <c r="K752" s="143"/>
    </row>
    <row r="753" spans="1:11">
      <c r="A753" s="122" t="s">
        <v>135</v>
      </c>
      <c r="B753" s="127" t="s">
        <v>47</v>
      </c>
      <c r="C753" s="32">
        <f>+C731</f>
        <v>15750</v>
      </c>
      <c r="D753" s="31"/>
      <c r="E753" s="32">
        <f t="shared" ref="E753:E761" si="411">+D731</f>
        <v>1223400</v>
      </c>
      <c r="F753" s="32"/>
      <c r="G753" s="32"/>
      <c r="H753" s="55">
        <f t="shared" ref="H753:H761" si="412">+F731</f>
        <v>45000</v>
      </c>
      <c r="I753" s="32">
        <f t="shared" ref="I753:I761" si="413">+E731</f>
        <v>1184350</v>
      </c>
      <c r="J753" s="30">
        <f t="shared" ref="J753:J754" si="414">+SUM(C753:G753)-(H753+I753)</f>
        <v>9800</v>
      </c>
      <c r="K753" s="144" t="b">
        <f t="shared" ref="K753:K763" si="415">J753=I731</f>
        <v>1</v>
      </c>
    </row>
    <row r="754" spans="1:11">
      <c r="A754" s="122" t="str">
        <f>+A753</f>
        <v>JUIN</v>
      </c>
      <c r="B754" s="127" t="s">
        <v>31</v>
      </c>
      <c r="C754" s="32">
        <f>+C732</f>
        <v>8795</v>
      </c>
      <c r="D754" s="31"/>
      <c r="E754" s="32">
        <f t="shared" si="411"/>
        <v>248000</v>
      </c>
      <c r="F754" s="32"/>
      <c r="G754" s="32"/>
      <c r="H754" s="55">
        <f t="shared" si="412"/>
        <v>0</v>
      </c>
      <c r="I754" s="32">
        <f t="shared" si="413"/>
        <v>254500</v>
      </c>
      <c r="J754" s="101">
        <f t="shared" si="414"/>
        <v>2295</v>
      </c>
      <c r="K754" s="144" t="b">
        <f t="shared" si="415"/>
        <v>1</v>
      </c>
    </row>
    <row r="755" spans="1:11">
      <c r="A755" s="122" t="str">
        <f t="shared" ref="A755:A756" si="416">+A754</f>
        <v>JUIN</v>
      </c>
      <c r="B755" s="129" t="s">
        <v>84</v>
      </c>
      <c r="C755" s="120">
        <f>+C733</f>
        <v>233614</v>
      </c>
      <c r="D755" s="123"/>
      <c r="E755" s="120">
        <f t="shared" si="411"/>
        <v>0</v>
      </c>
      <c r="F755" s="137"/>
      <c r="G755" s="137"/>
      <c r="H755" s="155">
        <f t="shared" si="412"/>
        <v>0</v>
      </c>
      <c r="I755" s="120">
        <f t="shared" si="413"/>
        <v>0</v>
      </c>
      <c r="J755" s="121">
        <f>+SUM(C755:G755)-(H755+I755)</f>
        <v>233614</v>
      </c>
      <c r="K755" s="144" t="b">
        <f t="shared" si="415"/>
        <v>1</v>
      </c>
    </row>
    <row r="756" spans="1:11">
      <c r="A756" s="122" t="str">
        <f t="shared" si="416"/>
        <v>JUIN</v>
      </c>
      <c r="B756" s="129" t="s">
        <v>83</v>
      </c>
      <c r="C756" s="120">
        <f>+C734</f>
        <v>249769</v>
      </c>
      <c r="D756" s="123"/>
      <c r="E756" s="120">
        <f t="shared" si="411"/>
        <v>0</v>
      </c>
      <c r="F756" s="137"/>
      <c r="G756" s="137"/>
      <c r="H756" s="155">
        <f t="shared" si="412"/>
        <v>0</v>
      </c>
      <c r="I756" s="120">
        <f t="shared" si="413"/>
        <v>0</v>
      </c>
      <c r="J756" s="121">
        <f t="shared" ref="J756:J763" si="417">+SUM(C756:G756)-(H756+I756)</f>
        <v>249769</v>
      </c>
      <c r="K756" s="144" t="b">
        <f t="shared" si="415"/>
        <v>1</v>
      </c>
    </row>
    <row r="757" spans="1:11">
      <c r="A757" s="122" t="str">
        <f t="shared" ref="A757:A759" si="418">+A756</f>
        <v>JUIN</v>
      </c>
      <c r="B757" s="127" t="s">
        <v>143</v>
      </c>
      <c r="C757" s="32">
        <f>+C735</f>
        <v>14700</v>
      </c>
      <c r="D757" s="31"/>
      <c r="E757" s="32">
        <f t="shared" si="411"/>
        <v>994000</v>
      </c>
      <c r="F757" s="32"/>
      <c r="G757" s="104"/>
      <c r="H757" s="55">
        <f t="shared" si="412"/>
        <v>760000</v>
      </c>
      <c r="I757" s="32">
        <f t="shared" si="413"/>
        <v>220100</v>
      </c>
      <c r="J757" s="30">
        <f t="shared" si="417"/>
        <v>28600</v>
      </c>
      <c r="K757" s="144" t="b">
        <f t="shared" si="415"/>
        <v>1</v>
      </c>
    </row>
    <row r="758" spans="1:11">
      <c r="A758" s="122" t="str">
        <f t="shared" si="418"/>
        <v>JUIN</v>
      </c>
      <c r="B758" s="127" t="s">
        <v>197</v>
      </c>
      <c r="C758" s="32">
        <f t="shared" ref="C758:C761" si="419">+C736</f>
        <v>46950</v>
      </c>
      <c r="D758" s="31"/>
      <c r="E758" s="32">
        <f t="shared" si="411"/>
        <v>254000</v>
      </c>
      <c r="F758" s="32"/>
      <c r="G758" s="104"/>
      <c r="H758" s="55">
        <f t="shared" si="412"/>
        <v>37450</v>
      </c>
      <c r="I758" s="32">
        <f t="shared" si="413"/>
        <v>245500</v>
      </c>
      <c r="J758" s="30">
        <f t="shared" si="417"/>
        <v>18000</v>
      </c>
      <c r="K758" s="144" t="b">
        <f t="shared" si="415"/>
        <v>1</v>
      </c>
    </row>
    <row r="759" spans="1:11">
      <c r="A759" s="122" t="str">
        <f t="shared" si="418"/>
        <v>JUIN</v>
      </c>
      <c r="B759" s="127" t="s">
        <v>30</v>
      </c>
      <c r="C759" s="32">
        <f t="shared" si="419"/>
        <v>112050</v>
      </c>
      <c r="D759" s="31"/>
      <c r="E759" s="32">
        <f t="shared" si="411"/>
        <v>584000</v>
      </c>
      <c r="F759" s="32"/>
      <c r="G759" s="104"/>
      <c r="H759" s="55">
        <f t="shared" si="412"/>
        <v>0</v>
      </c>
      <c r="I759" s="32">
        <f t="shared" si="413"/>
        <v>434000</v>
      </c>
      <c r="J759" s="30">
        <f t="shared" si="417"/>
        <v>262050</v>
      </c>
      <c r="K759" s="144" t="b">
        <f t="shared" si="415"/>
        <v>1</v>
      </c>
    </row>
    <row r="760" spans="1:11">
      <c r="A760" s="122" t="str">
        <f>+A758</f>
        <v>JUIN</v>
      </c>
      <c r="B760" s="127" t="s">
        <v>93</v>
      </c>
      <c r="C760" s="32">
        <f t="shared" si="419"/>
        <v>2900</v>
      </c>
      <c r="D760" s="31"/>
      <c r="E760" s="32">
        <f t="shared" si="411"/>
        <v>40000</v>
      </c>
      <c r="F760" s="32"/>
      <c r="G760" s="104"/>
      <c r="H760" s="55">
        <f t="shared" si="412"/>
        <v>0</v>
      </c>
      <c r="I760" s="32">
        <f t="shared" si="413"/>
        <v>31000</v>
      </c>
      <c r="J760" s="30">
        <f t="shared" si="417"/>
        <v>11900</v>
      </c>
      <c r="K760" s="144" t="b">
        <f t="shared" si="415"/>
        <v>1</v>
      </c>
    </row>
    <row r="761" spans="1:11">
      <c r="A761" s="122" t="str">
        <f>+A759</f>
        <v>JUIN</v>
      </c>
      <c r="B761" s="127" t="s">
        <v>29</v>
      </c>
      <c r="C761" s="32">
        <f t="shared" si="419"/>
        <v>140700</v>
      </c>
      <c r="D761" s="31"/>
      <c r="E761" s="32">
        <f t="shared" si="411"/>
        <v>638000</v>
      </c>
      <c r="F761" s="32"/>
      <c r="G761" s="104"/>
      <c r="H761" s="55">
        <f t="shared" si="412"/>
        <v>50000</v>
      </c>
      <c r="I761" s="32">
        <f t="shared" si="413"/>
        <v>507650</v>
      </c>
      <c r="J761" s="30">
        <f t="shared" si="417"/>
        <v>221050</v>
      </c>
      <c r="K761" s="144" t="b">
        <f t="shared" si="415"/>
        <v>1</v>
      </c>
    </row>
    <row r="762" spans="1:11">
      <c r="A762" s="122" t="str">
        <f>+A760</f>
        <v>JUIN</v>
      </c>
      <c r="B762" s="128" t="s">
        <v>113</v>
      </c>
      <c r="C762" s="32">
        <f t="shared" ref="C762:C763" si="420">+C740</f>
        <v>2241</v>
      </c>
      <c r="D762" s="119"/>
      <c r="E762" s="32">
        <f t="shared" ref="E762:E763" si="421">+D740</f>
        <v>0</v>
      </c>
      <c r="F762" s="51"/>
      <c r="G762" s="138"/>
      <c r="H762" s="55">
        <f t="shared" ref="H762:H763" si="422">+F740</f>
        <v>0</v>
      </c>
      <c r="I762" s="32">
        <f t="shared" ref="I762:I763" si="423">+E740</f>
        <v>6200</v>
      </c>
      <c r="J762" s="30">
        <f t="shared" si="417"/>
        <v>-3959</v>
      </c>
      <c r="K762" s="144" t="b">
        <f t="shared" si="415"/>
        <v>1</v>
      </c>
    </row>
    <row r="763" spans="1:11">
      <c r="A763" s="122" t="str">
        <f>+A761</f>
        <v>JUIN</v>
      </c>
      <c r="B763" s="128" t="s">
        <v>212</v>
      </c>
      <c r="C763" s="32">
        <f t="shared" si="420"/>
        <v>10500</v>
      </c>
      <c r="D763" s="119"/>
      <c r="E763" s="32">
        <f t="shared" si="421"/>
        <v>368000</v>
      </c>
      <c r="F763" s="51"/>
      <c r="G763" s="138"/>
      <c r="H763" s="55">
        <f t="shared" si="422"/>
        <v>40000</v>
      </c>
      <c r="I763" s="32">
        <f t="shared" si="423"/>
        <v>243500</v>
      </c>
      <c r="J763" s="30">
        <f t="shared" si="417"/>
        <v>95000</v>
      </c>
      <c r="K763" s="144" t="b">
        <f t="shared" si="415"/>
        <v>1</v>
      </c>
    </row>
    <row r="764" spans="1:11">
      <c r="A764" s="34" t="s">
        <v>60</v>
      </c>
      <c r="B764" s="35"/>
      <c r="C764" s="35"/>
      <c r="D764" s="35"/>
      <c r="E764" s="35"/>
      <c r="F764" s="35"/>
      <c r="G764" s="35"/>
      <c r="H764" s="35"/>
      <c r="I764" s="35"/>
      <c r="J764" s="36"/>
      <c r="K764" s="143"/>
    </row>
    <row r="765" spans="1:11">
      <c r="A765" s="122" t="str">
        <f>+A763</f>
        <v>JUIN</v>
      </c>
      <c r="B765" s="37" t="s">
        <v>61</v>
      </c>
      <c r="C765" s="38">
        <f>+C730</f>
        <v>1700406</v>
      </c>
      <c r="D765" s="49"/>
      <c r="E765" s="49">
        <f>D730</f>
        <v>6172450</v>
      </c>
      <c r="F765" s="49"/>
      <c r="G765" s="125"/>
      <c r="H765" s="51">
        <f>+F730</f>
        <v>3589400</v>
      </c>
      <c r="I765" s="126">
        <f>+E730</f>
        <v>2587130</v>
      </c>
      <c r="J765" s="30">
        <f>+SUM(C765:G765)-(H765+I765)</f>
        <v>1696326</v>
      </c>
      <c r="K765" s="144" t="b">
        <f>J765=I730</f>
        <v>1</v>
      </c>
    </row>
    <row r="766" spans="1:11">
      <c r="A766" s="43" t="s">
        <v>62</v>
      </c>
      <c r="B766" s="24"/>
      <c r="C766" s="35"/>
      <c r="D766" s="24"/>
      <c r="E766" s="24"/>
      <c r="F766" s="24"/>
      <c r="G766" s="24"/>
      <c r="H766" s="24"/>
      <c r="I766" s="24"/>
      <c r="J766" s="36"/>
      <c r="K766" s="143"/>
    </row>
    <row r="767" spans="1:11">
      <c r="A767" s="122" t="str">
        <f>+A765</f>
        <v>JUIN</v>
      </c>
      <c r="B767" s="37" t="s">
        <v>156</v>
      </c>
      <c r="C767" s="125">
        <f>+C728</f>
        <v>8575038</v>
      </c>
      <c r="D767" s="132">
        <f>+G728</f>
        <v>0</v>
      </c>
      <c r="E767" s="49"/>
      <c r="F767" s="49"/>
      <c r="G767" s="49"/>
      <c r="H767" s="51">
        <f>+F728</f>
        <v>4000000</v>
      </c>
      <c r="I767" s="53">
        <f>+E728</f>
        <v>283345</v>
      </c>
      <c r="J767" s="30">
        <f>+SUM(C767:G767)-(H767+I767)</f>
        <v>4291693</v>
      </c>
      <c r="K767" s="144" t="b">
        <f>+J767=I728</f>
        <v>1</v>
      </c>
    </row>
    <row r="768" spans="1:11">
      <c r="A768" s="122" t="str">
        <f t="shared" ref="A768" si="424">+A767</f>
        <v>JUIN</v>
      </c>
      <c r="B768" s="37" t="s">
        <v>64</v>
      </c>
      <c r="C768" s="125">
        <f>+C729</f>
        <v>12231533</v>
      </c>
      <c r="D768" s="49">
        <f>+G729</f>
        <v>0</v>
      </c>
      <c r="E768" s="48"/>
      <c r="F768" s="48"/>
      <c r="G768" s="48"/>
      <c r="H768" s="32">
        <f>+F729</f>
        <v>2000000</v>
      </c>
      <c r="I768" s="50">
        <f>+E729</f>
        <v>5378906</v>
      </c>
      <c r="J768" s="30">
        <f>SUM(C768:G768)-(H768+I768)</f>
        <v>4852627</v>
      </c>
      <c r="K768" s="144" t="b">
        <f>+J768=I729</f>
        <v>1</v>
      </c>
    </row>
    <row r="769" spans="1:16" ht="15.75">
      <c r="C769" s="141">
        <f>SUM(C753:C768)</f>
        <v>23344946</v>
      </c>
      <c r="I769" s="140">
        <f>SUM(I753:I768)</f>
        <v>11376181</v>
      </c>
      <c r="J769" s="105">
        <f>+SUM(J753:J768)</f>
        <v>11968765</v>
      </c>
      <c r="K769" s="5" t="b">
        <f>J769=I742</f>
        <v>1</v>
      </c>
    </row>
    <row r="770" spans="1:16" ht="15.75">
      <c r="A770" s="160"/>
      <c r="B770" s="160"/>
      <c r="C770" s="161"/>
      <c r="D770" s="160"/>
      <c r="E770" s="160"/>
      <c r="F770" s="160"/>
      <c r="G770" s="160"/>
      <c r="H770" s="160"/>
      <c r="I770" s="162"/>
      <c r="J770" s="163"/>
      <c r="K770" s="160"/>
      <c r="L770" s="164"/>
      <c r="M770" s="164"/>
      <c r="N770" s="164"/>
      <c r="O770" s="164"/>
      <c r="P770" s="160"/>
    </row>
    <row r="772" spans="1:16" ht="15.75">
      <c r="A772" s="6" t="s">
        <v>36</v>
      </c>
      <c r="B772" s="6" t="s">
        <v>1</v>
      </c>
      <c r="C772" s="6">
        <v>44682</v>
      </c>
      <c r="D772" s="7" t="s">
        <v>37</v>
      </c>
      <c r="E772" s="7" t="s">
        <v>38</v>
      </c>
      <c r="F772" s="7" t="s">
        <v>39</v>
      </c>
      <c r="G772" s="7" t="s">
        <v>40</v>
      </c>
      <c r="H772" s="6">
        <v>44712</v>
      </c>
      <c r="I772" s="7" t="s">
        <v>41</v>
      </c>
      <c r="K772" s="45"/>
      <c r="L772" s="45" t="s">
        <v>42</v>
      </c>
      <c r="M772" s="45" t="s">
        <v>43</v>
      </c>
      <c r="N772" s="45" t="s">
        <v>44</v>
      </c>
      <c r="O772" s="45" t="s">
        <v>45</v>
      </c>
    </row>
    <row r="773" spans="1:16" ht="16.5">
      <c r="A773" s="58" t="str">
        <f>K773</f>
        <v>BCI</v>
      </c>
      <c r="B773" s="59" t="s">
        <v>46</v>
      </c>
      <c r="C773" s="61">
        <v>4154435</v>
      </c>
      <c r="D773" s="61">
        <f>+L773</f>
        <v>0</v>
      </c>
      <c r="E773" s="61">
        <f>+N773</f>
        <v>543345</v>
      </c>
      <c r="F773" s="61">
        <f>+M773</f>
        <v>7000000</v>
      </c>
      <c r="G773" s="61">
        <f t="shared" ref="G773:G784" si="425">+O773</f>
        <v>11963948</v>
      </c>
      <c r="H773" s="61">
        <v>8575038</v>
      </c>
      <c r="I773" s="61">
        <f>+C773+D773-E773-F773+G773</f>
        <v>8575038</v>
      </c>
      <c r="J773" s="9">
        <f>I773-H773</f>
        <v>0</v>
      </c>
      <c r="K773" s="45" t="s">
        <v>24</v>
      </c>
      <c r="L773" s="47">
        <v>0</v>
      </c>
      <c r="M773" s="47">
        <v>7000000</v>
      </c>
      <c r="N773" s="47">
        <v>543345</v>
      </c>
      <c r="O773" s="47">
        <v>11963948</v>
      </c>
    </row>
    <row r="774" spans="1:16" ht="16.5">
      <c r="A774" s="58" t="str">
        <f t="shared" ref="A774:A787" si="426">K774</f>
        <v>BCI-Sous Compte</v>
      </c>
      <c r="B774" s="59" t="s">
        <v>46</v>
      </c>
      <c r="C774" s="61">
        <v>16450956</v>
      </c>
      <c r="D774" s="61">
        <f t="shared" ref="D774:D787" si="427">+L774</f>
        <v>0</v>
      </c>
      <c r="E774" s="61">
        <f t="shared" ref="E774:E787" si="428">+N774</f>
        <v>4219423</v>
      </c>
      <c r="F774" s="61">
        <f t="shared" ref="F774:F787" si="429">+M774</f>
        <v>0</v>
      </c>
      <c r="G774" s="61">
        <f t="shared" si="425"/>
        <v>0</v>
      </c>
      <c r="H774" s="61">
        <v>12231533</v>
      </c>
      <c r="I774" s="61">
        <f>+C774+D774-E774-F774+G774</f>
        <v>12231533</v>
      </c>
      <c r="J774" s="9">
        <f t="shared" ref="J774:J781" si="430">I774-H774</f>
        <v>0</v>
      </c>
      <c r="K774" s="45" t="s">
        <v>148</v>
      </c>
      <c r="L774" s="47">
        <v>0</v>
      </c>
      <c r="M774" s="47">
        <v>0</v>
      </c>
      <c r="N774" s="47">
        <v>4219423</v>
      </c>
      <c r="O774" s="47">
        <v>0</v>
      </c>
    </row>
    <row r="775" spans="1:16" ht="16.5">
      <c r="A775" s="58" t="str">
        <f t="shared" si="426"/>
        <v>Caisse</v>
      </c>
      <c r="B775" s="59" t="s">
        <v>25</v>
      </c>
      <c r="C775" s="61">
        <v>963113</v>
      </c>
      <c r="D775" s="61">
        <f t="shared" si="427"/>
        <v>7684335</v>
      </c>
      <c r="E775" s="61">
        <f t="shared" si="428"/>
        <v>2033042</v>
      </c>
      <c r="F775" s="61">
        <f t="shared" si="429"/>
        <v>4914000</v>
      </c>
      <c r="G775" s="61">
        <f t="shared" si="425"/>
        <v>0</v>
      </c>
      <c r="H775" s="61">
        <v>1700406</v>
      </c>
      <c r="I775" s="61">
        <f>+C775+D775-E775-F775+G775</f>
        <v>1700406</v>
      </c>
      <c r="J775" s="102">
        <f t="shared" si="430"/>
        <v>0</v>
      </c>
      <c r="K775" s="45" t="s">
        <v>25</v>
      </c>
      <c r="L775" s="47">
        <v>7684335</v>
      </c>
      <c r="M775" s="47">
        <v>4914000</v>
      </c>
      <c r="N775" s="47">
        <v>2033042</v>
      </c>
      <c r="O775" s="47">
        <v>0</v>
      </c>
    </row>
    <row r="776" spans="1:16" ht="16.5">
      <c r="A776" s="58" t="str">
        <f t="shared" si="426"/>
        <v>Crépin</v>
      </c>
      <c r="B776" s="59" t="s">
        <v>154</v>
      </c>
      <c r="C776" s="61">
        <v>21850</v>
      </c>
      <c r="D776" s="61">
        <f t="shared" si="427"/>
        <v>1282000</v>
      </c>
      <c r="E776" s="61">
        <f t="shared" si="428"/>
        <v>1288100</v>
      </c>
      <c r="F776" s="61">
        <f t="shared" si="429"/>
        <v>0</v>
      </c>
      <c r="G776" s="61">
        <f t="shared" si="425"/>
        <v>0</v>
      </c>
      <c r="H776" s="61">
        <v>15750</v>
      </c>
      <c r="I776" s="61">
        <f>+C776+D776-E776-F776+G776</f>
        <v>15750</v>
      </c>
      <c r="J776" s="9">
        <f t="shared" si="430"/>
        <v>0</v>
      </c>
      <c r="K776" s="45" t="s">
        <v>47</v>
      </c>
      <c r="L776" s="47">
        <v>1282000</v>
      </c>
      <c r="M776" s="47">
        <v>0</v>
      </c>
      <c r="N776" s="47">
        <v>1288100</v>
      </c>
      <c r="O776" s="47">
        <v>0</v>
      </c>
    </row>
    <row r="777" spans="1:16" ht="16.5">
      <c r="A777" s="58" t="str">
        <f t="shared" si="426"/>
        <v>Evariste</v>
      </c>
      <c r="B777" s="59" t="s">
        <v>155</v>
      </c>
      <c r="C777" s="61">
        <v>7995</v>
      </c>
      <c r="D777" s="61">
        <f t="shared" si="427"/>
        <v>262000</v>
      </c>
      <c r="E777" s="61">
        <f t="shared" si="428"/>
        <v>261200</v>
      </c>
      <c r="F777" s="61">
        <f t="shared" si="429"/>
        <v>0</v>
      </c>
      <c r="G777" s="61">
        <f t="shared" si="425"/>
        <v>0</v>
      </c>
      <c r="H777" s="61">
        <v>8795</v>
      </c>
      <c r="I777" s="61">
        <f t="shared" ref="I777" si="431">+C777+D777-E777-F777+G777</f>
        <v>8795</v>
      </c>
      <c r="J777" s="9">
        <f t="shared" si="430"/>
        <v>0</v>
      </c>
      <c r="K777" s="45" t="s">
        <v>31</v>
      </c>
      <c r="L777" s="47">
        <v>262000</v>
      </c>
      <c r="M777" s="47">
        <v>0</v>
      </c>
      <c r="N777" s="47">
        <v>261200</v>
      </c>
      <c r="O777" s="47">
        <v>0</v>
      </c>
    </row>
    <row r="778" spans="1:16" ht="16.5">
      <c r="A778" s="58" t="str">
        <f t="shared" si="426"/>
        <v>Godfré</v>
      </c>
      <c r="B778" s="59" t="s">
        <v>154</v>
      </c>
      <c r="C778" s="61">
        <v>156335</v>
      </c>
      <c r="D778" s="61">
        <f t="shared" si="427"/>
        <v>307000</v>
      </c>
      <c r="E778" s="61">
        <f t="shared" si="428"/>
        <v>308500</v>
      </c>
      <c r="F778" s="61">
        <f t="shared" si="429"/>
        <v>154835</v>
      </c>
      <c r="G778" s="61">
        <f t="shared" si="425"/>
        <v>0</v>
      </c>
      <c r="H778" s="61">
        <v>0</v>
      </c>
      <c r="I778" s="61">
        <f>+C778+D778-E778-F778+G778</f>
        <v>0</v>
      </c>
      <c r="J778" s="9">
        <f t="shared" si="430"/>
        <v>0</v>
      </c>
      <c r="K778" s="45" t="s">
        <v>144</v>
      </c>
      <c r="L778" s="47">
        <v>307000</v>
      </c>
      <c r="M778" s="47">
        <v>154835</v>
      </c>
      <c r="N778" s="47">
        <v>308500</v>
      </c>
      <c r="O778" s="47">
        <v>0</v>
      </c>
    </row>
    <row r="779" spans="1:16" ht="16.5">
      <c r="A779" s="58" t="str">
        <f t="shared" si="426"/>
        <v>I55S</v>
      </c>
      <c r="B779" s="116" t="s">
        <v>4</v>
      </c>
      <c r="C779" s="118">
        <v>233614</v>
      </c>
      <c r="D779" s="118">
        <f t="shared" si="427"/>
        <v>0</v>
      </c>
      <c r="E779" s="118">
        <f t="shared" si="428"/>
        <v>0</v>
      </c>
      <c r="F779" s="118">
        <f t="shared" si="429"/>
        <v>0</v>
      </c>
      <c r="G779" s="118">
        <f t="shared" si="425"/>
        <v>0</v>
      </c>
      <c r="H779" s="118">
        <v>233614</v>
      </c>
      <c r="I779" s="118">
        <f>+C779+D779-E779-F779+G779</f>
        <v>233614</v>
      </c>
      <c r="J779" s="9">
        <f t="shared" si="430"/>
        <v>0</v>
      </c>
      <c r="K779" s="45" t="s">
        <v>84</v>
      </c>
      <c r="L779" s="47">
        <v>0</v>
      </c>
      <c r="M779" s="47">
        <v>0</v>
      </c>
      <c r="N779" s="47">
        <v>0</v>
      </c>
      <c r="O779" s="47">
        <v>0</v>
      </c>
    </row>
    <row r="780" spans="1:16" ht="16.5">
      <c r="A780" s="58" t="str">
        <f t="shared" si="426"/>
        <v>I73X</v>
      </c>
      <c r="B780" s="116" t="s">
        <v>4</v>
      </c>
      <c r="C780" s="118">
        <v>249769</v>
      </c>
      <c r="D780" s="118">
        <f t="shared" si="427"/>
        <v>0</v>
      </c>
      <c r="E780" s="118">
        <f t="shared" si="428"/>
        <v>0</v>
      </c>
      <c r="F780" s="118">
        <f t="shared" si="429"/>
        <v>0</v>
      </c>
      <c r="G780" s="118">
        <f t="shared" si="425"/>
        <v>0</v>
      </c>
      <c r="H780" s="118">
        <v>249769</v>
      </c>
      <c r="I780" s="118">
        <f t="shared" ref="I780:I783" si="432">+C780+D780-E780-F780+G780</f>
        <v>249769</v>
      </c>
      <c r="J780" s="9">
        <f t="shared" si="430"/>
        <v>0</v>
      </c>
      <c r="K780" s="45" t="s">
        <v>83</v>
      </c>
      <c r="L780" s="47">
        <v>0</v>
      </c>
      <c r="M780" s="47">
        <v>0</v>
      </c>
      <c r="N780" s="47">
        <v>0</v>
      </c>
      <c r="O780" s="47">
        <v>0</v>
      </c>
    </row>
    <row r="781" spans="1:16" ht="16.5">
      <c r="A781" s="58" t="str">
        <f t="shared" si="426"/>
        <v>Grace</v>
      </c>
      <c r="B781" s="98" t="s">
        <v>2</v>
      </c>
      <c r="C781" s="61">
        <v>10200</v>
      </c>
      <c r="D781" s="61">
        <f t="shared" si="427"/>
        <v>25000</v>
      </c>
      <c r="E781" s="61">
        <f t="shared" si="428"/>
        <v>20500</v>
      </c>
      <c r="F781" s="61">
        <f t="shared" si="429"/>
        <v>0</v>
      </c>
      <c r="G781" s="61">
        <f t="shared" si="425"/>
        <v>0</v>
      </c>
      <c r="H781" s="61">
        <v>14700</v>
      </c>
      <c r="I781" s="61">
        <f t="shared" si="432"/>
        <v>14700</v>
      </c>
      <c r="J781" s="9">
        <f t="shared" si="430"/>
        <v>0</v>
      </c>
      <c r="K781" s="45" t="s">
        <v>143</v>
      </c>
      <c r="L781" s="47">
        <v>25000</v>
      </c>
      <c r="M781" s="47">
        <v>0</v>
      </c>
      <c r="N781" s="47">
        <v>20500</v>
      </c>
      <c r="O781" s="47">
        <v>0</v>
      </c>
    </row>
    <row r="782" spans="1:16" ht="16.5">
      <c r="A782" s="58" t="str">
        <f t="shared" si="426"/>
        <v>Hurielle</v>
      </c>
      <c r="B782" s="59" t="s">
        <v>154</v>
      </c>
      <c r="C782" s="61">
        <v>43500</v>
      </c>
      <c r="D782" s="61">
        <f t="shared" si="427"/>
        <v>701000</v>
      </c>
      <c r="E782" s="61">
        <f t="shared" si="428"/>
        <v>697550</v>
      </c>
      <c r="F782" s="61">
        <f t="shared" si="429"/>
        <v>0</v>
      </c>
      <c r="G782" s="61">
        <f t="shared" si="425"/>
        <v>0</v>
      </c>
      <c r="H782" s="61">
        <v>46950</v>
      </c>
      <c r="I782" s="61">
        <f t="shared" si="432"/>
        <v>46950</v>
      </c>
      <c r="J782" s="9">
        <f>I782-H782</f>
        <v>0</v>
      </c>
      <c r="K782" s="45" t="s">
        <v>197</v>
      </c>
      <c r="L782" s="47">
        <v>701000</v>
      </c>
      <c r="M782" s="47">
        <v>0</v>
      </c>
      <c r="N782" s="47">
        <v>697550</v>
      </c>
      <c r="O782" s="47">
        <v>0</v>
      </c>
    </row>
    <row r="783" spans="1:16" ht="16.5">
      <c r="A783" s="58" t="str">
        <f t="shared" si="426"/>
        <v>I23C</v>
      </c>
      <c r="B783" s="98" t="s">
        <v>4</v>
      </c>
      <c r="C783" s="61">
        <v>177550</v>
      </c>
      <c r="D783" s="61">
        <f t="shared" si="427"/>
        <v>969000</v>
      </c>
      <c r="E783" s="61">
        <f t="shared" si="428"/>
        <v>814500</v>
      </c>
      <c r="F783" s="61">
        <f t="shared" si="429"/>
        <v>220000</v>
      </c>
      <c r="G783" s="61">
        <f t="shared" si="425"/>
        <v>0</v>
      </c>
      <c r="H783" s="61">
        <v>112050</v>
      </c>
      <c r="I783" s="61">
        <f t="shared" si="432"/>
        <v>112050</v>
      </c>
      <c r="J783" s="9">
        <f t="shared" ref="J783:J784" si="433">I783-H783</f>
        <v>0</v>
      </c>
      <c r="K783" s="45" t="s">
        <v>30</v>
      </c>
      <c r="L783" s="47">
        <v>969000</v>
      </c>
      <c r="M783" s="47">
        <v>220000</v>
      </c>
      <c r="N783" s="47">
        <v>814500</v>
      </c>
      <c r="O783" s="47">
        <v>0</v>
      </c>
    </row>
    <row r="784" spans="1:16" ht="16.5">
      <c r="A784" s="58" t="str">
        <f t="shared" si="426"/>
        <v>Merveille</v>
      </c>
      <c r="B784" s="59" t="s">
        <v>2</v>
      </c>
      <c r="C784" s="61">
        <v>4400</v>
      </c>
      <c r="D784" s="61">
        <f t="shared" si="427"/>
        <v>170000</v>
      </c>
      <c r="E784" s="61">
        <f t="shared" si="428"/>
        <v>161500</v>
      </c>
      <c r="F784" s="61">
        <f t="shared" si="429"/>
        <v>10000</v>
      </c>
      <c r="G784" s="61">
        <f t="shared" si="425"/>
        <v>0</v>
      </c>
      <c r="H784" s="61">
        <v>2900</v>
      </c>
      <c r="I784" s="61">
        <f>+C784+D784-E784-F784+G784</f>
        <v>2900</v>
      </c>
      <c r="J784" s="9">
        <f t="shared" si="433"/>
        <v>0</v>
      </c>
      <c r="K784" s="45" t="s">
        <v>93</v>
      </c>
      <c r="L784" s="47">
        <v>170000</v>
      </c>
      <c r="M784" s="47">
        <v>10000</v>
      </c>
      <c r="N784" s="47">
        <v>161500</v>
      </c>
      <c r="O784" s="47">
        <v>0</v>
      </c>
    </row>
    <row r="785" spans="1:15" ht="16.5">
      <c r="A785" s="58" t="str">
        <f t="shared" si="426"/>
        <v>P29</v>
      </c>
      <c r="B785" s="59" t="s">
        <v>4</v>
      </c>
      <c r="C785" s="61">
        <v>294700</v>
      </c>
      <c r="D785" s="61">
        <f t="shared" si="427"/>
        <v>671000</v>
      </c>
      <c r="E785" s="61">
        <f t="shared" si="428"/>
        <v>525000</v>
      </c>
      <c r="F785" s="61">
        <f t="shared" si="429"/>
        <v>300000</v>
      </c>
      <c r="G785" s="61">
        <f>+O785</f>
        <v>0</v>
      </c>
      <c r="H785" s="61">
        <v>140700</v>
      </c>
      <c r="I785" s="61">
        <f>+C785+D785-E785-F785+G785</f>
        <v>140700</v>
      </c>
      <c r="J785" s="9">
        <f>I785-H785</f>
        <v>0</v>
      </c>
      <c r="K785" s="45" t="s">
        <v>29</v>
      </c>
      <c r="L785" s="47">
        <v>671000</v>
      </c>
      <c r="M785" s="47">
        <v>300000</v>
      </c>
      <c r="N785" s="47">
        <v>525000</v>
      </c>
      <c r="O785" s="47">
        <v>0</v>
      </c>
    </row>
    <row r="786" spans="1:15" ht="16.5">
      <c r="A786" s="58" t="str">
        <f t="shared" si="426"/>
        <v>Paule</v>
      </c>
      <c r="B786" s="59" t="s">
        <v>154</v>
      </c>
      <c r="C786" s="61">
        <v>13500</v>
      </c>
      <c r="D786" s="61">
        <f t="shared" si="427"/>
        <v>85000</v>
      </c>
      <c r="E786" s="61">
        <f t="shared" si="428"/>
        <v>89000</v>
      </c>
      <c r="F786" s="61">
        <f t="shared" si="429"/>
        <v>9500</v>
      </c>
      <c r="G786" s="61">
        <f>+O786</f>
        <v>0</v>
      </c>
      <c r="H786" s="61">
        <v>0</v>
      </c>
      <c r="I786" s="61">
        <f>+C786+D786-E786-F786+G786</f>
        <v>0</v>
      </c>
      <c r="J786" s="9">
        <f>I786-H786</f>
        <v>0</v>
      </c>
      <c r="K786" s="45" t="s">
        <v>196</v>
      </c>
      <c r="L786" s="47">
        <v>85000</v>
      </c>
      <c r="M786" s="47">
        <v>9500</v>
      </c>
      <c r="N786" s="47">
        <v>89000</v>
      </c>
      <c r="O786" s="47">
        <v>0</v>
      </c>
    </row>
    <row r="787" spans="1:15" ht="16.5">
      <c r="A787" s="58" t="str">
        <f t="shared" si="426"/>
        <v>Tiffany</v>
      </c>
      <c r="B787" s="59" t="s">
        <v>2</v>
      </c>
      <c r="C787" s="61">
        <v>-7259</v>
      </c>
      <c r="D787" s="61">
        <f t="shared" si="427"/>
        <v>329000</v>
      </c>
      <c r="E787" s="61">
        <f t="shared" si="428"/>
        <v>93500</v>
      </c>
      <c r="F787" s="61">
        <f t="shared" si="429"/>
        <v>226000</v>
      </c>
      <c r="G787" s="61">
        <f t="shared" ref="G787" si="434">+O787</f>
        <v>0</v>
      </c>
      <c r="H787" s="61">
        <v>2241</v>
      </c>
      <c r="I787" s="61">
        <f t="shared" ref="I787" si="435">+C787+D787-E787-F787+G787</f>
        <v>2241</v>
      </c>
      <c r="J787" s="9">
        <f t="shared" ref="J787" si="436">I787-H787</f>
        <v>0</v>
      </c>
      <c r="K787" s="45" t="s">
        <v>113</v>
      </c>
      <c r="L787" s="47">
        <v>329000</v>
      </c>
      <c r="M787" s="47">
        <v>226000</v>
      </c>
      <c r="N787" s="47">
        <v>93500</v>
      </c>
      <c r="O787" s="47">
        <v>0</v>
      </c>
    </row>
    <row r="788" spans="1:15" ht="16.5">
      <c r="A788" s="58" t="str">
        <f t="shared" ref="A788" si="437">K788</f>
        <v>Yan</v>
      </c>
      <c r="B788" s="59" t="s">
        <v>154</v>
      </c>
      <c r="C788" s="61">
        <v>0</v>
      </c>
      <c r="D788" s="61">
        <f t="shared" ref="D788" si="438">+L788</f>
        <v>349000</v>
      </c>
      <c r="E788" s="61">
        <f t="shared" ref="E788" si="439">+N788</f>
        <v>338500</v>
      </c>
      <c r="F788" s="61">
        <f t="shared" ref="F788" si="440">+M788</f>
        <v>0</v>
      </c>
      <c r="G788" s="61">
        <f t="shared" ref="G788" si="441">+O788</f>
        <v>0</v>
      </c>
      <c r="H788" s="61">
        <v>10500</v>
      </c>
      <c r="I788" s="61">
        <f>+C788+D788-E788-F788+G788</f>
        <v>10500</v>
      </c>
      <c r="J788" s="9">
        <f>I788-H788</f>
        <v>0</v>
      </c>
      <c r="K788" s="45" t="s">
        <v>212</v>
      </c>
      <c r="L788" s="47">
        <v>349000</v>
      </c>
      <c r="M788" s="47">
        <v>0</v>
      </c>
      <c r="N788" s="47">
        <v>338500</v>
      </c>
      <c r="O788" s="47">
        <v>0</v>
      </c>
    </row>
    <row r="789" spans="1:15" ht="16.5">
      <c r="A789" s="10" t="s">
        <v>50</v>
      </c>
      <c r="B789" s="11"/>
      <c r="C789" s="12">
        <f t="shared" ref="C789:I789" si="442">SUM(C773:C788)</f>
        <v>22774658</v>
      </c>
      <c r="D789" s="57">
        <f t="shared" si="442"/>
        <v>12834335</v>
      </c>
      <c r="E789" s="57">
        <f t="shared" si="442"/>
        <v>11393660</v>
      </c>
      <c r="F789" s="57">
        <f t="shared" si="442"/>
        <v>12834335</v>
      </c>
      <c r="G789" s="57">
        <f t="shared" si="442"/>
        <v>11963948</v>
      </c>
      <c r="H789" s="57">
        <f t="shared" si="442"/>
        <v>23344946</v>
      </c>
      <c r="I789" s="57">
        <f t="shared" si="442"/>
        <v>23344946</v>
      </c>
      <c r="J789" s="9">
        <f>I789-H789</f>
        <v>0</v>
      </c>
      <c r="K789" s="3"/>
      <c r="L789" s="47">
        <f>+SUM(L773:L788)</f>
        <v>12834335</v>
      </c>
      <c r="M789" s="47">
        <f>+SUM(M773:M788)</f>
        <v>12834335</v>
      </c>
      <c r="N789" s="47">
        <f>+SUM(N773:N788)</f>
        <v>11393660</v>
      </c>
      <c r="O789" s="47">
        <f>+SUM(O773:O787)</f>
        <v>11963948</v>
      </c>
    </row>
    <row r="790" spans="1:15" ht="16.5">
      <c r="A790" s="10"/>
      <c r="B790" s="11"/>
      <c r="C790" s="12"/>
      <c r="D790" s="13"/>
      <c r="E790" s="12"/>
      <c r="F790" s="13"/>
      <c r="G790" s="12"/>
      <c r="H790" s="12"/>
      <c r="I790" s="134" t="b">
        <f>I789=D792</f>
        <v>1</v>
      </c>
      <c r="L790" s="5"/>
      <c r="M790" s="5"/>
      <c r="N790" s="5"/>
      <c r="O790" s="5"/>
    </row>
    <row r="791" spans="1:15" ht="16.5">
      <c r="A791" s="10" t="s">
        <v>210</v>
      </c>
      <c r="B791" s="11" t="s">
        <v>209</v>
      </c>
      <c r="C791" s="12" t="s">
        <v>208</v>
      </c>
      <c r="D791" s="12" t="s">
        <v>214</v>
      </c>
      <c r="E791" s="12" t="s">
        <v>51</v>
      </c>
      <c r="F791" s="12"/>
      <c r="G791" s="12">
        <f>+D789-F789</f>
        <v>0</v>
      </c>
      <c r="H791" s="12"/>
      <c r="I791" s="12"/>
    </row>
    <row r="792" spans="1:15" ht="16.5">
      <c r="A792" s="14">
        <f>C789</f>
        <v>22774658</v>
      </c>
      <c r="B792" s="15">
        <f>G789</f>
        <v>11963948</v>
      </c>
      <c r="C792" s="12">
        <f>E789</f>
        <v>11393660</v>
      </c>
      <c r="D792" s="12">
        <f>A792+B792-C792</f>
        <v>23344946</v>
      </c>
      <c r="E792" s="13">
        <f>I789-D792</f>
        <v>0</v>
      </c>
      <c r="F792" s="12"/>
      <c r="G792" s="12"/>
      <c r="H792" s="12"/>
      <c r="I792" s="12"/>
    </row>
    <row r="793" spans="1:15" ht="16.5">
      <c r="A793" s="14"/>
      <c r="B793" s="15"/>
      <c r="C793" s="12"/>
      <c r="D793" s="12"/>
      <c r="E793" s="13"/>
      <c r="F793" s="12"/>
      <c r="G793" s="12"/>
      <c r="H793" s="12"/>
      <c r="I793" s="12"/>
    </row>
    <row r="794" spans="1:15">
      <c r="A794" s="16" t="s">
        <v>52</v>
      </c>
      <c r="B794" s="16"/>
      <c r="C794" s="16"/>
      <c r="D794" s="17"/>
      <c r="E794" s="17"/>
      <c r="F794" s="17"/>
      <c r="G794" s="17"/>
      <c r="H794" s="17"/>
      <c r="I794" s="17"/>
    </row>
    <row r="795" spans="1:15">
      <c r="A795" s="18" t="s">
        <v>215</v>
      </c>
      <c r="B795" s="18"/>
      <c r="C795" s="18"/>
      <c r="D795" s="18"/>
      <c r="E795" s="18"/>
      <c r="F795" s="18"/>
      <c r="G795" s="18"/>
      <c r="H795" s="18"/>
      <c r="I795" s="18"/>
      <c r="J795" s="18"/>
    </row>
    <row r="796" spans="1:15">
      <c r="A796" s="19"/>
      <c r="B796" s="17"/>
      <c r="C796" s="20"/>
      <c r="D796" s="20"/>
      <c r="E796" s="20"/>
      <c r="F796" s="20"/>
      <c r="G796" s="20"/>
      <c r="H796" s="17"/>
      <c r="I796" s="17"/>
    </row>
    <row r="797" spans="1:15">
      <c r="A797" s="169" t="s">
        <v>53</v>
      </c>
      <c r="B797" s="171" t="s">
        <v>54</v>
      </c>
      <c r="C797" s="173" t="s">
        <v>211</v>
      </c>
      <c r="D797" s="174" t="s">
        <v>55</v>
      </c>
      <c r="E797" s="175"/>
      <c r="F797" s="175"/>
      <c r="G797" s="176"/>
      <c r="H797" s="177" t="s">
        <v>56</v>
      </c>
      <c r="I797" s="165" t="s">
        <v>57</v>
      </c>
      <c r="J797" s="17"/>
    </row>
    <row r="798" spans="1:15" ht="28.5" customHeight="1">
      <c r="A798" s="170"/>
      <c r="B798" s="172"/>
      <c r="C798" s="22"/>
      <c r="D798" s="21" t="s">
        <v>24</v>
      </c>
      <c r="E798" s="21" t="s">
        <v>25</v>
      </c>
      <c r="F798" s="22" t="s">
        <v>123</v>
      </c>
      <c r="G798" s="21" t="s">
        <v>58</v>
      </c>
      <c r="H798" s="178"/>
      <c r="I798" s="166"/>
      <c r="J798" s="167" t="s">
        <v>213</v>
      </c>
      <c r="K798" s="143"/>
    </row>
    <row r="799" spans="1:15">
      <c r="A799" s="23"/>
      <c r="B799" s="24" t="s">
        <v>59</v>
      </c>
      <c r="C799" s="25"/>
      <c r="D799" s="25"/>
      <c r="E799" s="25"/>
      <c r="F799" s="25"/>
      <c r="G799" s="25"/>
      <c r="H799" s="25"/>
      <c r="I799" s="26"/>
      <c r="J799" s="168"/>
      <c r="K799" s="143"/>
    </row>
    <row r="800" spans="1:15">
      <c r="A800" s="122" t="s">
        <v>131</v>
      </c>
      <c r="B800" s="127" t="s">
        <v>47</v>
      </c>
      <c r="C800" s="32">
        <f>+C776</f>
        <v>21850</v>
      </c>
      <c r="D800" s="31"/>
      <c r="E800" s="32">
        <f>+D776</f>
        <v>1282000</v>
      </c>
      <c r="F800" s="32"/>
      <c r="G800" s="32"/>
      <c r="H800" s="55">
        <f t="shared" ref="H800:H812" si="443">+F776</f>
        <v>0</v>
      </c>
      <c r="I800" s="32">
        <f t="shared" ref="I800:I812" si="444">+E776</f>
        <v>1288100</v>
      </c>
      <c r="J800" s="30">
        <f t="shared" ref="J800:J801" si="445">+SUM(C800:G800)-(H800+I800)</f>
        <v>15750</v>
      </c>
      <c r="K800" s="144" t="b">
        <f t="shared" ref="K800:K812" si="446">J800=I776</f>
        <v>1</v>
      </c>
    </row>
    <row r="801" spans="1:11">
      <c r="A801" s="122" t="str">
        <f>+A800</f>
        <v>MAI</v>
      </c>
      <c r="B801" s="127" t="s">
        <v>31</v>
      </c>
      <c r="C801" s="32">
        <f t="shared" ref="C801:C802" si="447">+C777</f>
        <v>7995</v>
      </c>
      <c r="D801" s="31"/>
      <c r="E801" s="32">
        <f t="shared" ref="E801:E802" si="448">+D777</f>
        <v>262000</v>
      </c>
      <c r="F801" s="32"/>
      <c r="G801" s="32"/>
      <c r="H801" s="55">
        <f t="shared" si="443"/>
        <v>0</v>
      </c>
      <c r="I801" s="32">
        <f t="shared" si="444"/>
        <v>261200</v>
      </c>
      <c r="J801" s="101">
        <f t="shared" si="445"/>
        <v>8795</v>
      </c>
      <c r="K801" s="144" t="b">
        <f t="shared" si="446"/>
        <v>1</v>
      </c>
    </row>
    <row r="802" spans="1:11">
      <c r="A802" s="122" t="str">
        <f t="shared" ref="A802:A807" si="449">+A801</f>
        <v>MAI</v>
      </c>
      <c r="B802" s="128" t="s">
        <v>144</v>
      </c>
      <c r="C802" s="32">
        <f t="shared" si="447"/>
        <v>156335</v>
      </c>
      <c r="D802" s="119"/>
      <c r="E802" s="32">
        <f t="shared" si="448"/>
        <v>307000</v>
      </c>
      <c r="F802" s="51"/>
      <c r="G802" s="51"/>
      <c r="H802" s="55">
        <f t="shared" si="443"/>
        <v>154835</v>
      </c>
      <c r="I802" s="32">
        <f t="shared" si="444"/>
        <v>308500</v>
      </c>
      <c r="J802" s="124">
        <f>+SUM(C802:G802)-(H802+I802)</f>
        <v>0</v>
      </c>
      <c r="K802" s="144" t="b">
        <f t="shared" si="446"/>
        <v>1</v>
      </c>
    </row>
    <row r="803" spans="1:11">
      <c r="A803" s="122" t="str">
        <f t="shared" si="449"/>
        <v>MAI</v>
      </c>
      <c r="B803" s="129" t="s">
        <v>84</v>
      </c>
      <c r="C803" s="120">
        <f>+C779</f>
        <v>233614</v>
      </c>
      <c r="D803" s="123"/>
      <c r="E803" s="120">
        <f>+D779</f>
        <v>0</v>
      </c>
      <c r="F803" s="137"/>
      <c r="G803" s="137"/>
      <c r="H803" s="155">
        <f t="shared" si="443"/>
        <v>0</v>
      </c>
      <c r="I803" s="120">
        <f t="shared" si="444"/>
        <v>0</v>
      </c>
      <c r="J803" s="121">
        <f>+SUM(C803:G803)-(H803+I803)</f>
        <v>233614</v>
      </c>
      <c r="K803" s="144" t="b">
        <f t="shared" si="446"/>
        <v>1</v>
      </c>
    </row>
    <row r="804" spans="1:11">
      <c r="A804" s="122" t="str">
        <f t="shared" si="449"/>
        <v>MAI</v>
      </c>
      <c r="B804" s="129" t="s">
        <v>83</v>
      </c>
      <c r="C804" s="120">
        <f>+C780</f>
        <v>249769</v>
      </c>
      <c r="D804" s="123"/>
      <c r="E804" s="120">
        <f>+D780</f>
        <v>0</v>
      </c>
      <c r="F804" s="137"/>
      <c r="G804" s="137"/>
      <c r="H804" s="155">
        <f t="shared" si="443"/>
        <v>0</v>
      </c>
      <c r="I804" s="120">
        <f t="shared" si="444"/>
        <v>0</v>
      </c>
      <c r="J804" s="121">
        <f t="shared" ref="J804:J812" si="450">+SUM(C804:G804)-(H804+I804)</f>
        <v>249769</v>
      </c>
      <c r="K804" s="144" t="b">
        <f t="shared" si="446"/>
        <v>1</v>
      </c>
    </row>
    <row r="805" spans="1:11">
      <c r="A805" s="122" t="str">
        <f t="shared" si="449"/>
        <v>MAI</v>
      </c>
      <c r="B805" s="127" t="s">
        <v>143</v>
      </c>
      <c r="C805" s="32">
        <f>+C781</f>
        <v>10200</v>
      </c>
      <c r="D805" s="31"/>
      <c r="E805" s="32">
        <f>+D781</f>
        <v>25000</v>
      </c>
      <c r="F805" s="32"/>
      <c r="G805" s="104"/>
      <c r="H805" s="55">
        <f t="shared" si="443"/>
        <v>0</v>
      </c>
      <c r="I805" s="32">
        <f t="shared" si="444"/>
        <v>20500</v>
      </c>
      <c r="J805" s="30">
        <f t="shared" si="450"/>
        <v>14700</v>
      </c>
      <c r="K805" s="144" t="b">
        <f t="shared" si="446"/>
        <v>1</v>
      </c>
    </row>
    <row r="806" spans="1:11">
      <c r="A806" s="122" t="str">
        <f t="shared" si="449"/>
        <v>MAI</v>
      </c>
      <c r="B806" s="127" t="s">
        <v>197</v>
      </c>
      <c r="C806" s="32">
        <f t="shared" ref="C806:C809" si="451">+C782</f>
        <v>43500</v>
      </c>
      <c r="D806" s="31"/>
      <c r="E806" s="32">
        <f t="shared" ref="E806:E812" si="452">+D782</f>
        <v>701000</v>
      </c>
      <c r="F806" s="32"/>
      <c r="G806" s="104"/>
      <c r="H806" s="55">
        <f t="shared" si="443"/>
        <v>0</v>
      </c>
      <c r="I806" s="32">
        <f t="shared" si="444"/>
        <v>697550</v>
      </c>
      <c r="J806" s="30">
        <f t="shared" si="450"/>
        <v>46950</v>
      </c>
      <c r="K806" s="144" t="b">
        <f t="shared" si="446"/>
        <v>1</v>
      </c>
    </row>
    <row r="807" spans="1:11">
      <c r="A807" s="122" t="str">
        <f t="shared" si="449"/>
        <v>MAI</v>
      </c>
      <c r="B807" s="127" t="s">
        <v>30</v>
      </c>
      <c r="C807" s="32">
        <f t="shared" si="451"/>
        <v>177550</v>
      </c>
      <c r="D807" s="31"/>
      <c r="E807" s="32">
        <f t="shared" si="452"/>
        <v>969000</v>
      </c>
      <c r="F807" s="32"/>
      <c r="G807" s="104"/>
      <c r="H807" s="55">
        <f t="shared" si="443"/>
        <v>220000</v>
      </c>
      <c r="I807" s="32">
        <f t="shared" si="444"/>
        <v>814500</v>
      </c>
      <c r="J807" s="30">
        <f t="shared" si="450"/>
        <v>112050</v>
      </c>
      <c r="K807" s="144" t="b">
        <f t="shared" si="446"/>
        <v>1</v>
      </c>
    </row>
    <row r="808" spans="1:11">
      <c r="A808" s="122" t="str">
        <f>+A806</f>
        <v>MAI</v>
      </c>
      <c r="B808" s="127" t="s">
        <v>93</v>
      </c>
      <c r="C808" s="32">
        <f t="shared" si="451"/>
        <v>4400</v>
      </c>
      <c r="D808" s="31"/>
      <c r="E808" s="32">
        <f t="shared" si="452"/>
        <v>170000</v>
      </c>
      <c r="F808" s="32"/>
      <c r="G808" s="104"/>
      <c r="H808" s="55">
        <f t="shared" si="443"/>
        <v>10000</v>
      </c>
      <c r="I808" s="32">
        <f t="shared" si="444"/>
        <v>161500</v>
      </c>
      <c r="J808" s="30">
        <f t="shared" si="450"/>
        <v>2900</v>
      </c>
      <c r="K808" s="144" t="b">
        <f t="shared" si="446"/>
        <v>1</v>
      </c>
    </row>
    <row r="809" spans="1:11">
      <c r="A809" s="122" t="str">
        <f>+A807</f>
        <v>MAI</v>
      </c>
      <c r="B809" s="127" t="s">
        <v>29</v>
      </c>
      <c r="C809" s="32">
        <f t="shared" si="451"/>
        <v>294700</v>
      </c>
      <c r="D809" s="31"/>
      <c r="E809" s="32">
        <f t="shared" si="452"/>
        <v>671000</v>
      </c>
      <c r="F809" s="32"/>
      <c r="G809" s="104"/>
      <c r="H809" s="55">
        <f t="shared" si="443"/>
        <v>300000</v>
      </c>
      <c r="I809" s="32">
        <f t="shared" si="444"/>
        <v>525000</v>
      </c>
      <c r="J809" s="30">
        <f t="shared" si="450"/>
        <v>140700</v>
      </c>
      <c r="K809" s="144" t="b">
        <f t="shared" si="446"/>
        <v>1</v>
      </c>
    </row>
    <row r="810" spans="1:11">
      <c r="A810" s="122" t="str">
        <f>+A808</f>
        <v>MAI</v>
      </c>
      <c r="B810" s="127" t="s">
        <v>196</v>
      </c>
      <c r="C810" s="32">
        <f>+C786</f>
        <v>13500</v>
      </c>
      <c r="D810" s="31"/>
      <c r="E810" s="32">
        <f t="shared" si="452"/>
        <v>85000</v>
      </c>
      <c r="F810" s="32"/>
      <c r="G810" s="104"/>
      <c r="H810" s="55">
        <f t="shared" si="443"/>
        <v>9500</v>
      </c>
      <c r="I810" s="32">
        <f t="shared" si="444"/>
        <v>89000</v>
      </c>
      <c r="J810" s="30">
        <f t="shared" si="450"/>
        <v>0</v>
      </c>
      <c r="K810" s="144" t="b">
        <f t="shared" si="446"/>
        <v>1</v>
      </c>
    </row>
    <row r="811" spans="1:11">
      <c r="A811" s="122" t="str">
        <f>+A808</f>
        <v>MAI</v>
      </c>
      <c r="B811" s="128" t="s">
        <v>113</v>
      </c>
      <c r="C811" s="32">
        <f t="shared" ref="C811:C812" si="453">+C787</f>
        <v>-7259</v>
      </c>
      <c r="D811" s="119"/>
      <c r="E811" s="32">
        <f t="shared" si="452"/>
        <v>329000</v>
      </c>
      <c r="F811" s="51"/>
      <c r="G811" s="138"/>
      <c r="H811" s="55">
        <f t="shared" si="443"/>
        <v>226000</v>
      </c>
      <c r="I811" s="32">
        <f t="shared" si="444"/>
        <v>93500</v>
      </c>
      <c r="J811" s="30">
        <f t="shared" si="450"/>
        <v>2241</v>
      </c>
      <c r="K811" s="144" t="b">
        <f t="shared" si="446"/>
        <v>1</v>
      </c>
    </row>
    <row r="812" spans="1:11">
      <c r="A812" s="122" t="str">
        <f>+A809</f>
        <v>MAI</v>
      </c>
      <c r="B812" s="128" t="s">
        <v>212</v>
      </c>
      <c r="C812" s="32">
        <f t="shared" si="453"/>
        <v>0</v>
      </c>
      <c r="D812" s="119"/>
      <c r="E812" s="32">
        <f t="shared" si="452"/>
        <v>349000</v>
      </c>
      <c r="F812" s="51"/>
      <c r="G812" s="138"/>
      <c r="H812" s="55">
        <f t="shared" si="443"/>
        <v>0</v>
      </c>
      <c r="I812" s="32">
        <f t="shared" si="444"/>
        <v>338500</v>
      </c>
      <c r="J812" s="30">
        <f t="shared" si="450"/>
        <v>10500</v>
      </c>
      <c r="K812" s="144" t="b">
        <f t="shared" si="446"/>
        <v>1</v>
      </c>
    </row>
    <row r="813" spans="1:11">
      <c r="A813" s="34" t="s">
        <v>60</v>
      </c>
      <c r="B813" s="35"/>
      <c r="C813" s="35"/>
      <c r="D813" s="35"/>
      <c r="E813" s="35"/>
      <c r="F813" s="35"/>
      <c r="G813" s="35"/>
      <c r="H813" s="35"/>
      <c r="I813" s="35"/>
      <c r="J813" s="36"/>
      <c r="K813" s="143"/>
    </row>
    <row r="814" spans="1:11">
      <c r="A814" s="122" t="str">
        <f>+A812</f>
        <v>MAI</v>
      </c>
      <c r="B814" s="37" t="s">
        <v>61</v>
      </c>
      <c r="C814" s="38">
        <f>+C775</f>
        <v>963113</v>
      </c>
      <c r="D814" s="49"/>
      <c r="E814" s="49">
        <f>D775</f>
        <v>7684335</v>
      </c>
      <c r="F814" s="49"/>
      <c r="G814" s="125"/>
      <c r="H814" s="51">
        <f>+F775</f>
        <v>4914000</v>
      </c>
      <c r="I814" s="126">
        <f>+E775</f>
        <v>2033042</v>
      </c>
      <c r="J814" s="30">
        <f>+SUM(C814:G814)-(H814+I814)</f>
        <v>1700406</v>
      </c>
      <c r="K814" s="144" t="b">
        <f>J814=I775</f>
        <v>1</v>
      </c>
    </row>
    <row r="815" spans="1:11">
      <c r="A815" s="43" t="s">
        <v>62</v>
      </c>
      <c r="B815" s="24"/>
      <c r="C815" s="35"/>
      <c r="D815" s="24"/>
      <c r="E815" s="24"/>
      <c r="F815" s="24"/>
      <c r="G815" s="24"/>
      <c r="H815" s="24"/>
      <c r="I815" s="24"/>
      <c r="J815" s="36"/>
      <c r="K815" s="143"/>
    </row>
    <row r="816" spans="1:11">
      <c r="A816" s="122" t="str">
        <f>+A814</f>
        <v>MAI</v>
      </c>
      <c r="B816" s="37" t="s">
        <v>156</v>
      </c>
      <c r="C816" s="125">
        <f>+C773</f>
        <v>4154435</v>
      </c>
      <c r="D816" s="132">
        <f>+G773</f>
        <v>11963948</v>
      </c>
      <c r="E816" s="49"/>
      <c r="F816" s="49"/>
      <c r="G816" s="49"/>
      <c r="H816" s="51">
        <f>+F773</f>
        <v>7000000</v>
      </c>
      <c r="I816" s="53">
        <f>+E773</f>
        <v>543345</v>
      </c>
      <c r="J816" s="30">
        <f>+SUM(C816:G816)-(H816+I816)</f>
        <v>8575038</v>
      </c>
      <c r="K816" s="144" t="b">
        <f>+J816=I773</f>
        <v>1</v>
      </c>
    </row>
    <row r="817" spans="1:16">
      <c r="A817" s="122" t="str">
        <f t="shared" ref="A817" si="454">+A816</f>
        <v>MAI</v>
      </c>
      <c r="B817" s="37" t="s">
        <v>64</v>
      </c>
      <c r="C817" s="125">
        <f>+C774</f>
        <v>16450956</v>
      </c>
      <c r="D817" s="49">
        <f>+G774</f>
        <v>0</v>
      </c>
      <c r="E817" s="48"/>
      <c r="F817" s="48"/>
      <c r="G817" s="48"/>
      <c r="H817" s="32">
        <f>+F774</f>
        <v>0</v>
      </c>
      <c r="I817" s="50">
        <f>+E774</f>
        <v>4219423</v>
      </c>
      <c r="J817" s="30">
        <f>SUM(C817:G817)-(H817+I817)</f>
        <v>12231533</v>
      </c>
      <c r="K817" s="144" t="b">
        <f>+J817=I774</f>
        <v>1</v>
      </c>
    </row>
    <row r="818" spans="1:16" ht="15.75">
      <c r="C818" s="141">
        <f>SUM(C800:C817)</f>
        <v>22774658</v>
      </c>
      <c r="I818" s="140">
        <f>SUM(I800:I817)</f>
        <v>11393660</v>
      </c>
      <c r="J818" s="105">
        <f>+SUM(J800:J817)</f>
        <v>23344946</v>
      </c>
      <c r="K818" s="5" t="b">
        <f>J818=I789</f>
        <v>1</v>
      </c>
    </row>
    <row r="819" spans="1:16" ht="15.75">
      <c r="A819" s="160"/>
      <c r="B819" s="160"/>
      <c r="C819" s="161"/>
      <c r="D819" s="160"/>
      <c r="E819" s="160"/>
      <c r="F819" s="160"/>
      <c r="G819" s="160"/>
      <c r="H819" s="160"/>
      <c r="I819" s="162"/>
      <c r="J819" s="163"/>
      <c r="K819" s="160"/>
      <c r="L819" s="164"/>
      <c r="M819" s="164"/>
      <c r="N819" s="164"/>
      <c r="O819" s="164"/>
      <c r="P819" s="160"/>
    </row>
    <row r="821" spans="1:16" ht="15.75">
      <c r="A821" s="6" t="s">
        <v>36</v>
      </c>
      <c r="B821" s="6" t="s">
        <v>1</v>
      </c>
      <c r="C821" s="6">
        <v>44652</v>
      </c>
      <c r="D821" s="7" t="s">
        <v>37</v>
      </c>
      <c r="E821" s="7" t="s">
        <v>38</v>
      </c>
      <c r="F821" s="7" t="s">
        <v>39</v>
      </c>
      <c r="G821" s="7" t="s">
        <v>40</v>
      </c>
      <c r="H821" s="6">
        <v>44681</v>
      </c>
      <c r="I821" s="7" t="s">
        <v>41</v>
      </c>
      <c r="K821" s="45"/>
      <c r="L821" s="45" t="s">
        <v>42</v>
      </c>
      <c r="M821" s="45" t="s">
        <v>43</v>
      </c>
      <c r="N821" s="45" t="s">
        <v>44</v>
      </c>
      <c r="O821" s="45" t="s">
        <v>45</v>
      </c>
    </row>
    <row r="822" spans="1:16" ht="16.5">
      <c r="A822" s="58" t="str">
        <f>K822</f>
        <v>BCI</v>
      </c>
      <c r="B822" s="59" t="s">
        <v>46</v>
      </c>
      <c r="C822" s="61">
        <v>9177780</v>
      </c>
      <c r="D822" s="61">
        <f>+L822</f>
        <v>0</v>
      </c>
      <c r="E822" s="61">
        <f>+N822</f>
        <v>23345</v>
      </c>
      <c r="F822" s="61">
        <f>+M822</f>
        <v>5000000</v>
      </c>
      <c r="G822" s="61">
        <f t="shared" ref="G822:G833" si="455">+O822</f>
        <v>0</v>
      </c>
      <c r="H822" s="61">
        <v>4154435</v>
      </c>
      <c r="I822" s="61">
        <f>+C822+D822-E822-F822+G822</f>
        <v>4154435</v>
      </c>
      <c r="J822" s="9">
        <f>I822-H822</f>
        <v>0</v>
      </c>
      <c r="K822" s="45" t="s">
        <v>24</v>
      </c>
      <c r="L822" s="47">
        <v>0</v>
      </c>
      <c r="M822" s="47">
        <v>5000000</v>
      </c>
      <c r="N822" s="47">
        <v>23345</v>
      </c>
      <c r="O822" s="47">
        <v>0</v>
      </c>
    </row>
    <row r="823" spans="1:16" ht="16.5">
      <c r="A823" s="58" t="str">
        <f t="shared" ref="A823:A836" si="456">K823</f>
        <v>BCI-Sous Compte</v>
      </c>
      <c r="B823" s="59" t="s">
        <v>46</v>
      </c>
      <c r="C823" s="61">
        <v>21521261</v>
      </c>
      <c r="D823" s="61">
        <f t="shared" ref="D823:D836" si="457">+L823</f>
        <v>0</v>
      </c>
      <c r="E823" s="61">
        <f t="shared" ref="E823:E836" si="458">+N823</f>
        <v>5070305</v>
      </c>
      <c r="F823" s="61">
        <f t="shared" ref="F823:F836" si="459">+M823</f>
        <v>0</v>
      </c>
      <c r="G823" s="61">
        <f t="shared" si="455"/>
        <v>0</v>
      </c>
      <c r="H823" s="61">
        <v>16450956</v>
      </c>
      <c r="I823" s="61">
        <f>+C823+D823-E823-F823+G823</f>
        <v>16450956</v>
      </c>
      <c r="J823" s="9">
        <f t="shared" ref="J823:J830" si="460">I823-H823</f>
        <v>0</v>
      </c>
      <c r="K823" s="45" t="s">
        <v>148</v>
      </c>
      <c r="L823" s="47">
        <v>0</v>
      </c>
      <c r="M823" s="47">
        <v>0</v>
      </c>
      <c r="N823" s="47">
        <v>5070305</v>
      </c>
      <c r="O823" s="47">
        <v>0</v>
      </c>
    </row>
    <row r="824" spans="1:16" ht="16.5">
      <c r="A824" s="58" t="str">
        <f t="shared" si="456"/>
        <v>Caisse</v>
      </c>
      <c r="B824" s="59" t="s">
        <v>25</v>
      </c>
      <c r="C824" s="61">
        <v>1160022</v>
      </c>
      <c r="D824" s="61">
        <f t="shared" si="457"/>
        <v>5100000</v>
      </c>
      <c r="E824" s="61">
        <f t="shared" si="458"/>
        <v>1822909</v>
      </c>
      <c r="F824" s="61">
        <f t="shared" si="459"/>
        <v>3474000</v>
      </c>
      <c r="G824" s="61">
        <f t="shared" si="455"/>
        <v>0</v>
      </c>
      <c r="H824" s="61">
        <v>963113</v>
      </c>
      <c r="I824" s="61">
        <f>+C824+D824-E824-F824+G824</f>
        <v>963113</v>
      </c>
      <c r="J824" s="102">
        <f t="shared" si="460"/>
        <v>0</v>
      </c>
      <c r="K824" s="45" t="s">
        <v>25</v>
      </c>
      <c r="L824" s="47">
        <v>5100000</v>
      </c>
      <c r="M824" s="47">
        <v>3474000</v>
      </c>
      <c r="N824" s="47">
        <v>1822909</v>
      </c>
      <c r="O824" s="47">
        <v>0</v>
      </c>
    </row>
    <row r="825" spans="1:16" ht="16.5">
      <c r="A825" s="58" t="str">
        <f t="shared" si="456"/>
        <v>Crépin</v>
      </c>
      <c r="B825" s="59" t="s">
        <v>154</v>
      </c>
      <c r="C825" s="61">
        <v>22050</v>
      </c>
      <c r="D825" s="61">
        <f t="shared" si="457"/>
        <v>462000</v>
      </c>
      <c r="E825" s="61">
        <f t="shared" si="458"/>
        <v>462200</v>
      </c>
      <c r="F825" s="61">
        <f t="shared" si="459"/>
        <v>0</v>
      </c>
      <c r="G825" s="61">
        <f t="shared" si="455"/>
        <v>0</v>
      </c>
      <c r="H825" s="61">
        <v>21850</v>
      </c>
      <c r="I825" s="61">
        <f>+C825+D825-E825-F825+G825</f>
        <v>21850</v>
      </c>
      <c r="J825" s="9">
        <f t="shared" si="460"/>
        <v>0</v>
      </c>
      <c r="K825" s="45" t="s">
        <v>47</v>
      </c>
      <c r="L825" s="47">
        <v>462000</v>
      </c>
      <c r="M825" s="47">
        <v>0</v>
      </c>
      <c r="N825" s="47">
        <v>462200</v>
      </c>
      <c r="O825" s="47">
        <v>0</v>
      </c>
    </row>
    <row r="826" spans="1:16" ht="16.5">
      <c r="A826" s="58" t="str">
        <f t="shared" si="456"/>
        <v>Evariste</v>
      </c>
      <c r="B826" s="59" t="s">
        <v>155</v>
      </c>
      <c r="C826" s="61">
        <v>13995</v>
      </c>
      <c r="D826" s="61">
        <f t="shared" si="457"/>
        <v>30000</v>
      </c>
      <c r="E826" s="61">
        <f t="shared" si="458"/>
        <v>36000</v>
      </c>
      <c r="F826" s="61">
        <f t="shared" si="459"/>
        <v>0</v>
      </c>
      <c r="G826" s="61">
        <f t="shared" si="455"/>
        <v>0</v>
      </c>
      <c r="H826" s="61">
        <v>7995</v>
      </c>
      <c r="I826" s="61">
        <f t="shared" ref="I826" si="461">+C826+D826-E826-F826+G826</f>
        <v>7995</v>
      </c>
      <c r="J826" s="9">
        <f t="shared" si="460"/>
        <v>0</v>
      </c>
      <c r="K826" s="45" t="s">
        <v>31</v>
      </c>
      <c r="L826" s="47">
        <v>30000</v>
      </c>
      <c r="M826" s="47">
        <v>0</v>
      </c>
      <c r="N826" s="47">
        <v>36000</v>
      </c>
      <c r="O826" s="47">
        <v>0</v>
      </c>
    </row>
    <row r="827" spans="1:16" ht="16.5">
      <c r="A827" s="58" t="str">
        <f t="shared" si="456"/>
        <v>Godfré</v>
      </c>
      <c r="B827" s="59" t="s">
        <v>154</v>
      </c>
      <c r="C827" s="61">
        <v>36485</v>
      </c>
      <c r="D827" s="61">
        <f t="shared" si="457"/>
        <v>486000</v>
      </c>
      <c r="E827" s="61">
        <f t="shared" si="458"/>
        <v>366150</v>
      </c>
      <c r="F827" s="61">
        <f t="shared" si="459"/>
        <v>0</v>
      </c>
      <c r="G827" s="61">
        <f t="shared" si="455"/>
        <v>0</v>
      </c>
      <c r="H827" s="61">
        <v>156335</v>
      </c>
      <c r="I827" s="61">
        <f>+C827+D827-E827-F827+G827</f>
        <v>156335</v>
      </c>
      <c r="J827" s="9">
        <f t="shared" si="460"/>
        <v>0</v>
      </c>
      <c r="K827" s="45" t="s">
        <v>144</v>
      </c>
      <c r="L827" s="47">
        <v>486000</v>
      </c>
      <c r="M827" s="47">
        <v>0</v>
      </c>
      <c r="N827" s="47">
        <v>366150</v>
      </c>
      <c r="O827" s="47">
        <v>0</v>
      </c>
    </row>
    <row r="828" spans="1:16" ht="16.5">
      <c r="A828" s="58" t="str">
        <f t="shared" si="456"/>
        <v>I55S</v>
      </c>
      <c r="B828" s="116" t="s">
        <v>4</v>
      </c>
      <c r="C828" s="118">
        <v>233614</v>
      </c>
      <c r="D828" s="118">
        <f t="shared" si="457"/>
        <v>0</v>
      </c>
      <c r="E828" s="118">
        <f t="shared" si="458"/>
        <v>0</v>
      </c>
      <c r="F828" s="118">
        <f t="shared" si="459"/>
        <v>0</v>
      </c>
      <c r="G828" s="118">
        <f t="shared" si="455"/>
        <v>0</v>
      </c>
      <c r="H828" s="118">
        <v>233614</v>
      </c>
      <c r="I828" s="118">
        <f>+C828+D828-E828-F828+G828</f>
        <v>233614</v>
      </c>
      <c r="J828" s="9">
        <f t="shared" si="460"/>
        <v>0</v>
      </c>
      <c r="K828" s="45" t="s">
        <v>84</v>
      </c>
      <c r="L828" s="47">
        <v>0</v>
      </c>
      <c r="M828" s="47">
        <v>0</v>
      </c>
      <c r="N828" s="47">
        <v>0</v>
      </c>
      <c r="O828" s="47">
        <v>0</v>
      </c>
    </row>
    <row r="829" spans="1:16" ht="16.5">
      <c r="A829" s="58" t="str">
        <f t="shared" si="456"/>
        <v>I73X</v>
      </c>
      <c r="B829" s="116" t="s">
        <v>4</v>
      </c>
      <c r="C829" s="118">
        <v>249769</v>
      </c>
      <c r="D829" s="118">
        <f t="shared" si="457"/>
        <v>0</v>
      </c>
      <c r="E829" s="118">
        <f t="shared" si="458"/>
        <v>0</v>
      </c>
      <c r="F829" s="118">
        <f t="shared" si="459"/>
        <v>0</v>
      </c>
      <c r="G829" s="118">
        <f t="shared" si="455"/>
        <v>0</v>
      </c>
      <c r="H829" s="118">
        <v>249769</v>
      </c>
      <c r="I829" s="118">
        <f t="shared" ref="I829:I832" si="462">+C829+D829-E829-F829+G829</f>
        <v>249769</v>
      </c>
      <c r="J829" s="9">
        <f t="shared" si="460"/>
        <v>0</v>
      </c>
      <c r="K829" s="45" t="s">
        <v>83</v>
      </c>
      <c r="L829" s="47">
        <v>0</v>
      </c>
      <c r="M829" s="47">
        <v>0</v>
      </c>
      <c r="N829" s="47">
        <v>0</v>
      </c>
      <c r="O829" s="47">
        <v>0</v>
      </c>
    </row>
    <row r="830" spans="1:16" ht="16.5">
      <c r="A830" s="58" t="str">
        <f t="shared" si="456"/>
        <v>Grace</v>
      </c>
      <c r="B830" s="98" t="s">
        <v>2</v>
      </c>
      <c r="C830" s="61">
        <v>10700</v>
      </c>
      <c r="D830" s="61">
        <f t="shared" si="457"/>
        <v>10000</v>
      </c>
      <c r="E830" s="61">
        <f t="shared" si="458"/>
        <v>10500</v>
      </c>
      <c r="F830" s="61">
        <f t="shared" si="459"/>
        <v>0</v>
      </c>
      <c r="G830" s="61">
        <f t="shared" si="455"/>
        <v>0</v>
      </c>
      <c r="H830" s="61">
        <v>10200</v>
      </c>
      <c r="I830" s="61">
        <f t="shared" si="462"/>
        <v>10200</v>
      </c>
      <c r="J830" s="9">
        <f t="shared" si="460"/>
        <v>0</v>
      </c>
      <c r="K830" s="45" t="s">
        <v>143</v>
      </c>
      <c r="L830" s="47">
        <v>10000</v>
      </c>
      <c r="M830" s="47">
        <v>0</v>
      </c>
      <c r="N830" s="47">
        <v>10500</v>
      </c>
      <c r="O830" s="47">
        <v>0</v>
      </c>
    </row>
    <row r="831" spans="1:16" ht="16.5">
      <c r="A831" s="58" t="str">
        <f t="shared" si="456"/>
        <v>Hurielle</v>
      </c>
      <c r="B831" s="59" t="s">
        <v>154</v>
      </c>
      <c r="C831" s="61">
        <v>52000</v>
      </c>
      <c r="D831" s="61">
        <f t="shared" si="457"/>
        <v>113000</v>
      </c>
      <c r="E831" s="61">
        <f t="shared" si="458"/>
        <v>121500</v>
      </c>
      <c r="F831" s="61">
        <f t="shared" si="459"/>
        <v>0</v>
      </c>
      <c r="G831" s="61">
        <f t="shared" si="455"/>
        <v>0</v>
      </c>
      <c r="H831" s="61">
        <v>43500</v>
      </c>
      <c r="I831" s="61">
        <f t="shared" si="462"/>
        <v>43500</v>
      </c>
      <c r="J831" s="9">
        <f>I831-H831</f>
        <v>0</v>
      </c>
      <c r="K831" s="45" t="s">
        <v>197</v>
      </c>
      <c r="L831" s="47">
        <v>113000</v>
      </c>
      <c r="M831" s="47">
        <v>0</v>
      </c>
      <c r="N831" s="47">
        <v>121500</v>
      </c>
      <c r="O831" s="47">
        <v>0</v>
      </c>
    </row>
    <row r="832" spans="1:16" ht="16.5">
      <c r="A832" s="58" t="str">
        <f t="shared" si="456"/>
        <v>I23C</v>
      </c>
      <c r="B832" s="98" t="s">
        <v>4</v>
      </c>
      <c r="C832" s="61">
        <v>116050</v>
      </c>
      <c r="D832" s="61">
        <f t="shared" si="457"/>
        <v>599000</v>
      </c>
      <c r="E832" s="61">
        <f t="shared" si="458"/>
        <v>537500</v>
      </c>
      <c r="F832" s="61">
        <f t="shared" si="459"/>
        <v>0</v>
      </c>
      <c r="G832" s="61">
        <f t="shared" si="455"/>
        <v>0</v>
      </c>
      <c r="H832" s="61">
        <v>177550</v>
      </c>
      <c r="I832" s="61">
        <f t="shared" si="462"/>
        <v>177550</v>
      </c>
      <c r="J832" s="9">
        <f t="shared" ref="J832:J833" si="463">I832-H832</f>
        <v>0</v>
      </c>
      <c r="K832" s="45" t="s">
        <v>30</v>
      </c>
      <c r="L832" s="47">
        <v>599000</v>
      </c>
      <c r="M832" s="47">
        <v>0</v>
      </c>
      <c r="N832" s="47">
        <v>537500</v>
      </c>
      <c r="O832" s="47">
        <v>0</v>
      </c>
    </row>
    <row r="833" spans="1:15" ht="16.5">
      <c r="A833" s="58" t="str">
        <f t="shared" si="456"/>
        <v>Merveille</v>
      </c>
      <c r="B833" s="59" t="s">
        <v>2</v>
      </c>
      <c r="C833" s="61">
        <v>4400</v>
      </c>
      <c r="D833" s="61">
        <f t="shared" si="457"/>
        <v>20000</v>
      </c>
      <c r="E833" s="61">
        <f t="shared" si="458"/>
        <v>20000</v>
      </c>
      <c r="F833" s="61">
        <f t="shared" si="459"/>
        <v>0</v>
      </c>
      <c r="G833" s="61">
        <f t="shared" si="455"/>
        <v>0</v>
      </c>
      <c r="H833" s="61">
        <v>4400</v>
      </c>
      <c r="I833" s="61">
        <f>+C833+D833-E833-F833+G833</f>
        <v>4400</v>
      </c>
      <c r="J833" s="9">
        <f t="shared" si="463"/>
        <v>0</v>
      </c>
      <c r="K833" s="45" t="s">
        <v>93</v>
      </c>
      <c r="L833" s="47">
        <v>20000</v>
      </c>
      <c r="M833" s="47">
        <v>0</v>
      </c>
      <c r="N833" s="47">
        <v>20000</v>
      </c>
      <c r="O833" s="47">
        <v>0</v>
      </c>
    </row>
    <row r="834" spans="1:15" ht="16.5">
      <c r="A834" s="58" t="str">
        <f t="shared" si="456"/>
        <v>P29</v>
      </c>
      <c r="B834" s="59" t="s">
        <v>4</v>
      </c>
      <c r="C834" s="61">
        <v>16200</v>
      </c>
      <c r="D834" s="61">
        <f t="shared" si="457"/>
        <v>874000</v>
      </c>
      <c r="E834" s="61">
        <f t="shared" si="458"/>
        <v>495500</v>
      </c>
      <c r="F834" s="61">
        <f t="shared" si="459"/>
        <v>100000</v>
      </c>
      <c r="G834" s="61">
        <f>+O834</f>
        <v>0</v>
      </c>
      <c r="H834" s="61">
        <v>294700</v>
      </c>
      <c r="I834" s="61">
        <f>+C834+D834-E834-F834+G834</f>
        <v>294700</v>
      </c>
      <c r="J834" s="9">
        <f>I834-H834</f>
        <v>0</v>
      </c>
      <c r="K834" s="45" t="s">
        <v>29</v>
      </c>
      <c r="L834" s="47">
        <v>874000</v>
      </c>
      <c r="M834" s="47">
        <v>100000</v>
      </c>
      <c r="N834" s="47">
        <v>495500</v>
      </c>
      <c r="O834" s="47">
        <v>0</v>
      </c>
    </row>
    <row r="835" spans="1:15" ht="16.5">
      <c r="A835" s="58" t="str">
        <f t="shared" si="456"/>
        <v>Paule</v>
      </c>
      <c r="B835" s="59" t="s">
        <v>154</v>
      </c>
      <c r="C835" s="61">
        <v>6000</v>
      </c>
      <c r="D835" s="61">
        <f t="shared" si="457"/>
        <v>80000</v>
      </c>
      <c r="E835" s="61">
        <f t="shared" si="458"/>
        <v>72500</v>
      </c>
      <c r="F835" s="61">
        <f t="shared" si="459"/>
        <v>0</v>
      </c>
      <c r="G835" s="61">
        <f>+O835</f>
        <v>0</v>
      </c>
      <c r="H835" s="61">
        <v>13500</v>
      </c>
      <c r="I835" s="61">
        <f>+C835+D835-E835-F835+G835</f>
        <v>13500</v>
      </c>
      <c r="J835" s="9">
        <f>I835-H835</f>
        <v>0</v>
      </c>
      <c r="K835" s="45" t="s">
        <v>196</v>
      </c>
      <c r="L835" s="47">
        <v>80000</v>
      </c>
      <c r="M835" s="47">
        <v>0</v>
      </c>
      <c r="N835" s="47">
        <v>72500</v>
      </c>
      <c r="O835" s="47">
        <v>0</v>
      </c>
    </row>
    <row r="836" spans="1:15" ht="16.5">
      <c r="A836" s="58" t="str">
        <f t="shared" si="456"/>
        <v>Tiffany</v>
      </c>
      <c r="B836" s="59" t="s">
        <v>2</v>
      </c>
      <c r="C836" s="61">
        <v>-790759</v>
      </c>
      <c r="D836" s="61">
        <f t="shared" si="457"/>
        <v>800000</v>
      </c>
      <c r="E836" s="61">
        <f t="shared" si="458"/>
        <v>16500</v>
      </c>
      <c r="F836" s="61">
        <f t="shared" si="459"/>
        <v>0</v>
      </c>
      <c r="G836" s="61">
        <f t="shared" ref="G836" si="464">+O836</f>
        <v>0</v>
      </c>
      <c r="H836" s="61">
        <v>-7259</v>
      </c>
      <c r="I836" s="61">
        <f t="shared" ref="I836" si="465">+C836+D836-E836-F836+G836</f>
        <v>-7259</v>
      </c>
      <c r="J836" s="9">
        <f t="shared" ref="J836" si="466">I836-H836</f>
        <v>0</v>
      </c>
      <c r="K836" s="45" t="s">
        <v>113</v>
      </c>
      <c r="L836" s="47">
        <v>800000</v>
      </c>
      <c r="M836" s="47">
        <v>0</v>
      </c>
      <c r="N836" s="47">
        <v>16500</v>
      </c>
      <c r="O836" s="47">
        <v>0</v>
      </c>
    </row>
    <row r="837" spans="1:15" ht="16.5">
      <c r="A837" s="10" t="s">
        <v>50</v>
      </c>
      <c r="B837" s="11"/>
      <c r="C837" s="12">
        <f t="shared" ref="C837:I837" si="467">SUM(C822:C836)</f>
        <v>31829567</v>
      </c>
      <c r="D837" s="57">
        <f t="shared" si="467"/>
        <v>8574000</v>
      </c>
      <c r="E837" s="57">
        <f t="shared" si="467"/>
        <v>9054909</v>
      </c>
      <c r="F837" s="57">
        <f t="shared" si="467"/>
        <v>8574000</v>
      </c>
      <c r="G837" s="57">
        <f t="shared" si="467"/>
        <v>0</v>
      </c>
      <c r="H837" s="57">
        <f t="shared" si="467"/>
        <v>22774658</v>
      </c>
      <c r="I837" s="57">
        <f t="shared" si="467"/>
        <v>22774658</v>
      </c>
      <c r="J837" s="9">
        <f>I837-H837</f>
        <v>0</v>
      </c>
      <c r="K837" s="3"/>
      <c r="L837" s="47">
        <f>+SUM(L822:L836)</f>
        <v>8574000</v>
      </c>
      <c r="M837" s="47">
        <f>+SUM(M822:M836)</f>
        <v>8574000</v>
      </c>
      <c r="N837" s="47">
        <f>+SUM(N822:N836)</f>
        <v>9054909</v>
      </c>
      <c r="O837" s="47">
        <f>+SUM(O822:O836)</f>
        <v>0</v>
      </c>
    </row>
    <row r="838" spans="1:15" ht="16.5">
      <c r="A838" s="10"/>
      <c r="B838" s="11"/>
      <c r="C838" s="12"/>
      <c r="D838" s="13"/>
      <c r="E838" s="12"/>
      <c r="F838" s="13"/>
      <c r="G838" s="12"/>
      <c r="H838" s="12"/>
      <c r="I838" s="134" t="b">
        <f>I837=D840</f>
        <v>1</v>
      </c>
      <c r="L838" s="5"/>
      <c r="M838" s="5"/>
      <c r="N838" s="5"/>
      <c r="O838" s="5"/>
    </row>
    <row r="839" spans="1:15" ht="16.5">
      <c r="A839" s="10" t="s">
        <v>201</v>
      </c>
      <c r="B839" s="11" t="s">
        <v>202</v>
      </c>
      <c r="C839" s="12" t="s">
        <v>203</v>
      </c>
      <c r="D839" s="12" t="s">
        <v>204</v>
      </c>
      <c r="E839" s="12" t="s">
        <v>51</v>
      </c>
      <c r="F839" s="12"/>
      <c r="G839" s="12">
        <f>+D837-F837</f>
        <v>0</v>
      </c>
      <c r="H839" s="12"/>
      <c r="I839" s="12"/>
    </row>
    <row r="840" spans="1:15" ht="16.5">
      <c r="A840" s="14">
        <f>C837</f>
        <v>31829567</v>
      </c>
      <c r="B840" s="15">
        <f>G837</f>
        <v>0</v>
      </c>
      <c r="C840" s="12">
        <f>E837</f>
        <v>9054909</v>
      </c>
      <c r="D840" s="12">
        <f>A840+B840-C840</f>
        <v>22774658</v>
      </c>
      <c r="E840" s="13">
        <f>I837-D840</f>
        <v>0</v>
      </c>
      <c r="F840" s="12"/>
      <c r="G840" s="12"/>
      <c r="H840" s="12"/>
      <c r="I840" s="12"/>
    </row>
    <row r="841" spans="1:15" ht="16.5">
      <c r="A841" s="14"/>
      <c r="B841" s="15"/>
      <c r="C841" s="12"/>
      <c r="D841" s="12"/>
      <c r="E841" s="13"/>
      <c r="F841" s="12"/>
      <c r="G841" s="12"/>
      <c r="H841" s="12"/>
      <c r="I841" s="12"/>
    </row>
    <row r="842" spans="1:15">
      <c r="A842" s="16" t="s">
        <v>52</v>
      </c>
      <c r="B842" s="16"/>
      <c r="C842" s="16"/>
      <c r="D842" s="17"/>
      <c r="E842" s="17"/>
      <c r="F842" s="17"/>
      <c r="G842" s="17"/>
      <c r="H842" s="17"/>
      <c r="I842" s="17"/>
    </row>
    <row r="843" spans="1:15">
      <c r="A843" s="18" t="s">
        <v>205</v>
      </c>
      <c r="B843" s="18"/>
      <c r="C843" s="18"/>
      <c r="D843" s="18"/>
      <c r="E843" s="18"/>
      <c r="F843" s="18"/>
      <c r="G843" s="18"/>
      <c r="H843" s="18"/>
      <c r="I843" s="18"/>
      <c r="J843" s="18"/>
    </row>
    <row r="844" spans="1:15">
      <c r="A844" s="19"/>
      <c r="B844" s="17"/>
      <c r="C844" s="20"/>
      <c r="D844" s="20"/>
      <c r="E844" s="20"/>
      <c r="F844" s="20"/>
      <c r="G844" s="20"/>
      <c r="H844" s="17"/>
      <c r="I844" s="17"/>
    </row>
    <row r="845" spans="1:15">
      <c r="A845" s="169" t="s">
        <v>53</v>
      </c>
      <c r="B845" s="171" t="s">
        <v>54</v>
      </c>
      <c r="C845" s="173" t="s">
        <v>206</v>
      </c>
      <c r="D845" s="174" t="s">
        <v>55</v>
      </c>
      <c r="E845" s="175"/>
      <c r="F845" s="175"/>
      <c r="G845" s="176"/>
      <c r="H845" s="177" t="s">
        <v>56</v>
      </c>
      <c r="I845" s="165" t="s">
        <v>57</v>
      </c>
      <c r="J845" s="17"/>
    </row>
    <row r="846" spans="1:15" ht="28.5" customHeight="1">
      <c r="A846" s="170"/>
      <c r="B846" s="172"/>
      <c r="C846" s="22"/>
      <c r="D846" s="21" t="s">
        <v>24</v>
      </c>
      <c r="E846" s="21" t="s">
        <v>25</v>
      </c>
      <c r="F846" s="22" t="s">
        <v>123</v>
      </c>
      <c r="G846" s="21" t="s">
        <v>58</v>
      </c>
      <c r="H846" s="178"/>
      <c r="I846" s="166"/>
      <c r="J846" s="167" t="s">
        <v>207</v>
      </c>
      <c r="K846" s="143"/>
    </row>
    <row r="847" spans="1:15">
      <c r="A847" s="23"/>
      <c r="B847" s="24" t="s">
        <v>59</v>
      </c>
      <c r="C847" s="25"/>
      <c r="D847" s="25"/>
      <c r="E847" s="25"/>
      <c r="F847" s="25"/>
      <c r="G847" s="25"/>
      <c r="H847" s="25"/>
      <c r="I847" s="26"/>
      <c r="J847" s="168"/>
      <c r="K847" s="143"/>
    </row>
    <row r="848" spans="1:15">
      <c r="A848" s="122" t="s">
        <v>127</v>
      </c>
      <c r="B848" s="127" t="s">
        <v>47</v>
      </c>
      <c r="C848" s="32">
        <f>+C825</f>
        <v>22050</v>
      </c>
      <c r="D848" s="31"/>
      <c r="E848" s="32">
        <f>+D825</f>
        <v>462000</v>
      </c>
      <c r="F848" s="32"/>
      <c r="G848" s="32"/>
      <c r="H848" s="55">
        <f t="shared" ref="H848:H859" si="468">+F825</f>
        <v>0</v>
      </c>
      <c r="I848" s="32">
        <f t="shared" ref="I848:I859" si="469">+E825</f>
        <v>462200</v>
      </c>
      <c r="J848" s="30">
        <f t="shared" ref="J848:J849" si="470">+SUM(C848:G848)-(H848+I848)</f>
        <v>21850</v>
      </c>
      <c r="K848" s="144" t="b">
        <f t="shared" ref="K848:K859" si="471">J848=I825</f>
        <v>1</v>
      </c>
    </row>
    <row r="849" spans="1:11">
      <c r="A849" s="122" t="str">
        <f>+A848</f>
        <v>AVRIL</v>
      </c>
      <c r="B849" s="127" t="s">
        <v>31</v>
      </c>
      <c r="C849" s="32">
        <f t="shared" ref="C849:C850" si="472">+C826</f>
        <v>13995</v>
      </c>
      <c r="D849" s="31"/>
      <c r="E849" s="32">
        <f t="shared" ref="E849:E850" si="473">+D826</f>
        <v>30000</v>
      </c>
      <c r="F849" s="32"/>
      <c r="G849" s="32"/>
      <c r="H849" s="55">
        <f t="shared" si="468"/>
        <v>0</v>
      </c>
      <c r="I849" s="32">
        <f t="shared" si="469"/>
        <v>36000</v>
      </c>
      <c r="J849" s="101">
        <f t="shared" si="470"/>
        <v>7995</v>
      </c>
      <c r="K849" s="144" t="b">
        <f t="shared" si="471"/>
        <v>1</v>
      </c>
    </row>
    <row r="850" spans="1:11">
      <c r="A850" s="122" t="str">
        <f t="shared" ref="A850:A855" si="474">+A849</f>
        <v>AVRIL</v>
      </c>
      <c r="B850" s="128" t="s">
        <v>144</v>
      </c>
      <c r="C850" s="32">
        <f t="shared" si="472"/>
        <v>36485</v>
      </c>
      <c r="D850" s="119"/>
      <c r="E850" s="32">
        <f t="shared" si="473"/>
        <v>486000</v>
      </c>
      <c r="F850" s="51"/>
      <c r="G850" s="51"/>
      <c r="H850" s="55">
        <f t="shared" si="468"/>
        <v>0</v>
      </c>
      <c r="I850" s="32">
        <f t="shared" si="469"/>
        <v>366150</v>
      </c>
      <c r="J850" s="124">
        <f>+SUM(C850:G850)-(H850+I850)</f>
        <v>156335</v>
      </c>
      <c r="K850" s="144" t="b">
        <f t="shared" si="471"/>
        <v>1</v>
      </c>
    </row>
    <row r="851" spans="1:11">
      <c r="A851" s="122" t="str">
        <f t="shared" si="474"/>
        <v>AVRIL</v>
      </c>
      <c r="B851" s="129" t="s">
        <v>84</v>
      </c>
      <c r="C851" s="120">
        <f>+C828</f>
        <v>233614</v>
      </c>
      <c r="D851" s="123"/>
      <c r="E851" s="120">
        <f>+D828</f>
        <v>0</v>
      </c>
      <c r="F851" s="137"/>
      <c r="G851" s="137"/>
      <c r="H851" s="155">
        <f t="shared" si="468"/>
        <v>0</v>
      </c>
      <c r="I851" s="120">
        <f t="shared" si="469"/>
        <v>0</v>
      </c>
      <c r="J851" s="121">
        <f>+SUM(C851:G851)-(H851+I851)</f>
        <v>233614</v>
      </c>
      <c r="K851" s="144" t="b">
        <f t="shared" si="471"/>
        <v>1</v>
      </c>
    </row>
    <row r="852" spans="1:11">
      <c r="A852" s="122" t="str">
        <f t="shared" si="474"/>
        <v>AVRIL</v>
      </c>
      <c r="B852" s="129" t="s">
        <v>83</v>
      </c>
      <c r="C852" s="120">
        <f>+C829</f>
        <v>249769</v>
      </c>
      <c r="D852" s="123"/>
      <c r="E852" s="120">
        <f>+D829</f>
        <v>0</v>
      </c>
      <c r="F852" s="137"/>
      <c r="G852" s="137"/>
      <c r="H852" s="155">
        <f t="shared" si="468"/>
        <v>0</v>
      </c>
      <c r="I852" s="120">
        <f t="shared" si="469"/>
        <v>0</v>
      </c>
      <c r="J852" s="121">
        <f t="shared" ref="J852:J859" si="475">+SUM(C852:G852)-(H852+I852)</f>
        <v>249769</v>
      </c>
      <c r="K852" s="144" t="b">
        <f t="shared" si="471"/>
        <v>1</v>
      </c>
    </row>
    <row r="853" spans="1:11">
      <c r="A853" s="122" t="str">
        <f t="shared" si="474"/>
        <v>AVRIL</v>
      </c>
      <c r="B853" s="127" t="s">
        <v>143</v>
      </c>
      <c r="C853" s="32">
        <f>+C830</f>
        <v>10700</v>
      </c>
      <c r="D853" s="31"/>
      <c r="E853" s="32">
        <f>+D830</f>
        <v>10000</v>
      </c>
      <c r="F853" s="32"/>
      <c r="G853" s="104"/>
      <c r="H853" s="55">
        <f t="shared" si="468"/>
        <v>0</v>
      </c>
      <c r="I853" s="32">
        <f t="shared" si="469"/>
        <v>10500</v>
      </c>
      <c r="J853" s="30">
        <f t="shared" si="475"/>
        <v>10200</v>
      </c>
      <c r="K853" s="144" t="b">
        <f t="shared" si="471"/>
        <v>1</v>
      </c>
    </row>
    <row r="854" spans="1:11">
      <c r="A854" s="122" t="str">
        <f t="shared" si="474"/>
        <v>AVRIL</v>
      </c>
      <c r="B854" s="127" t="s">
        <v>197</v>
      </c>
      <c r="C854" s="32">
        <f t="shared" ref="C854:C857" si="476">+C831</f>
        <v>52000</v>
      </c>
      <c r="D854" s="31"/>
      <c r="E854" s="32">
        <f t="shared" ref="E854:E859" si="477">+D831</f>
        <v>113000</v>
      </c>
      <c r="F854" s="32"/>
      <c r="G854" s="104"/>
      <c r="H854" s="55">
        <f t="shared" si="468"/>
        <v>0</v>
      </c>
      <c r="I854" s="32">
        <f t="shared" si="469"/>
        <v>121500</v>
      </c>
      <c r="J854" s="30">
        <f t="shared" si="475"/>
        <v>43500</v>
      </c>
      <c r="K854" s="144" t="b">
        <f t="shared" si="471"/>
        <v>1</v>
      </c>
    </row>
    <row r="855" spans="1:11">
      <c r="A855" s="122" t="str">
        <f t="shared" si="474"/>
        <v>AVRIL</v>
      </c>
      <c r="B855" s="127" t="s">
        <v>30</v>
      </c>
      <c r="C855" s="32">
        <f t="shared" si="476"/>
        <v>116050</v>
      </c>
      <c r="D855" s="31"/>
      <c r="E855" s="32">
        <f t="shared" si="477"/>
        <v>599000</v>
      </c>
      <c r="F855" s="32"/>
      <c r="G855" s="104"/>
      <c r="H855" s="55">
        <f t="shared" si="468"/>
        <v>0</v>
      </c>
      <c r="I855" s="32">
        <f t="shared" si="469"/>
        <v>537500</v>
      </c>
      <c r="J855" s="30">
        <f t="shared" si="475"/>
        <v>177550</v>
      </c>
      <c r="K855" s="144" t="b">
        <f t="shared" si="471"/>
        <v>1</v>
      </c>
    </row>
    <row r="856" spans="1:11">
      <c r="A856" s="122" t="str">
        <f>+A854</f>
        <v>AVRIL</v>
      </c>
      <c r="B856" s="127" t="s">
        <v>93</v>
      </c>
      <c r="C856" s="32">
        <f t="shared" si="476"/>
        <v>4400</v>
      </c>
      <c r="D856" s="31"/>
      <c r="E856" s="32">
        <f t="shared" si="477"/>
        <v>20000</v>
      </c>
      <c r="F856" s="32"/>
      <c r="G856" s="104"/>
      <c r="H856" s="55">
        <f t="shared" si="468"/>
        <v>0</v>
      </c>
      <c r="I856" s="32">
        <f t="shared" si="469"/>
        <v>20000</v>
      </c>
      <c r="J856" s="30">
        <f t="shared" si="475"/>
        <v>4400</v>
      </c>
      <c r="K856" s="144" t="b">
        <f t="shared" si="471"/>
        <v>1</v>
      </c>
    </row>
    <row r="857" spans="1:11">
      <c r="A857" s="122" t="str">
        <f>+A855</f>
        <v>AVRIL</v>
      </c>
      <c r="B857" s="127" t="s">
        <v>29</v>
      </c>
      <c r="C857" s="32">
        <f t="shared" si="476"/>
        <v>16200</v>
      </c>
      <c r="D857" s="31"/>
      <c r="E857" s="32">
        <f t="shared" si="477"/>
        <v>874000</v>
      </c>
      <c r="F857" s="32"/>
      <c r="G857" s="104"/>
      <c r="H857" s="55">
        <f t="shared" si="468"/>
        <v>100000</v>
      </c>
      <c r="I857" s="32">
        <f t="shared" si="469"/>
        <v>495500</v>
      </c>
      <c r="J857" s="30">
        <f t="shared" si="475"/>
        <v>294700</v>
      </c>
      <c r="K857" s="144" t="b">
        <f t="shared" si="471"/>
        <v>1</v>
      </c>
    </row>
    <row r="858" spans="1:11">
      <c r="A858" s="122" t="str">
        <f>+A856</f>
        <v>AVRIL</v>
      </c>
      <c r="B858" s="127" t="s">
        <v>196</v>
      </c>
      <c r="C858" s="32">
        <f>+C835</f>
        <v>6000</v>
      </c>
      <c r="D858" s="31"/>
      <c r="E858" s="32">
        <f t="shared" si="477"/>
        <v>80000</v>
      </c>
      <c r="F858" s="32"/>
      <c r="G858" s="104"/>
      <c r="H858" s="55">
        <f t="shared" si="468"/>
        <v>0</v>
      </c>
      <c r="I858" s="32">
        <f t="shared" si="469"/>
        <v>72500</v>
      </c>
      <c r="J858" s="30">
        <f t="shared" si="475"/>
        <v>13500</v>
      </c>
      <c r="K858" s="144" t="b">
        <f t="shared" si="471"/>
        <v>1</v>
      </c>
    </row>
    <row r="859" spans="1:11">
      <c r="A859" s="122" t="str">
        <f>+A857</f>
        <v>AVRIL</v>
      </c>
      <c r="B859" s="128" t="s">
        <v>113</v>
      </c>
      <c r="C859" s="32">
        <f t="shared" ref="C859" si="478">+C836</f>
        <v>-790759</v>
      </c>
      <c r="D859" s="119"/>
      <c r="E859" s="32">
        <f t="shared" si="477"/>
        <v>800000</v>
      </c>
      <c r="F859" s="51"/>
      <c r="G859" s="138"/>
      <c r="H859" s="55">
        <f t="shared" si="468"/>
        <v>0</v>
      </c>
      <c r="I859" s="32">
        <f t="shared" si="469"/>
        <v>16500</v>
      </c>
      <c r="J859" s="30">
        <f t="shared" si="475"/>
        <v>-7259</v>
      </c>
      <c r="K859" s="144" t="b">
        <f t="shared" si="471"/>
        <v>1</v>
      </c>
    </row>
    <row r="860" spans="1:11">
      <c r="A860" s="34" t="s">
        <v>60</v>
      </c>
      <c r="B860" s="35"/>
      <c r="C860" s="35"/>
      <c r="D860" s="35"/>
      <c r="E860" s="35"/>
      <c r="F860" s="35"/>
      <c r="G860" s="35"/>
      <c r="H860" s="35"/>
      <c r="I860" s="35"/>
      <c r="J860" s="36"/>
      <c r="K860" s="143"/>
    </row>
    <row r="861" spans="1:11">
      <c r="A861" s="122" t="str">
        <f>+A859</f>
        <v>AVRIL</v>
      </c>
      <c r="B861" s="37" t="s">
        <v>61</v>
      </c>
      <c r="C861" s="38">
        <f>+C824</f>
        <v>1160022</v>
      </c>
      <c r="D861" s="49"/>
      <c r="E861" s="49">
        <f>D824</f>
        <v>5100000</v>
      </c>
      <c r="F861" s="49"/>
      <c r="G861" s="125"/>
      <c r="H861" s="51">
        <f>+F824</f>
        <v>3474000</v>
      </c>
      <c r="I861" s="126">
        <f>+E824</f>
        <v>1822909</v>
      </c>
      <c r="J861" s="30">
        <f>+SUM(C861:G861)-(H861+I861)</f>
        <v>963113</v>
      </c>
      <c r="K861" s="144" t="b">
        <f>J861=I824</f>
        <v>1</v>
      </c>
    </row>
    <row r="862" spans="1:11">
      <c r="A862" s="43" t="s">
        <v>62</v>
      </c>
      <c r="B862" s="24"/>
      <c r="C862" s="35"/>
      <c r="D862" s="24"/>
      <c r="E862" s="24"/>
      <c r="F862" s="24"/>
      <c r="G862" s="24"/>
      <c r="H862" s="24"/>
      <c r="I862" s="24"/>
      <c r="J862" s="36"/>
      <c r="K862" s="143"/>
    </row>
    <row r="863" spans="1:11">
      <c r="A863" s="122" t="str">
        <f>+A861</f>
        <v>AVRIL</v>
      </c>
      <c r="B863" s="37" t="s">
        <v>156</v>
      </c>
      <c r="C863" s="125">
        <f>+C822</f>
        <v>9177780</v>
      </c>
      <c r="D863" s="132">
        <f>+G822</f>
        <v>0</v>
      </c>
      <c r="E863" s="49"/>
      <c r="F863" s="49"/>
      <c r="G863" s="49"/>
      <c r="H863" s="51">
        <f>+F822</f>
        <v>5000000</v>
      </c>
      <c r="I863" s="53">
        <f>+E822</f>
        <v>23345</v>
      </c>
      <c r="J863" s="30">
        <f>+SUM(C863:G863)-(H863+I863)</f>
        <v>4154435</v>
      </c>
      <c r="K863" s="144" t="b">
        <f>+J863=I822</f>
        <v>1</v>
      </c>
    </row>
    <row r="864" spans="1:11">
      <c r="A864" s="122" t="str">
        <f t="shared" ref="A864" si="479">+A863</f>
        <v>AVRIL</v>
      </c>
      <c r="B864" s="37" t="s">
        <v>64</v>
      </c>
      <c r="C864" s="125">
        <f>+C823</f>
        <v>21521261</v>
      </c>
      <c r="D864" s="49">
        <f>+G823</f>
        <v>0</v>
      </c>
      <c r="E864" s="48"/>
      <c r="F864" s="48"/>
      <c r="G864" s="48"/>
      <c r="H864" s="32">
        <f>+F823</f>
        <v>0</v>
      </c>
      <c r="I864" s="50">
        <f>+E823</f>
        <v>5070305</v>
      </c>
      <c r="J864" s="30">
        <f>SUM(C864:G864)-(H864+I864)</f>
        <v>16450956</v>
      </c>
      <c r="K864" s="144" t="b">
        <f>+J864=I823</f>
        <v>1</v>
      </c>
    </row>
    <row r="865" spans="1:16" ht="15.75">
      <c r="C865" s="141">
        <f>SUM(C848:C864)</f>
        <v>31829567</v>
      </c>
      <c r="I865" s="140">
        <f>SUM(I848:I864)</f>
        <v>9054909</v>
      </c>
      <c r="J865" s="105">
        <f>+SUM(J848:J864)</f>
        <v>22774658</v>
      </c>
      <c r="K865" s="5" t="b">
        <f>J865=I837</f>
        <v>1</v>
      </c>
    </row>
    <row r="866" spans="1:16" ht="15.75">
      <c r="A866" s="160"/>
      <c r="B866" s="160"/>
      <c r="C866" s="161"/>
      <c r="D866" s="160"/>
      <c r="E866" s="160"/>
      <c r="F866" s="160"/>
      <c r="G866" s="160"/>
      <c r="H866" s="160"/>
      <c r="I866" s="162"/>
      <c r="J866" s="163"/>
      <c r="K866" s="160"/>
      <c r="L866" s="164"/>
      <c r="M866" s="164"/>
      <c r="N866" s="164"/>
      <c r="O866" s="164"/>
      <c r="P866" s="160"/>
    </row>
    <row r="869" spans="1:16" ht="15.75">
      <c r="A869" s="6" t="s">
        <v>36</v>
      </c>
      <c r="B869" s="6" t="s">
        <v>1</v>
      </c>
      <c r="C869" s="6">
        <v>44621</v>
      </c>
      <c r="D869" s="7" t="s">
        <v>37</v>
      </c>
      <c r="E869" s="7" t="s">
        <v>38</v>
      </c>
      <c r="F869" s="7" t="s">
        <v>39</v>
      </c>
      <c r="G869" s="7" t="s">
        <v>40</v>
      </c>
      <c r="H869" s="6">
        <v>44651</v>
      </c>
      <c r="I869" s="7" t="s">
        <v>41</v>
      </c>
      <c r="K869" s="45"/>
      <c r="L869" s="45" t="s">
        <v>42</v>
      </c>
      <c r="M869" s="45" t="s">
        <v>43</v>
      </c>
      <c r="N869" s="45" t="s">
        <v>44</v>
      </c>
      <c r="O869" s="45" t="s">
        <v>45</v>
      </c>
    </row>
    <row r="870" spans="1:16" ht="16.5">
      <c r="A870" s="58" t="str">
        <f>K870</f>
        <v>BCI</v>
      </c>
      <c r="B870" s="59" t="s">
        <v>46</v>
      </c>
      <c r="C870" s="61">
        <v>888683</v>
      </c>
      <c r="D870" s="61">
        <f>+L870</f>
        <v>0</v>
      </c>
      <c r="E870" s="61">
        <f>+N870</f>
        <v>543345</v>
      </c>
      <c r="F870" s="61">
        <f>+M870</f>
        <v>2600000</v>
      </c>
      <c r="G870" s="61">
        <f t="shared" ref="G870:G881" si="480">+O870</f>
        <v>11432442</v>
      </c>
      <c r="H870" s="61">
        <v>9177780</v>
      </c>
      <c r="I870" s="61">
        <f>+C870+D870-E870-F870+G870</f>
        <v>9177780</v>
      </c>
      <c r="J870" s="9">
        <f>I870-H870</f>
        <v>0</v>
      </c>
      <c r="K870" s="45" t="s">
        <v>24</v>
      </c>
      <c r="L870" s="47">
        <v>0</v>
      </c>
      <c r="M870" s="47">
        <v>2600000</v>
      </c>
      <c r="N870" s="47">
        <v>543345</v>
      </c>
      <c r="O870" s="47">
        <v>11432442</v>
      </c>
    </row>
    <row r="871" spans="1:16" ht="16.5">
      <c r="A871" s="58" t="str">
        <f t="shared" ref="A871:A884" si="481">K871</f>
        <v>BCI-Sous Compte</v>
      </c>
      <c r="B871" s="59" t="s">
        <v>46</v>
      </c>
      <c r="C871" s="61">
        <v>882502</v>
      </c>
      <c r="D871" s="61">
        <f t="shared" ref="D871:D884" si="482">+L871</f>
        <v>0</v>
      </c>
      <c r="E871" s="61">
        <f t="shared" ref="E871:E884" si="483">+N871</f>
        <v>6117606</v>
      </c>
      <c r="F871" s="61">
        <f t="shared" ref="F871:F884" si="484">+M871</f>
        <v>1600000</v>
      </c>
      <c r="G871" s="61">
        <f t="shared" si="480"/>
        <v>28356365</v>
      </c>
      <c r="H871" s="61">
        <v>21521261</v>
      </c>
      <c r="I871" s="61">
        <f>+C871+D871-E871-F871+G871</f>
        <v>21521261</v>
      </c>
      <c r="J871" s="9">
        <f t="shared" ref="J871:J878" si="485">I871-H871</f>
        <v>0</v>
      </c>
      <c r="K871" s="45" t="s">
        <v>148</v>
      </c>
      <c r="L871" s="47">
        <v>0</v>
      </c>
      <c r="M871" s="47">
        <v>1600000</v>
      </c>
      <c r="N871" s="47">
        <v>6117606</v>
      </c>
      <c r="O871" s="47">
        <v>28356365</v>
      </c>
    </row>
    <row r="872" spans="1:16" ht="16.5">
      <c r="A872" s="58" t="str">
        <f t="shared" si="481"/>
        <v>Caisse</v>
      </c>
      <c r="B872" s="59" t="s">
        <v>25</v>
      </c>
      <c r="C872" s="61">
        <v>797106</v>
      </c>
      <c r="D872" s="61">
        <f t="shared" si="482"/>
        <v>4270000</v>
      </c>
      <c r="E872" s="61">
        <f t="shared" si="483"/>
        <v>2099084</v>
      </c>
      <c r="F872" s="61">
        <f t="shared" si="484"/>
        <v>1808000</v>
      </c>
      <c r="G872" s="61">
        <f t="shared" si="480"/>
        <v>0</v>
      </c>
      <c r="H872" s="61">
        <v>1160022</v>
      </c>
      <c r="I872" s="61">
        <f>+C872+D872-E872-F872+G872</f>
        <v>1160022</v>
      </c>
      <c r="J872" s="102">
        <f t="shared" si="485"/>
        <v>0</v>
      </c>
      <c r="K872" s="45" t="s">
        <v>25</v>
      </c>
      <c r="L872" s="47">
        <v>4270000</v>
      </c>
      <c r="M872" s="47">
        <v>1808000</v>
      </c>
      <c r="N872" s="47">
        <v>2099084</v>
      </c>
      <c r="O872" s="47">
        <v>0</v>
      </c>
    </row>
    <row r="873" spans="1:16" ht="16.5">
      <c r="A873" s="58" t="str">
        <f t="shared" si="481"/>
        <v>Crépin</v>
      </c>
      <c r="B873" s="59" t="s">
        <v>154</v>
      </c>
      <c r="C873" s="61">
        <v>56050</v>
      </c>
      <c r="D873" s="61">
        <f t="shared" si="482"/>
        <v>0</v>
      </c>
      <c r="E873" s="61">
        <f t="shared" si="483"/>
        <v>4000</v>
      </c>
      <c r="F873" s="61">
        <f t="shared" si="484"/>
        <v>30000</v>
      </c>
      <c r="G873" s="61">
        <f t="shared" si="480"/>
        <v>0</v>
      </c>
      <c r="H873" s="61">
        <v>22050</v>
      </c>
      <c r="I873" s="61">
        <f>+C873+D873-E873-F873+G873</f>
        <v>22050</v>
      </c>
      <c r="J873" s="9">
        <f t="shared" si="485"/>
        <v>0</v>
      </c>
      <c r="K873" s="45" t="s">
        <v>47</v>
      </c>
      <c r="L873" s="47">
        <v>0</v>
      </c>
      <c r="M873" s="47">
        <v>30000</v>
      </c>
      <c r="N873" s="47">
        <v>4000</v>
      </c>
      <c r="O873" s="47">
        <v>0</v>
      </c>
    </row>
    <row r="874" spans="1:16" ht="16.5">
      <c r="A874" s="58" t="str">
        <f t="shared" si="481"/>
        <v>Evariste</v>
      </c>
      <c r="B874" s="59" t="s">
        <v>155</v>
      </c>
      <c r="C874" s="61">
        <v>21495</v>
      </c>
      <c r="D874" s="61">
        <f t="shared" si="482"/>
        <v>139000</v>
      </c>
      <c r="E874" s="61">
        <f t="shared" si="483"/>
        <v>146500</v>
      </c>
      <c r="F874" s="61">
        <f t="shared" si="484"/>
        <v>0</v>
      </c>
      <c r="G874" s="61">
        <f t="shared" si="480"/>
        <v>0</v>
      </c>
      <c r="H874" s="61">
        <v>13995</v>
      </c>
      <c r="I874" s="61">
        <f t="shared" ref="I874" si="486">+C874+D874-E874-F874+G874</f>
        <v>13995</v>
      </c>
      <c r="J874" s="9">
        <f t="shared" si="485"/>
        <v>0</v>
      </c>
      <c r="K874" s="45" t="s">
        <v>31</v>
      </c>
      <c r="L874" s="47">
        <v>139000</v>
      </c>
      <c r="M874" s="47">
        <v>0</v>
      </c>
      <c r="N874" s="47">
        <v>146500</v>
      </c>
      <c r="O874" s="47">
        <v>0</v>
      </c>
    </row>
    <row r="875" spans="1:16" ht="16.5">
      <c r="A875" s="58" t="str">
        <f t="shared" si="481"/>
        <v>Godfré</v>
      </c>
      <c r="B875" s="59" t="s">
        <v>154</v>
      </c>
      <c r="C875" s="61">
        <v>113185</v>
      </c>
      <c r="D875" s="61">
        <f t="shared" si="482"/>
        <v>188000</v>
      </c>
      <c r="E875" s="61">
        <f t="shared" si="483"/>
        <v>224700</v>
      </c>
      <c r="F875" s="61">
        <f t="shared" si="484"/>
        <v>40000</v>
      </c>
      <c r="G875" s="61">
        <f t="shared" si="480"/>
        <v>0</v>
      </c>
      <c r="H875" s="61">
        <v>36485</v>
      </c>
      <c r="I875" s="61">
        <f>+C875+D875-E875-F875+G875</f>
        <v>36485</v>
      </c>
      <c r="J875" s="9">
        <f t="shared" si="485"/>
        <v>0</v>
      </c>
      <c r="K875" s="45" t="s">
        <v>144</v>
      </c>
      <c r="L875" s="47">
        <v>188000</v>
      </c>
      <c r="M875" s="47">
        <v>40000</v>
      </c>
      <c r="N875" s="47">
        <v>224700</v>
      </c>
      <c r="O875" s="47">
        <v>0</v>
      </c>
    </row>
    <row r="876" spans="1:16" ht="16.5">
      <c r="A876" s="58" t="str">
        <f t="shared" si="481"/>
        <v>I55S</v>
      </c>
      <c r="B876" s="116" t="s">
        <v>4</v>
      </c>
      <c r="C876" s="118">
        <v>233614</v>
      </c>
      <c r="D876" s="118">
        <f t="shared" si="482"/>
        <v>0</v>
      </c>
      <c r="E876" s="118">
        <f t="shared" si="483"/>
        <v>0</v>
      </c>
      <c r="F876" s="118">
        <f t="shared" si="484"/>
        <v>0</v>
      </c>
      <c r="G876" s="118">
        <f t="shared" si="480"/>
        <v>0</v>
      </c>
      <c r="H876" s="118">
        <v>233614</v>
      </c>
      <c r="I876" s="118">
        <f>+C876+D876-E876-F876+G876</f>
        <v>233614</v>
      </c>
      <c r="J876" s="9">
        <f t="shared" si="485"/>
        <v>0</v>
      </c>
      <c r="K876" s="45" t="s">
        <v>84</v>
      </c>
      <c r="L876" s="47">
        <v>0</v>
      </c>
      <c r="M876" s="47">
        <v>0</v>
      </c>
      <c r="N876" s="47">
        <v>0</v>
      </c>
      <c r="O876" s="47">
        <v>0</v>
      </c>
    </row>
    <row r="877" spans="1:16" ht="16.5">
      <c r="A877" s="58" t="str">
        <f t="shared" si="481"/>
        <v>I73X</v>
      </c>
      <c r="B877" s="116" t="s">
        <v>4</v>
      </c>
      <c r="C877" s="118">
        <v>249769</v>
      </c>
      <c r="D877" s="118">
        <f t="shared" si="482"/>
        <v>0</v>
      </c>
      <c r="E877" s="118">
        <f t="shared" si="483"/>
        <v>0</v>
      </c>
      <c r="F877" s="118">
        <f t="shared" si="484"/>
        <v>0</v>
      </c>
      <c r="G877" s="118">
        <f t="shared" si="480"/>
        <v>0</v>
      </c>
      <c r="H877" s="118">
        <v>249769</v>
      </c>
      <c r="I877" s="118">
        <f t="shared" ref="I877:I880" si="487">+C877+D877-E877-F877+G877</f>
        <v>249769</v>
      </c>
      <c r="J877" s="9">
        <f t="shared" si="485"/>
        <v>0</v>
      </c>
      <c r="K877" s="45" t="s">
        <v>83</v>
      </c>
      <c r="L877" s="47">
        <v>0</v>
      </c>
      <c r="M877" s="47">
        <v>0</v>
      </c>
      <c r="N877" s="47">
        <v>0</v>
      </c>
      <c r="O877" s="47">
        <v>0</v>
      </c>
    </row>
    <row r="878" spans="1:16" ht="16.5">
      <c r="A878" s="58" t="str">
        <f t="shared" si="481"/>
        <v>Grace</v>
      </c>
      <c r="B878" s="98" t="s">
        <v>2</v>
      </c>
      <c r="C878" s="61">
        <v>20700</v>
      </c>
      <c r="D878" s="61">
        <f t="shared" si="482"/>
        <v>0</v>
      </c>
      <c r="E878" s="61">
        <f t="shared" si="483"/>
        <v>10000</v>
      </c>
      <c r="F878" s="61">
        <f t="shared" si="484"/>
        <v>0</v>
      </c>
      <c r="G878" s="61">
        <f t="shared" si="480"/>
        <v>0</v>
      </c>
      <c r="H878" s="61">
        <v>10700</v>
      </c>
      <c r="I878" s="61">
        <f t="shared" si="487"/>
        <v>10700</v>
      </c>
      <c r="J878" s="9">
        <f t="shared" si="485"/>
        <v>0</v>
      </c>
      <c r="K878" s="45" t="s">
        <v>143</v>
      </c>
      <c r="L878" s="47">
        <v>0</v>
      </c>
      <c r="M878" s="47">
        <v>0</v>
      </c>
      <c r="N878" s="47">
        <v>10000</v>
      </c>
      <c r="O878" s="47">
        <v>0</v>
      </c>
    </row>
    <row r="879" spans="1:16" ht="16.5">
      <c r="A879" s="58" t="str">
        <f t="shared" si="481"/>
        <v>Hurielle</v>
      </c>
      <c r="B879" s="59" t="s">
        <v>154</v>
      </c>
      <c r="C879" s="61">
        <v>0</v>
      </c>
      <c r="D879" s="61">
        <f t="shared" si="482"/>
        <v>135000</v>
      </c>
      <c r="E879" s="61">
        <f t="shared" si="483"/>
        <v>83000</v>
      </c>
      <c r="F879" s="61">
        <f t="shared" si="484"/>
        <v>0</v>
      </c>
      <c r="G879" s="61">
        <f t="shared" si="480"/>
        <v>0</v>
      </c>
      <c r="H879" s="61">
        <v>52000</v>
      </c>
      <c r="I879" s="61">
        <f t="shared" si="487"/>
        <v>52000</v>
      </c>
      <c r="J879" s="9">
        <f>I879-H879</f>
        <v>0</v>
      </c>
      <c r="K879" s="45" t="s">
        <v>197</v>
      </c>
      <c r="L879" s="47">
        <v>135000</v>
      </c>
      <c r="M879" s="47">
        <v>0</v>
      </c>
      <c r="N879" s="47">
        <v>83000</v>
      </c>
      <c r="O879" s="47">
        <v>0</v>
      </c>
    </row>
    <row r="880" spans="1:16" ht="16.5">
      <c r="A880" s="58" t="str">
        <f t="shared" si="481"/>
        <v>I23C</v>
      </c>
      <c r="B880" s="98" t="s">
        <v>4</v>
      </c>
      <c r="C880" s="61">
        <v>15550</v>
      </c>
      <c r="D880" s="61">
        <f t="shared" si="482"/>
        <v>747000</v>
      </c>
      <c r="E880" s="61">
        <f t="shared" si="483"/>
        <v>646500</v>
      </c>
      <c r="F880" s="61">
        <f t="shared" si="484"/>
        <v>0</v>
      </c>
      <c r="G880" s="61">
        <f t="shared" si="480"/>
        <v>0</v>
      </c>
      <c r="H880" s="61">
        <v>116050</v>
      </c>
      <c r="I880" s="61">
        <f t="shared" si="487"/>
        <v>116050</v>
      </c>
      <c r="J880" s="9">
        <f t="shared" ref="J880:J881" si="488">I880-H880</f>
        <v>0</v>
      </c>
      <c r="K880" s="45" t="s">
        <v>30</v>
      </c>
      <c r="L880" s="47">
        <v>747000</v>
      </c>
      <c r="M880" s="47">
        <v>0</v>
      </c>
      <c r="N880" s="47">
        <v>646500</v>
      </c>
      <c r="O880" s="47">
        <v>0</v>
      </c>
    </row>
    <row r="881" spans="1:15" ht="16.5">
      <c r="A881" s="58" t="str">
        <f t="shared" si="481"/>
        <v>Merveille</v>
      </c>
      <c r="B881" s="59" t="s">
        <v>2</v>
      </c>
      <c r="C881" s="61">
        <v>4800</v>
      </c>
      <c r="D881" s="61">
        <f t="shared" si="482"/>
        <v>20000</v>
      </c>
      <c r="E881" s="61">
        <f t="shared" si="483"/>
        <v>20400</v>
      </c>
      <c r="F881" s="61">
        <f t="shared" si="484"/>
        <v>0</v>
      </c>
      <c r="G881" s="61">
        <f t="shared" si="480"/>
        <v>0</v>
      </c>
      <c r="H881" s="61">
        <v>4400</v>
      </c>
      <c r="I881" s="61">
        <f>+C881+D881-E881-F881+G881</f>
        <v>4400</v>
      </c>
      <c r="J881" s="9">
        <f t="shared" si="488"/>
        <v>0</v>
      </c>
      <c r="K881" s="45" t="s">
        <v>93</v>
      </c>
      <c r="L881" s="47">
        <v>20000</v>
      </c>
      <c r="M881" s="47">
        <v>0</v>
      </c>
      <c r="N881" s="47">
        <v>20400</v>
      </c>
      <c r="O881" s="47"/>
    </row>
    <row r="882" spans="1:15" ht="16.5">
      <c r="A882" s="58" t="str">
        <f t="shared" si="481"/>
        <v>P29</v>
      </c>
      <c r="B882" s="59" t="s">
        <v>4</v>
      </c>
      <c r="C882" s="61">
        <v>136200</v>
      </c>
      <c r="D882" s="61">
        <f t="shared" si="482"/>
        <v>380000</v>
      </c>
      <c r="E882" s="61">
        <f t="shared" si="483"/>
        <v>500000</v>
      </c>
      <c r="F882" s="61">
        <f t="shared" si="484"/>
        <v>0</v>
      </c>
      <c r="G882" s="61">
        <f>+O882</f>
        <v>0</v>
      </c>
      <c r="H882" s="61">
        <v>16200</v>
      </c>
      <c r="I882" s="61">
        <f>+C882+D882-E882-F882+G882</f>
        <v>16200</v>
      </c>
      <c r="J882" s="9">
        <f>I882-H882</f>
        <v>0</v>
      </c>
      <c r="K882" s="45" t="s">
        <v>29</v>
      </c>
      <c r="L882" s="47">
        <v>380000</v>
      </c>
      <c r="M882" s="47">
        <v>0</v>
      </c>
      <c r="N882" s="47">
        <v>500000</v>
      </c>
      <c r="O882" s="47">
        <v>0</v>
      </c>
    </row>
    <row r="883" spans="1:15" ht="16.5">
      <c r="A883" s="58" t="str">
        <f t="shared" si="481"/>
        <v>Paule</v>
      </c>
      <c r="B883" s="59" t="s">
        <v>154</v>
      </c>
      <c r="C883" s="61">
        <v>0</v>
      </c>
      <c r="D883" s="61">
        <f t="shared" si="482"/>
        <v>129000</v>
      </c>
      <c r="E883" s="61">
        <f t="shared" si="483"/>
        <v>123000</v>
      </c>
      <c r="F883" s="61">
        <f t="shared" si="484"/>
        <v>0</v>
      </c>
      <c r="G883" s="61">
        <f>+O883</f>
        <v>0</v>
      </c>
      <c r="H883" s="61">
        <v>6000</v>
      </c>
      <c r="I883" s="61">
        <f>+C883+D883-E883-F883+G883</f>
        <v>6000</v>
      </c>
      <c r="J883" s="9">
        <f>I883-H883</f>
        <v>0</v>
      </c>
      <c r="K883" s="45" t="s">
        <v>196</v>
      </c>
      <c r="L883" s="47">
        <v>129000</v>
      </c>
      <c r="M883" s="47">
        <v>0</v>
      </c>
      <c r="N883" s="47">
        <v>123000</v>
      </c>
      <c r="O883" s="47">
        <v>0</v>
      </c>
    </row>
    <row r="884" spans="1:15" ht="16.5">
      <c r="A884" s="58" t="str">
        <f t="shared" si="481"/>
        <v>Tiffany</v>
      </c>
      <c r="B884" s="59" t="s">
        <v>2</v>
      </c>
      <c r="C884" s="61">
        <v>-36737</v>
      </c>
      <c r="D884" s="61">
        <f t="shared" si="482"/>
        <v>70000</v>
      </c>
      <c r="E884" s="61">
        <f t="shared" si="483"/>
        <v>824022</v>
      </c>
      <c r="F884" s="61">
        <f t="shared" si="484"/>
        <v>0</v>
      </c>
      <c r="G884" s="61">
        <f t="shared" ref="G884" si="489">+O884</f>
        <v>0</v>
      </c>
      <c r="H884" s="61">
        <v>-790759</v>
      </c>
      <c r="I884" s="61">
        <f t="shared" ref="I884" si="490">+C884+D884-E884-F884+G884</f>
        <v>-790759</v>
      </c>
      <c r="J884" s="9">
        <f t="shared" ref="J884" si="491">I884-H884</f>
        <v>0</v>
      </c>
      <c r="K884" s="45" t="s">
        <v>113</v>
      </c>
      <c r="L884" s="47">
        <v>70000</v>
      </c>
      <c r="M884" s="47">
        <v>0</v>
      </c>
      <c r="N884" s="47">
        <v>824022</v>
      </c>
      <c r="O884" s="47">
        <v>0</v>
      </c>
    </row>
    <row r="885" spans="1:15" ht="16.5">
      <c r="A885" s="10" t="s">
        <v>50</v>
      </c>
      <c r="B885" s="11"/>
      <c r="C885" s="12">
        <f t="shared" ref="C885:I885" si="492">SUM(C870:C884)</f>
        <v>3382917</v>
      </c>
      <c r="D885" s="57">
        <f t="shared" si="492"/>
        <v>6078000</v>
      </c>
      <c r="E885" s="57">
        <f t="shared" si="492"/>
        <v>11342157</v>
      </c>
      <c r="F885" s="57">
        <f t="shared" si="492"/>
        <v>6078000</v>
      </c>
      <c r="G885" s="57">
        <f t="shared" si="492"/>
        <v>39788807</v>
      </c>
      <c r="H885" s="57">
        <f t="shared" si="492"/>
        <v>31829567</v>
      </c>
      <c r="I885" s="57">
        <f t="shared" si="492"/>
        <v>31829567</v>
      </c>
      <c r="J885" s="9">
        <f>I885-H885</f>
        <v>0</v>
      </c>
      <c r="K885" s="3"/>
      <c r="L885" s="47">
        <f>+SUM(L870:L884)</f>
        <v>6078000</v>
      </c>
      <c r="M885" s="47">
        <f>+SUM(M870:M884)</f>
        <v>6078000</v>
      </c>
      <c r="N885" s="47">
        <f>+SUM(N870:N884)</f>
        <v>11342157</v>
      </c>
      <c r="O885" s="47">
        <f>+SUM(O870:O884)</f>
        <v>39788807</v>
      </c>
    </row>
    <row r="886" spans="1:15" ht="16.5">
      <c r="A886" s="10"/>
      <c r="B886" s="11"/>
      <c r="C886" s="12"/>
      <c r="D886" s="13"/>
      <c r="E886" s="12"/>
      <c r="F886" s="13"/>
      <c r="G886" s="12"/>
      <c r="H886" s="12"/>
      <c r="I886" s="134" t="b">
        <f>I885=D888</f>
        <v>1</v>
      </c>
      <c r="L886" s="5"/>
      <c r="M886" s="5"/>
      <c r="N886" s="5"/>
      <c r="O886" s="5"/>
    </row>
    <row r="887" spans="1:15" ht="16.5">
      <c r="A887" s="10" t="s">
        <v>189</v>
      </c>
      <c r="B887" s="11" t="s">
        <v>190</v>
      </c>
      <c r="C887" s="12" t="s">
        <v>194</v>
      </c>
      <c r="D887" s="12" t="s">
        <v>191</v>
      </c>
      <c r="E887" s="12" t="s">
        <v>51</v>
      </c>
      <c r="F887" s="12"/>
      <c r="G887" s="12">
        <f>+D885-F885</f>
        <v>0</v>
      </c>
      <c r="H887" s="12"/>
      <c r="I887" s="12"/>
    </row>
    <row r="888" spans="1:15" ht="16.5">
      <c r="A888" s="14">
        <f>C885</f>
        <v>3382917</v>
      </c>
      <c r="B888" s="15">
        <f>G885</f>
        <v>39788807</v>
      </c>
      <c r="C888" s="12">
        <f>E885</f>
        <v>11342157</v>
      </c>
      <c r="D888" s="12">
        <f>A888+B888-C888</f>
        <v>31829567</v>
      </c>
      <c r="E888" s="13">
        <f>I885-D888</f>
        <v>0</v>
      </c>
      <c r="F888" s="12"/>
      <c r="G888" s="12"/>
      <c r="H888" s="12"/>
      <c r="I888" s="12"/>
    </row>
    <row r="889" spans="1:15" ht="16.5">
      <c r="A889" s="14"/>
      <c r="B889" s="15"/>
      <c r="C889" s="12"/>
      <c r="D889" s="12"/>
      <c r="E889" s="13"/>
      <c r="F889" s="12"/>
      <c r="G889" s="12"/>
      <c r="H889" s="12"/>
      <c r="I889" s="12"/>
    </row>
    <row r="890" spans="1:15">
      <c r="A890" s="16" t="s">
        <v>52</v>
      </c>
      <c r="B890" s="16"/>
      <c r="C890" s="16"/>
      <c r="D890" s="17"/>
      <c r="E890" s="17"/>
      <c r="F890" s="17"/>
      <c r="G890" s="17"/>
      <c r="H890" s="17"/>
      <c r="I890" s="17"/>
    </row>
    <row r="891" spans="1:15">
      <c r="A891" s="18" t="s">
        <v>192</v>
      </c>
      <c r="B891" s="18"/>
      <c r="C891" s="18"/>
      <c r="D891" s="18"/>
      <c r="E891" s="18"/>
      <c r="F891" s="18"/>
      <c r="G891" s="18"/>
      <c r="H891" s="18"/>
      <c r="I891" s="18"/>
      <c r="J891" s="18"/>
    </row>
    <row r="892" spans="1:15">
      <c r="A892" s="19"/>
      <c r="B892" s="17"/>
      <c r="C892" s="20"/>
      <c r="D892" s="20"/>
      <c r="E892" s="20"/>
      <c r="F892" s="20"/>
      <c r="G892" s="20"/>
      <c r="H892" s="17"/>
      <c r="I892" s="17"/>
    </row>
    <row r="893" spans="1:15">
      <c r="A893" s="169" t="s">
        <v>53</v>
      </c>
      <c r="B893" s="171" t="s">
        <v>54</v>
      </c>
      <c r="C893" s="173" t="s">
        <v>193</v>
      </c>
      <c r="D893" s="174" t="s">
        <v>55</v>
      </c>
      <c r="E893" s="175"/>
      <c r="F893" s="175"/>
      <c r="G893" s="176"/>
      <c r="H893" s="177" t="s">
        <v>56</v>
      </c>
      <c r="I893" s="165" t="s">
        <v>57</v>
      </c>
      <c r="J893" s="17"/>
    </row>
    <row r="894" spans="1:15" ht="28.5" customHeight="1">
      <c r="A894" s="170"/>
      <c r="B894" s="172"/>
      <c r="C894" s="22"/>
      <c r="D894" s="21" t="s">
        <v>24</v>
      </c>
      <c r="E894" s="21" t="s">
        <v>25</v>
      </c>
      <c r="F894" s="22" t="s">
        <v>123</v>
      </c>
      <c r="G894" s="21" t="s">
        <v>58</v>
      </c>
      <c r="H894" s="178"/>
      <c r="I894" s="166"/>
      <c r="J894" s="167" t="s">
        <v>188</v>
      </c>
      <c r="K894" s="143"/>
    </row>
    <row r="895" spans="1:15">
      <c r="A895" s="23"/>
      <c r="B895" s="24" t="s">
        <v>59</v>
      </c>
      <c r="C895" s="25"/>
      <c r="D895" s="25"/>
      <c r="E895" s="25"/>
      <c r="F895" s="25"/>
      <c r="G895" s="25"/>
      <c r="H895" s="25"/>
      <c r="I895" s="26"/>
      <c r="J895" s="168"/>
      <c r="K895" s="143"/>
    </row>
    <row r="896" spans="1:15">
      <c r="A896" s="122" t="s">
        <v>120</v>
      </c>
      <c r="B896" s="127" t="s">
        <v>47</v>
      </c>
      <c r="C896" s="32">
        <f>+C873</f>
        <v>56050</v>
      </c>
      <c r="D896" s="31"/>
      <c r="E896" s="32">
        <f>+D873</f>
        <v>0</v>
      </c>
      <c r="F896" s="32"/>
      <c r="G896" s="32"/>
      <c r="H896" s="55">
        <f t="shared" ref="H896:H906" si="493">+F873</f>
        <v>30000</v>
      </c>
      <c r="I896" s="32">
        <f t="shared" ref="I896:I906" si="494">+E873</f>
        <v>4000</v>
      </c>
      <c r="J896" s="30">
        <f t="shared" ref="J896:J897" si="495">+SUM(C896:G896)-(H896+I896)</f>
        <v>22050</v>
      </c>
      <c r="K896" s="144" t="b">
        <f t="shared" ref="K896:K906" si="496">J896=I873</f>
        <v>1</v>
      </c>
    </row>
    <row r="897" spans="1:11">
      <c r="A897" s="122" t="str">
        <f>+A896</f>
        <v>MARS</v>
      </c>
      <c r="B897" s="127" t="s">
        <v>31</v>
      </c>
      <c r="C897" s="32">
        <f t="shared" ref="C897:C898" si="497">+C874</f>
        <v>21495</v>
      </c>
      <c r="D897" s="31"/>
      <c r="E897" s="32">
        <f t="shared" ref="E897:E898" si="498">+D874</f>
        <v>139000</v>
      </c>
      <c r="F897" s="32"/>
      <c r="G897" s="32"/>
      <c r="H897" s="55">
        <f t="shared" si="493"/>
        <v>0</v>
      </c>
      <c r="I897" s="32">
        <f t="shared" si="494"/>
        <v>146500</v>
      </c>
      <c r="J897" s="101">
        <f t="shared" si="495"/>
        <v>13995</v>
      </c>
      <c r="K897" s="144" t="b">
        <f t="shared" si="496"/>
        <v>1</v>
      </c>
    </row>
    <row r="898" spans="1:11">
      <c r="A898" s="122" t="str">
        <f t="shared" ref="A898:A903" si="499">+A897</f>
        <v>MARS</v>
      </c>
      <c r="B898" s="128" t="s">
        <v>144</v>
      </c>
      <c r="C898" s="32">
        <f t="shared" si="497"/>
        <v>113185</v>
      </c>
      <c r="D898" s="119"/>
      <c r="E898" s="32">
        <f t="shared" si="498"/>
        <v>188000</v>
      </c>
      <c r="F898" s="51"/>
      <c r="G898" s="51"/>
      <c r="H898" s="55">
        <f t="shared" si="493"/>
        <v>40000</v>
      </c>
      <c r="I898" s="32">
        <f t="shared" si="494"/>
        <v>224700</v>
      </c>
      <c r="J898" s="124">
        <f>+SUM(C898:G898)-(H898+I898)</f>
        <v>36485</v>
      </c>
      <c r="K898" s="144" t="b">
        <f t="shared" si="496"/>
        <v>1</v>
      </c>
    </row>
    <row r="899" spans="1:11">
      <c r="A899" s="122" t="str">
        <f t="shared" si="499"/>
        <v>MARS</v>
      </c>
      <c r="B899" s="129" t="s">
        <v>84</v>
      </c>
      <c r="C899" s="120">
        <f>+C876</f>
        <v>233614</v>
      </c>
      <c r="D899" s="123"/>
      <c r="E899" s="120">
        <f>+D876</f>
        <v>0</v>
      </c>
      <c r="F899" s="137"/>
      <c r="G899" s="137"/>
      <c r="H899" s="155">
        <f t="shared" si="493"/>
        <v>0</v>
      </c>
      <c r="I899" s="120">
        <f t="shared" si="494"/>
        <v>0</v>
      </c>
      <c r="J899" s="121">
        <f>+SUM(C899:G899)-(H899+I899)</f>
        <v>233614</v>
      </c>
      <c r="K899" s="144" t="b">
        <f t="shared" si="496"/>
        <v>1</v>
      </c>
    </row>
    <row r="900" spans="1:11">
      <c r="A900" s="122" t="str">
        <f t="shared" si="499"/>
        <v>MARS</v>
      </c>
      <c r="B900" s="129" t="s">
        <v>83</v>
      </c>
      <c r="C900" s="120">
        <f>+C877</f>
        <v>249769</v>
      </c>
      <c r="D900" s="123"/>
      <c r="E900" s="120">
        <f>+D877</f>
        <v>0</v>
      </c>
      <c r="F900" s="137"/>
      <c r="G900" s="137"/>
      <c r="H900" s="155">
        <f t="shared" si="493"/>
        <v>0</v>
      </c>
      <c r="I900" s="120">
        <f t="shared" si="494"/>
        <v>0</v>
      </c>
      <c r="J900" s="121">
        <f t="shared" ref="J900:J907" si="500">+SUM(C900:G900)-(H900+I900)</f>
        <v>249769</v>
      </c>
      <c r="K900" s="144" t="b">
        <f t="shared" si="496"/>
        <v>1</v>
      </c>
    </row>
    <row r="901" spans="1:11">
      <c r="A901" s="122" t="str">
        <f t="shared" si="499"/>
        <v>MARS</v>
      </c>
      <c r="B901" s="127" t="s">
        <v>143</v>
      </c>
      <c r="C901" s="32">
        <f>+C878</f>
        <v>20700</v>
      </c>
      <c r="D901" s="31"/>
      <c r="E901" s="32">
        <f>+D878</f>
        <v>0</v>
      </c>
      <c r="F901" s="32"/>
      <c r="G901" s="104"/>
      <c r="H901" s="55">
        <f t="shared" si="493"/>
        <v>0</v>
      </c>
      <c r="I901" s="32">
        <f t="shared" si="494"/>
        <v>10000</v>
      </c>
      <c r="J901" s="30">
        <f t="shared" si="500"/>
        <v>10700</v>
      </c>
      <c r="K901" s="144" t="b">
        <f t="shared" si="496"/>
        <v>1</v>
      </c>
    </row>
    <row r="902" spans="1:11">
      <c r="A902" s="122" t="str">
        <f t="shared" si="499"/>
        <v>MARS</v>
      </c>
      <c r="B902" s="127" t="s">
        <v>197</v>
      </c>
      <c r="C902" s="32">
        <f t="shared" ref="C902:C905" si="501">+C879</f>
        <v>0</v>
      </c>
      <c r="D902" s="31"/>
      <c r="E902" s="32">
        <f t="shared" ref="E902:E907" si="502">+D879</f>
        <v>135000</v>
      </c>
      <c r="F902" s="32"/>
      <c r="G902" s="104"/>
      <c r="H902" s="55">
        <f t="shared" si="493"/>
        <v>0</v>
      </c>
      <c r="I902" s="32">
        <f t="shared" si="494"/>
        <v>83000</v>
      </c>
      <c r="J902" s="30">
        <f t="shared" si="500"/>
        <v>52000</v>
      </c>
      <c r="K902" s="144" t="b">
        <f t="shared" si="496"/>
        <v>1</v>
      </c>
    </row>
    <row r="903" spans="1:11">
      <c r="A903" s="122" t="str">
        <f t="shared" si="499"/>
        <v>MARS</v>
      </c>
      <c r="B903" s="127" t="s">
        <v>30</v>
      </c>
      <c r="C903" s="32">
        <f t="shared" si="501"/>
        <v>15550</v>
      </c>
      <c r="D903" s="31"/>
      <c r="E903" s="32">
        <f t="shared" si="502"/>
        <v>747000</v>
      </c>
      <c r="F903" s="32"/>
      <c r="G903" s="104"/>
      <c r="H903" s="55">
        <f t="shared" si="493"/>
        <v>0</v>
      </c>
      <c r="I903" s="32">
        <f t="shared" si="494"/>
        <v>646500</v>
      </c>
      <c r="J903" s="30">
        <f t="shared" si="500"/>
        <v>116050</v>
      </c>
      <c r="K903" s="144" t="b">
        <f t="shared" si="496"/>
        <v>1</v>
      </c>
    </row>
    <row r="904" spans="1:11">
      <c r="A904" s="122" t="str">
        <f>+A902</f>
        <v>MARS</v>
      </c>
      <c r="B904" s="127" t="s">
        <v>93</v>
      </c>
      <c r="C904" s="32">
        <f t="shared" si="501"/>
        <v>4800</v>
      </c>
      <c r="D904" s="31"/>
      <c r="E904" s="32">
        <f t="shared" si="502"/>
        <v>20000</v>
      </c>
      <c r="F904" s="32"/>
      <c r="G904" s="104"/>
      <c r="H904" s="55">
        <f t="shared" si="493"/>
        <v>0</v>
      </c>
      <c r="I904" s="32">
        <f t="shared" si="494"/>
        <v>20400</v>
      </c>
      <c r="J904" s="30">
        <f t="shared" si="500"/>
        <v>4400</v>
      </c>
      <c r="K904" s="144" t="b">
        <f t="shared" si="496"/>
        <v>1</v>
      </c>
    </row>
    <row r="905" spans="1:11">
      <c r="A905" s="122" t="str">
        <f>+A903</f>
        <v>MARS</v>
      </c>
      <c r="B905" s="127" t="s">
        <v>29</v>
      </c>
      <c r="C905" s="32">
        <f t="shared" si="501"/>
        <v>136200</v>
      </c>
      <c r="D905" s="31"/>
      <c r="E905" s="32">
        <f t="shared" si="502"/>
        <v>380000</v>
      </c>
      <c r="F905" s="32"/>
      <c r="G905" s="104"/>
      <c r="H905" s="55">
        <f t="shared" si="493"/>
        <v>0</v>
      </c>
      <c r="I905" s="32">
        <f t="shared" si="494"/>
        <v>500000</v>
      </c>
      <c r="J905" s="30">
        <f t="shared" si="500"/>
        <v>16200</v>
      </c>
      <c r="K905" s="144" t="b">
        <f t="shared" si="496"/>
        <v>1</v>
      </c>
    </row>
    <row r="906" spans="1:11">
      <c r="A906" s="122" t="str">
        <f>+A904</f>
        <v>MARS</v>
      </c>
      <c r="B906" s="127" t="s">
        <v>196</v>
      </c>
      <c r="C906" s="32">
        <f>+C883</f>
        <v>0</v>
      </c>
      <c r="D906" s="31"/>
      <c r="E906" s="32">
        <f t="shared" si="502"/>
        <v>129000</v>
      </c>
      <c r="F906" s="32"/>
      <c r="G906" s="104"/>
      <c r="H906" s="55">
        <f t="shared" si="493"/>
        <v>0</v>
      </c>
      <c r="I906" s="32">
        <f t="shared" si="494"/>
        <v>123000</v>
      </c>
      <c r="J906" s="30">
        <f t="shared" ref="J906" si="503">+SUM(C906:G906)-(H906+I906)</f>
        <v>6000</v>
      </c>
      <c r="K906" s="144" t="b">
        <f t="shared" si="496"/>
        <v>1</v>
      </c>
    </row>
    <row r="907" spans="1:11">
      <c r="A907" s="122" t="str">
        <f>+A905</f>
        <v>MARS</v>
      </c>
      <c r="B907" s="128" t="s">
        <v>113</v>
      </c>
      <c r="C907" s="32">
        <f t="shared" ref="C907" si="504">+C884</f>
        <v>-36737</v>
      </c>
      <c r="D907" s="119"/>
      <c r="E907" s="32">
        <f t="shared" si="502"/>
        <v>70000</v>
      </c>
      <c r="F907" s="51"/>
      <c r="G907" s="138"/>
      <c r="H907" s="55">
        <f t="shared" ref="H907" si="505">+F884</f>
        <v>0</v>
      </c>
      <c r="I907" s="32">
        <f t="shared" ref="I907" si="506">+E884</f>
        <v>824022</v>
      </c>
      <c r="J907" s="30">
        <f t="shared" si="500"/>
        <v>-790759</v>
      </c>
      <c r="K907" s="144" t="b">
        <f t="shared" ref="K907" si="507">J907=I884</f>
        <v>1</v>
      </c>
    </row>
    <row r="908" spans="1:11">
      <c r="A908" s="34" t="s">
        <v>60</v>
      </c>
      <c r="B908" s="35"/>
      <c r="C908" s="35"/>
      <c r="D908" s="35"/>
      <c r="E908" s="35"/>
      <c r="F908" s="35"/>
      <c r="G908" s="35"/>
      <c r="H908" s="35"/>
      <c r="I908" s="35"/>
      <c r="J908" s="36"/>
      <c r="K908" s="143"/>
    </row>
    <row r="909" spans="1:11">
      <c r="A909" s="122" t="str">
        <f>+A907</f>
        <v>MARS</v>
      </c>
      <c r="B909" s="37" t="s">
        <v>61</v>
      </c>
      <c r="C909" s="38">
        <f>+C872</f>
        <v>797106</v>
      </c>
      <c r="D909" s="49"/>
      <c r="E909" s="49">
        <f>D872</f>
        <v>4270000</v>
      </c>
      <c r="F909" s="49"/>
      <c r="G909" s="125"/>
      <c r="H909" s="51">
        <f>+F872</f>
        <v>1808000</v>
      </c>
      <c r="I909" s="126">
        <f>+E872</f>
        <v>2099084</v>
      </c>
      <c r="J909" s="30">
        <f>+SUM(C909:G909)-(H909+I909)</f>
        <v>1160022</v>
      </c>
      <c r="K909" s="144" t="b">
        <f>J909=I872</f>
        <v>1</v>
      </c>
    </row>
    <row r="910" spans="1:11">
      <c r="A910" s="43" t="s">
        <v>62</v>
      </c>
      <c r="B910" s="24"/>
      <c r="C910" s="35"/>
      <c r="D910" s="24"/>
      <c r="E910" s="24"/>
      <c r="F910" s="24"/>
      <c r="G910" s="24"/>
      <c r="H910" s="24"/>
      <c r="I910" s="24"/>
      <c r="J910" s="36"/>
      <c r="K910" s="143"/>
    </row>
    <row r="911" spans="1:11">
      <c r="A911" s="122" t="str">
        <f>+A909</f>
        <v>MARS</v>
      </c>
      <c r="B911" s="37" t="s">
        <v>156</v>
      </c>
      <c r="C911" s="125">
        <f>+C870</f>
        <v>888683</v>
      </c>
      <c r="D911" s="132">
        <f>+G870</f>
        <v>11432442</v>
      </c>
      <c r="E911" s="49"/>
      <c r="F911" s="49"/>
      <c r="G911" s="49"/>
      <c r="H911" s="51">
        <f>+F870</f>
        <v>2600000</v>
      </c>
      <c r="I911" s="53">
        <f>+E870</f>
        <v>543345</v>
      </c>
      <c r="J911" s="30">
        <f>+SUM(C911:G911)-(H911+I911)</f>
        <v>9177780</v>
      </c>
      <c r="K911" s="144" t="b">
        <f>+J911=I870</f>
        <v>1</v>
      </c>
    </row>
    <row r="912" spans="1:11">
      <c r="A912" s="122" t="str">
        <f t="shared" ref="A912" si="508">+A911</f>
        <v>MARS</v>
      </c>
      <c r="B912" s="37" t="s">
        <v>64</v>
      </c>
      <c r="C912" s="125">
        <f>+C871</f>
        <v>882502</v>
      </c>
      <c r="D912" s="49">
        <f>+G871</f>
        <v>28356365</v>
      </c>
      <c r="E912" s="48"/>
      <c r="F912" s="48"/>
      <c r="G912" s="48"/>
      <c r="H912" s="32">
        <f>+F871</f>
        <v>1600000</v>
      </c>
      <c r="I912" s="50">
        <f>+E871</f>
        <v>6117606</v>
      </c>
      <c r="J912" s="30">
        <f>SUM(C912:G912)-(H912+I912)</f>
        <v>21521261</v>
      </c>
      <c r="K912" s="144" t="b">
        <f>+J912=I871</f>
        <v>1</v>
      </c>
    </row>
    <row r="913" spans="1:16" ht="15.75">
      <c r="C913" s="141">
        <f>SUM(C896:C912)</f>
        <v>3382917</v>
      </c>
      <c r="I913" s="140">
        <f>SUM(I896:I912)</f>
        <v>11342157</v>
      </c>
      <c r="J913" s="105">
        <f>+SUM(J896:J912)</f>
        <v>31829567</v>
      </c>
      <c r="K913" s="5" t="b">
        <f>J913=I885</f>
        <v>1</v>
      </c>
    </row>
    <row r="914" spans="1:16" ht="15.75">
      <c r="A914" s="160"/>
      <c r="B914" s="160"/>
      <c r="C914" s="161"/>
      <c r="D914" s="160"/>
      <c r="E914" s="160"/>
      <c r="F914" s="160"/>
      <c r="G914" s="160"/>
      <c r="H914" s="160"/>
      <c r="I914" s="162"/>
      <c r="J914" s="163"/>
      <c r="K914" s="160"/>
      <c r="L914" s="164"/>
      <c r="M914" s="164"/>
      <c r="N914" s="164"/>
      <c r="O914" s="164"/>
      <c r="P914" s="160"/>
    </row>
    <row r="918" spans="1:16" ht="15.75">
      <c r="A918" s="6" t="s">
        <v>36</v>
      </c>
      <c r="B918" s="6" t="s">
        <v>1</v>
      </c>
      <c r="C918" s="6">
        <v>44593</v>
      </c>
      <c r="D918" s="7" t="s">
        <v>37</v>
      </c>
      <c r="E918" s="7" t="s">
        <v>38</v>
      </c>
      <c r="F918" s="7" t="s">
        <v>39</v>
      </c>
      <c r="G918" s="7" t="s">
        <v>40</v>
      </c>
      <c r="H918" s="6">
        <v>44620</v>
      </c>
      <c r="I918" s="7" t="s">
        <v>41</v>
      </c>
      <c r="K918" s="45"/>
      <c r="L918" s="45" t="s">
        <v>42</v>
      </c>
      <c r="M918" s="45" t="s">
        <v>43</v>
      </c>
      <c r="N918" s="45" t="s">
        <v>44</v>
      </c>
      <c r="O918" s="45" t="s">
        <v>45</v>
      </c>
    </row>
    <row r="919" spans="1:16" ht="16.5">
      <c r="A919" s="58" t="str">
        <f>+K919</f>
        <v>B52</v>
      </c>
      <c r="B919" s="59" t="s">
        <v>4</v>
      </c>
      <c r="C919" s="61">
        <v>500</v>
      </c>
      <c r="D919" s="61">
        <f t="shared" ref="D919:D932" si="509">+L919</f>
        <v>50000</v>
      </c>
      <c r="E919" s="61">
        <f>+N919</f>
        <v>50500</v>
      </c>
      <c r="F919" s="61">
        <f>+M919</f>
        <v>0</v>
      </c>
      <c r="G919" s="61">
        <f t="shared" ref="G919:G930" si="510">+O919</f>
        <v>0</v>
      </c>
      <c r="H919" s="61">
        <v>0</v>
      </c>
      <c r="I919" s="61">
        <f>+C919+D919-E919-F919+G919</f>
        <v>0</v>
      </c>
      <c r="J919" s="9">
        <f>I919-H919</f>
        <v>0</v>
      </c>
      <c r="K919" s="45" t="s">
        <v>162</v>
      </c>
      <c r="L919" s="47">
        <v>50000</v>
      </c>
      <c r="M919" s="47">
        <v>0</v>
      </c>
      <c r="N919" s="47">
        <v>50500</v>
      </c>
      <c r="O919" s="47">
        <v>0</v>
      </c>
    </row>
    <row r="920" spans="1:16" ht="16.5">
      <c r="A920" s="58" t="str">
        <f>+K920</f>
        <v>BCI</v>
      </c>
      <c r="B920" s="59" t="s">
        <v>46</v>
      </c>
      <c r="C920" s="61">
        <v>2172028</v>
      </c>
      <c r="D920" s="61">
        <f t="shared" si="509"/>
        <v>0</v>
      </c>
      <c r="E920" s="61">
        <f>+N920</f>
        <v>283345</v>
      </c>
      <c r="F920" s="61">
        <f>+M920</f>
        <v>1000000</v>
      </c>
      <c r="G920" s="61">
        <f t="shared" si="510"/>
        <v>0</v>
      </c>
      <c r="H920" s="61">
        <v>888683</v>
      </c>
      <c r="I920" s="61">
        <f>+C920+D920-E920-F920+G920</f>
        <v>888683</v>
      </c>
      <c r="J920" s="9">
        <f t="shared" ref="J920:J927" si="511">I920-H920</f>
        <v>0</v>
      </c>
      <c r="K920" s="45" t="s">
        <v>24</v>
      </c>
      <c r="L920" s="47">
        <v>0</v>
      </c>
      <c r="M920" s="47">
        <v>1000000</v>
      </c>
      <c r="N920" s="47">
        <v>283345</v>
      </c>
      <c r="O920" s="47">
        <v>0</v>
      </c>
    </row>
    <row r="921" spans="1:16" ht="16.5">
      <c r="A921" s="58" t="str">
        <f t="shared" ref="A921:A923" si="512">+K921</f>
        <v>BCI-Sous Compte</v>
      </c>
      <c r="B921" s="59" t="s">
        <v>46</v>
      </c>
      <c r="C921" s="61">
        <v>14143094</v>
      </c>
      <c r="D921" s="61">
        <f t="shared" si="509"/>
        <v>0</v>
      </c>
      <c r="E921" s="61">
        <f>+N921</f>
        <v>4260592</v>
      </c>
      <c r="F921" s="61">
        <f>+M921</f>
        <v>9000000</v>
      </c>
      <c r="G921" s="61">
        <f t="shared" si="510"/>
        <v>0</v>
      </c>
      <c r="H921" s="61">
        <v>882502</v>
      </c>
      <c r="I921" s="61">
        <f>+C921+D921-E921-F921+G921</f>
        <v>882502</v>
      </c>
      <c r="J921" s="102">
        <f t="shared" si="511"/>
        <v>0</v>
      </c>
      <c r="K921" s="45" t="s">
        <v>148</v>
      </c>
      <c r="L921" s="47">
        <v>0</v>
      </c>
      <c r="M921" s="47">
        <v>9000000</v>
      </c>
      <c r="N921" s="47">
        <v>4260592</v>
      </c>
      <c r="O921" s="47">
        <v>0</v>
      </c>
    </row>
    <row r="922" spans="1:16" ht="16.5">
      <c r="A922" s="58" t="str">
        <f t="shared" si="512"/>
        <v>Caisse</v>
      </c>
      <c r="B922" s="59" t="s">
        <v>25</v>
      </c>
      <c r="C922" s="61">
        <v>580885</v>
      </c>
      <c r="D922" s="61">
        <f t="shared" si="509"/>
        <v>10511000</v>
      </c>
      <c r="E922" s="61">
        <f t="shared" ref="E922" si="513">+N922</f>
        <v>2520779</v>
      </c>
      <c r="F922" s="61">
        <f t="shared" ref="F922:F930" si="514">+M922</f>
        <v>7774000</v>
      </c>
      <c r="G922" s="61">
        <f t="shared" si="510"/>
        <v>0</v>
      </c>
      <c r="H922" s="61">
        <v>797106</v>
      </c>
      <c r="I922" s="61">
        <f>+C922+D922-E922-F922+G922</f>
        <v>797106</v>
      </c>
      <c r="J922" s="9">
        <f t="shared" si="511"/>
        <v>0</v>
      </c>
      <c r="K922" s="45" t="s">
        <v>25</v>
      </c>
      <c r="L922" s="47">
        <v>10511000</v>
      </c>
      <c r="M922" s="47">
        <v>7774000</v>
      </c>
      <c r="N922" s="47">
        <v>2520779</v>
      </c>
      <c r="O922" s="47">
        <v>0</v>
      </c>
    </row>
    <row r="923" spans="1:16" ht="16.5">
      <c r="A923" s="58" t="str">
        <f t="shared" si="512"/>
        <v>Crépin</v>
      </c>
      <c r="B923" s="59" t="s">
        <v>154</v>
      </c>
      <c r="C923" s="61">
        <v>9000</v>
      </c>
      <c r="D923" s="61">
        <f t="shared" si="509"/>
        <v>2509000</v>
      </c>
      <c r="E923" s="61">
        <f>+N923</f>
        <v>2021950</v>
      </c>
      <c r="F923" s="61">
        <f t="shared" si="514"/>
        <v>440000</v>
      </c>
      <c r="G923" s="61">
        <f t="shared" si="510"/>
        <v>0</v>
      </c>
      <c r="H923" s="61">
        <v>56050</v>
      </c>
      <c r="I923" s="61">
        <f t="shared" ref="I923" si="515">+C923+D923-E923-F923+G923</f>
        <v>56050</v>
      </c>
      <c r="J923" s="9">
        <f t="shared" si="511"/>
        <v>0</v>
      </c>
      <c r="K923" s="45" t="s">
        <v>47</v>
      </c>
      <c r="L923" s="47">
        <v>2509000</v>
      </c>
      <c r="M923" s="47">
        <v>440000</v>
      </c>
      <c r="N923" s="47">
        <v>2021950</v>
      </c>
      <c r="O923" s="47">
        <v>0</v>
      </c>
    </row>
    <row r="924" spans="1:16" ht="16.5">
      <c r="A924" s="58" t="str">
        <f>K924</f>
        <v>Evariste</v>
      </c>
      <c r="B924" s="59" t="s">
        <v>155</v>
      </c>
      <c r="C924" s="61">
        <v>8645</v>
      </c>
      <c r="D924" s="61">
        <f t="shared" si="509"/>
        <v>614000</v>
      </c>
      <c r="E924" s="61">
        <f t="shared" ref="E924" si="516">+N924</f>
        <v>601150</v>
      </c>
      <c r="F924" s="61">
        <f t="shared" si="514"/>
        <v>0</v>
      </c>
      <c r="G924" s="61">
        <f t="shared" si="510"/>
        <v>0</v>
      </c>
      <c r="H924" s="61">
        <v>21495</v>
      </c>
      <c r="I924" s="61">
        <f>+C924+D924-E924-F924+G924</f>
        <v>21495</v>
      </c>
      <c r="J924" s="9">
        <f t="shared" si="511"/>
        <v>0</v>
      </c>
      <c r="K924" s="45" t="s">
        <v>31</v>
      </c>
      <c r="L924" s="47">
        <v>614000</v>
      </c>
      <c r="M924" s="47">
        <v>0</v>
      </c>
      <c r="N924" s="47">
        <v>601150</v>
      </c>
      <c r="O924" s="47">
        <v>0</v>
      </c>
    </row>
    <row r="925" spans="1:16" ht="16.5">
      <c r="A925" s="115" t="str">
        <f t="shared" ref="A925:A932" si="517">+K925</f>
        <v>I55S</v>
      </c>
      <c r="B925" s="116" t="s">
        <v>4</v>
      </c>
      <c r="C925" s="118">
        <v>233614</v>
      </c>
      <c r="D925" s="118">
        <f t="shared" si="509"/>
        <v>0</v>
      </c>
      <c r="E925" s="118">
        <f>+N925</f>
        <v>0</v>
      </c>
      <c r="F925" s="118">
        <f t="shared" si="514"/>
        <v>0</v>
      </c>
      <c r="G925" s="118">
        <f t="shared" si="510"/>
        <v>0</v>
      </c>
      <c r="H925" s="118">
        <v>233614</v>
      </c>
      <c r="I925" s="118">
        <f>+C925+D925-E925-F925+G925</f>
        <v>233614</v>
      </c>
      <c r="J925" s="9">
        <f t="shared" si="511"/>
        <v>0</v>
      </c>
      <c r="K925" s="45" t="s">
        <v>84</v>
      </c>
      <c r="L925" s="47">
        <v>0</v>
      </c>
      <c r="M925" s="47">
        <v>0</v>
      </c>
      <c r="N925" s="47">
        <v>0</v>
      </c>
      <c r="O925" s="47">
        <v>0</v>
      </c>
    </row>
    <row r="926" spans="1:16" ht="16.5">
      <c r="A926" s="115" t="str">
        <f t="shared" si="517"/>
        <v>I73X</v>
      </c>
      <c r="B926" s="116" t="s">
        <v>4</v>
      </c>
      <c r="C926" s="118">
        <v>249769</v>
      </c>
      <c r="D926" s="118">
        <f t="shared" si="509"/>
        <v>0</v>
      </c>
      <c r="E926" s="118">
        <f>+N926</f>
        <v>0</v>
      </c>
      <c r="F926" s="118">
        <f t="shared" si="514"/>
        <v>0</v>
      </c>
      <c r="G926" s="118">
        <f t="shared" si="510"/>
        <v>0</v>
      </c>
      <c r="H926" s="118">
        <v>249769</v>
      </c>
      <c r="I926" s="118">
        <f t="shared" ref="I926:I929" si="518">+C926+D926-E926-F926+G926</f>
        <v>249769</v>
      </c>
      <c r="J926" s="9">
        <f t="shared" si="511"/>
        <v>0</v>
      </c>
      <c r="K926" s="45" t="s">
        <v>83</v>
      </c>
      <c r="L926" s="47">
        <v>0</v>
      </c>
      <c r="M926" s="47">
        <v>0</v>
      </c>
      <c r="N926" s="47">
        <v>0</v>
      </c>
      <c r="O926" s="47">
        <v>0</v>
      </c>
    </row>
    <row r="927" spans="1:16" ht="16.5">
      <c r="A927" s="58" t="str">
        <f t="shared" si="517"/>
        <v>Godfré</v>
      </c>
      <c r="B927" s="98" t="s">
        <v>154</v>
      </c>
      <c r="C927" s="61">
        <v>79935</v>
      </c>
      <c r="D927" s="61">
        <f t="shared" si="509"/>
        <v>1202000</v>
      </c>
      <c r="E927" s="154">
        <f t="shared" ref="E927" si="519">+N927</f>
        <v>1118750</v>
      </c>
      <c r="F927" s="61">
        <f t="shared" si="514"/>
        <v>50000</v>
      </c>
      <c r="G927" s="61">
        <f t="shared" si="510"/>
        <v>0</v>
      </c>
      <c r="H927" s="61">
        <v>113185</v>
      </c>
      <c r="I927" s="61">
        <f t="shared" si="518"/>
        <v>113185</v>
      </c>
      <c r="J927" s="9">
        <f t="shared" si="511"/>
        <v>0</v>
      </c>
      <c r="K927" s="45" t="s">
        <v>144</v>
      </c>
      <c r="L927" s="47">
        <v>1202000</v>
      </c>
      <c r="M927" s="47">
        <v>50000</v>
      </c>
      <c r="N927" s="47">
        <v>1118750</v>
      </c>
      <c r="O927" s="47">
        <v>0</v>
      </c>
    </row>
    <row r="928" spans="1:16" ht="16.5">
      <c r="A928" s="58" t="str">
        <f t="shared" si="517"/>
        <v>Grace</v>
      </c>
      <c r="B928" s="59" t="s">
        <v>2</v>
      </c>
      <c r="C928" s="61">
        <v>19800</v>
      </c>
      <c r="D928" s="61">
        <f t="shared" si="509"/>
        <v>3247000</v>
      </c>
      <c r="E928" s="154">
        <f>+N928</f>
        <v>1165100</v>
      </c>
      <c r="F928" s="61">
        <f t="shared" si="514"/>
        <v>2081000</v>
      </c>
      <c r="G928" s="61">
        <f t="shared" si="510"/>
        <v>0</v>
      </c>
      <c r="H928" s="61">
        <v>20700</v>
      </c>
      <c r="I928" s="61">
        <f t="shared" si="518"/>
        <v>20700</v>
      </c>
      <c r="J928" s="9">
        <f>I928-H928</f>
        <v>0</v>
      </c>
      <c r="K928" s="45" t="s">
        <v>143</v>
      </c>
      <c r="L928" s="47">
        <v>3247000</v>
      </c>
      <c r="M928" s="47">
        <v>2081000</v>
      </c>
      <c r="N928" s="47">
        <v>1165100</v>
      </c>
      <c r="O928" s="47">
        <v>0</v>
      </c>
    </row>
    <row r="929" spans="1:15" ht="16.5">
      <c r="A929" s="58" t="str">
        <f t="shared" si="517"/>
        <v>I23C</v>
      </c>
      <c r="B929" s="98" t="s">
        <v>4</v>
      </c>
      <c r="C929" s="61">
        <v>30550</v>
      </c>
      <c r="D929" s="61">
        <f t="shared" si="509"/>
        <v>1493000</v>
      </c>
      <c r="E929" s="154">
        <f t="shared" ref="E929:E932" si="520">+N929</f>
        <v>1238000</v>
      </c>
      <c r="F929" s="61">
        <f t="shared" si="514"/>
        <v>270000</v>
      </c>
      <c r="G929" s="61">
        <f t="shared" si="510"/>
        <v>0</v>
      </c>
      <c r="H929" s="61">
        <v>15550</v>
      </c>
      <c r="I929" s="61">
        <f t="shared" si="518"/>
        <v>15550</v>
      </c>
      <c r="J929" s="9">
        <f t="shared" ref="J929:J930" si="521">I929-H929</f>
        <v>0</v>
      </c>
      <c r="K929" s="45" t="s">
        <v>30</v>
      </c>
      <c r="L929" s="47">
        <v>1493000</v>
      </c>
      <c r="M929" s="47">
        <v>270000</v>
      </c>
      <c r="N929" s="47">
        <v>1238000</v>
      </c>
      <c r="O929" s="47">
        <v>0</v>
      </c>
    </row>
    <row r="930" spans="1:15" ht="16.5">
      <c r="A930" s="58" t="str">
        <f t="shared" si="517"/>
        <v>Merveille</v>
      </c>
      <c r="B930" s="59" t="s">
        <v>2</v>
      </c>
      <c r="C930" s="61">
        <v>13000</v>
      </c>
      <c r="D930" s="61">
        <f t="shared" si="509"/>
        <v>50000</v>
      </c>
      <c r="E930" s="154">
        <f t="shared" si="520"/>
        <v>58200</v>
      </c>
      <c r="F930" s="61">
        <f t="shared" si="514"/>
        <v>0</v>
      </c>
      <c r="G930" s="61">
        <f t="shared" si="510"/>
        <v>0</v>
      </c>
      <c r="H930" s="61">
        <v>4800</v>
      </c>
      <c r="I930" s="61">
        <f>+C930+D930-E930-F930+G930</f>
        <v>4800</v>
      </c>
      <c r="J930" s="9">
        <f t="shared" si="521"/>
        <v>0</v>
      </c>
      <c r="K930" s="45" t="s">
        <v>93</v>
      </c>
      <c r="L930" s="47">
        <v>50000</v>
      </c>
      <c r="M930" s="47">
        <v>0</v>
      </c>
      <c r="N930" s="47">
        <v>58200</v>
      </c>
      <c r="O930" s="47"/>
    </row>
    <row r="931" spans="1:15" ht="16.5">
      <c r="A931" s="58" t="str">
        <f t="shared" si="517"/>
        <v>P29</v>
      </c>
      <c r="B931" s="59" t="s">
        <v>4</v>
      </c>
      <c r="C931" s="61">
        <v>55700</v>
      </c>
      <c r="D931" s="61">
        <f t="shared" si="509"/>
        <v>1029000</v>
      </c>
      <c r="E931" s="154">
        <f t="shared" si="520"/>
        <v>648500</v>
      </c>
      <c r="F931" s="61">
        <f>+M931</f>
        <v>300000</v>
      </c>
      <c r="G931" s="61">
        <f>+O931</f>
        <v>0</v>
      </c>
      <c r="H931" s="61">
        <v>136200</v>
      </c>
      <c r="I931" s="61">
        <f>+C931+D931-E931-F931+G931</f>
        <v>136200</v>
      </c>
      <c r="J931" s="9">
        <f>I931-H931</f>
        <v>0</v>
      </c>
      <c r="K931" s="45" t="s">
        <v>29</v>
      </c>
      <c r="L931" s="47">
        <v>1029000</v>
      </c>
      <c r="M931" s="47">
        <v>300000</v>
      </c>
      <c r="N931" s="47">
        <v>648500</v>
      </c>
      <c r="O931" s="47">
        <v>0</v>
      </c>
    </row>
    <row r="932" spans="1:15" ht="16.5">
      <c r="A932" s="58" t="str">
        <f t="shared" si="517"/>
        <v>Tiffany</v>
      </c>
      <c r="B932" s="59" t="s">
        <v>2</v>
      </c>
      <c r="C932" s="61">
        <v>-36237</v>
      </c>
      <c r="D932" s="61">
        <f t="shared" si="509"/>
        <v>210000</v>
      </c>
      <c r="E932" s="154">
        <f t="shared" si="520"/>
        <v>210500</v>
      </c>
      <c r="F932" s="61">
        <f t="shared" ref="F932" si="522">+M932</f>
        <v>0</v>
      </c>
      <c r="G932" s="61">
        <f t="shared" ref="G932" si="523">+O932</f>
        <v>0</v>
      </c>
      <c r="H932" s="61">
        <v>-36737</v>
      </c>
      <c r="I932" s="61">
        <f t="shared" ref="I932" si="524">+C932+D932-E932-F932+G932</f>
        <v>-36737</v>
      </c>
      <c r="J932" s="9">
        <f t="shared" ref="J932" si="525">I932-H932</f>
        <v>0</v>
      </c>
      <c r="K932" s="45" t="s">
        <v>113</v>
      </c>
      <c r="L932" s="47">
        <v>210000</v>
      </c>
      <c r="M932" s="47">
        <v>0</v>
      </c>
      <c r="N932" s="47">
        <v>210500</v>
      </c>
      <c r="O932" s="47">
        <v>0</v>
      </c>
    </row>
    <row r="933" spans="1:15" ht="16.5">
      <c r="A933" s="10" t="s">
        <v>50</v>
      </c>
      <c r="B933" s="11"/>
      <c r="C933" s="12">
        <f t="shared" ref="C933:I933" si="526">SUM(C919:C932)</f>
        <v>17560283</v>
      </c>
      <c r="D933" s="57">
        <f t="shared" si="526"/>
        <v>20915000</v>
      </c>
      <c r="E933" s="57">
        <f t="shared" si="526"/>
        <v>14177366</v>
      </c>
      <c r="F933" s="57">
        <f t="shared" si="526"/>
        <v>20915000</v>
      </c>
      <c r="G933" s="57">
        <f t="shared" si="526"/>
        <v>0</v>
      </c>
      <c r="H933" s="57">
        <f t="shared" si="526"/>
        <v>3382917</v>
      </c>
      <c r="I933" s="57">
        <f t="shared" si="526"/>
        <v>3382917</v>
      </c>
      <c r="J933" s="9">
        <f>I933-H933</f>
        <v>0</v>
      </c>
      <c r="K933" s="3"/>
      <c r="L933" s="47">
        <f>+SUM(L919:L932)</f>
        <v>20915000</v>
      </c>
      <c r="M933" s="47">
        <f>+SUM(M919:M932)</f>
        <v>20915000</v>
      </c>
      <c r="N933" s="47">
        <f>+SUM(N919:N932)</f>
        <v>14177366</v>
      </c>
      <c r="O933" s="47">
        <f>+SUM(O919:O932)</f>
        <v>0</v>
      </c>
    </row>
    <row r="934" spans="1:15" ht="16.5">
      <c r="A934" s="10"/>
      <c r="B934" s="11"/>
      <c r="C934" s="12"/>
      <c r="D934" s="13"/>
      <c r="E934" s="12"/>
      <c r="F934" s="13"/>
      <c r="G934" s="12"/>
      <c r="H934" s="12"/>
      <c r="I934" s="134" t="b">
        <f>I933=D936</f>
        <v>1</v>
      </c>
      <c r="L934" s="5"/>
      <c r="M934" s="5"/>
      <c r="N934" s="5"/>
      <c r="O934" s="5"/>
    </row>
    <row r="935" spans="1:15" ht="16.5">
      <c r="A935" s="10" t="s">
        <v>182</v>
      </c>
      <c r="B935" s="11" t="s">
        <v>183</v>
      </c>
      <c r="C935" s="12" t="s">
        <v>184</v>
      </c>
      <c r="D935" s="12" t="s">
        <v>195</v>
      </c>
      <c r="E935" s="12" t="s">
        <v>51</v>
      </c>
      <c r="F935" s="12"/>
      <c r="G935" s="12">
        <f>+D933-F933</f>
        <v>0</v>
      </c>
      <c r="H935" s="12"/>
      <c r="I935" s="12"/>
    </row>
    <row r="936" spans="1:15" ht="16.5">
      <c r="A936" s="14">
        <f>C933</f>
        <v>17560283</v>
      </c>
      <c r="B936" s="15">
        <f>G933</f>
        <v>0</v>
      </c>
      <c r="C936" s="12">
        <f>E933</f>
        <v>14177366</v>
      </c>
      <c r="D936" s="12">
        <f>A936+B936-C936</f>
        <v>3382917</v>
      </c>
      <c r="E936" s="13">
        <f>I933-D936</f>
        <v>0</v>
      </c>
      <c r="F936" s="12"/>
      <c r="G936" s="12"/>
      <c r="H936" s="12"/>
      <c r="I936" s="12"/>
    </row>
    <row r="937" spans="1:15" ht="16.5">
      <c r="A937" s="14"/>
      <c r="B937" s="15"/>
      <c r="C937" s="12"/>
      <c r="D937" s="12"/>
      <c r="E937" s="13"/>
      <c r="F937" s="12"/>
      <c r="G937" s="12"/>
      <c r="H937" s="12"/>
      <c r="I937" s="12"/>
    </row>
    <row r="938" spans="1:15">
      <c r="A938" s="16" t="s">
        <v>52</v>
      </c>
      <c r="B938" s="16"/>
      <c r="C938" s="16"/>
      <c r="D938" s="17"/>
      <c r="E938" s="17"/>
      <c r="F938" s="17"/>
      <c r="G938" s="17"/>
      <c r="H938" s="17"/>
      <c r="I938" s="17"/>
    </row>
    <row r="939" spans="1:15">
      <c r="A939" s="18" t="s">
        <v>186</v>
      </c>
      <c r="B939" s="18"/>
      <c r="C939" s="18"/>
      <c r="D939" s="18"/>
      <c r="E939" s="18"/>
      <c r="F939" s="18"/>
      <c r="G939" s="18"/>
      <c r="H939" s="18"/>
      <c r="I939" s="18"/>
      <c r="J939" s="18"/>
    </row>
    <row r="940" spans="1:15">
      <c r="A940" s="19"/>
      <c r="B940" s="17"/>
      <c r="C940" s="20"/>
      <c r="D940" s="20"/>
      <c r="E940" s="20"/>
      <c r="F940" s="20"/>
      <c r="G940" s="20"/>
      <c r="H940" s="17"/>
      <c r="I940" s="17"/>
    </row>
    <row r="941" spans="1:15">
      <c r="A941" s="169" t="s">
        <v>53</v>
      </c>
      <c r="B941" s="171" t="s">
        <v>54</v>
      </c>
      <c r="C941" s="173" t="s">
        <v>185</v>
      </c>
      <c r="D941" s="174" t="s">
        <v>55</v>
      </c>
      <c r="E941" s="175"/>
      <c r="F941" s="175"/>
      <c r="G941" s="176"/>
      <c r="H941" s="177" t="s">
        <v>56</v>
      </c>
      <c r="I941" s="165" t="s">
        <v>57</v>
      </c>
      <c r="J941" s="17"/>
    </row>
    <row r="942" spans="1:15" ht="28.5" customHeight="1">
      <c r="A942" s="170"/>
      <c r="B942" s="172"/>
      <c r="C942" s="22"/>
      <c r="D942" s="21" t="s">
        <v>24</v>
      </c>
      <c r="E942" s="21" t="s">
        <v>25</v>
      </c>
      <c r="F942" s="22" t="s">
        <v>123</v>
      </c>
      <c r="G942" s="21" t="s">
        <v>58</v>
      </c>
      <c r="H942" s="178"/>
      <c r="I942" s="166"/>
      <c r="J942" s="167" t="s">
        <v>187</v>
      </c>
      <c r="K942" s="143"/>
    </row>
    <row r="943" spans="1:15">
      <c r="A943" s="23"/>
      <c r="B943" s="24" t="s">
        <v>59</v>
      </c>
      <c r="C943" s="25"/>
      <c r="D943" s="25"/>
      <c r="E943" s="25"/>
      <c r="F943" s="25"/>
      <c r="G943" s="25"/>
      <c r="H943" s="25"/>
      <c r="I943" s="26"/>
      <c r="J943" s="168"/>
      <c r="K943" s="143"/>
    </row>
    <row r="944" spans="1:15">
      <c r="A944" s="122" t="s">
        <v>115</v>
      </c>
      <c r="B944" s="127" t="s">
        <v>162</v>
      </c>
      <c r="C944" s="32">
        <f>+C919</f>
        <v>500</v>
      </c>
      <c r="D944" s="31"/>
      <c r="E944" s="32">
        <f>+D919</f>
        <v>50000</v>
      </c>
      <c r="F944" s="32"/>
      <c r="G944" s="32"/>
      <c r="H944" s="55">
        <f>+F919</f>
        <v>0</v>
      </c>
      <c r="I944" s="32">
        <f>+E919</f>
        <v>50500</v>
      </c>
      <c r="J944" s="30">
        <f t="shared" ref="J944:J945" si="527">+SUM(C944:G944)-(H944+I944)</f>
        <v>0</v>
      </c>
      <c r="K944" s="144" t="b">
        <f>J944=I919</f>
        <v>1</v>
      </c>
    </row>
    <row r="945" spans="1:11">
      <c r="A945" s="122" t="str">
        <f>+A944</f>
        <v>FEVRIER</v>
      </c>
      <c r="B945" s="127" t="s">
        <v>47</v>
      </c>
      <c r="C945" s="32">
        <f>+C923</f>
        <v>9000</v>
      </c>
      <c r="D945" s="31"/>
      <c r="E945" s="32">
        <f>+D923</f>
        <v>2509000</v>
      </c>
      <c r="F945" s="32"/>
      <c r="G945" s="32"/>
      <c r="H945" s="55">
        <f>+F923</f>
        <v>440000</v>
      </c>
      <c r="I945" s="32">
        <f>+E923</f>
        <v>2021950</v>
      </c>
      <c r="J945" s="101">
        <f t="shared" si="527"/>
        <v>56050</v>
      </c>
      <c r="K945" s="144" t="b">
        <f t="shared" ref="K945:K954" si="528">J945=I923</f>
        <v>1</v>
      </c>
    </row>
    <row r="946" spans="1:11">
      <c r="A946" s="122" t="str">
        <f t="shared" ref="A946:A954" si="529">+A945</f>
        <v>FEVRIER</v>
      </c>
      <c r="B946" s="128" t="s">
        <v>31</v>
      </c>
      <c r="C946" s="32">
        <f>+C924</f>
        <v>8645</v>
      </c>
      <c r="D946" s="119"/>
      <c r="E946" s="32">
        <f>+D924</f>
        <v>614000</v>
      </c>
      <c r="F946" s="51"/>
      <c r="G946" s="51"/>
      <c r="H946" s="55">
        <f>+F924</f>
        <v>0</v>
      </c>
      <c r="I946" s="32">
        <f>+E924</f>
        <v>601150</v>
      </c>
      <c r="J946" s="124">
        <f>+SUM(C946:G946)-(H946+I946)</f>
        <v>21495</v>
      </c>
      <c r="K946" s="144" t="b">
        <f t="shared" si="528"/>
        <v>1</v>
      </c>
    </row>
    <row r="947" spans="1:11">
      <c r="A947" s="122" t="str">
        <f t="shared" si="529"/>
        <v>FEVRIER</v>
      </c>
      <c r="B947" s="129" t="s">
        <v>84</v>
      </c>
      <c r="C947" s="120">
        <f>+C925</f>
        <v>233614</v>
      </c>
      <c r="D947" s="123"/>
      <c r="E947" s="120">
        <f>+D925</f>
        <v>0</v>
      </c>
      <c r="F947" s="137"/>
      <c r="G947" s="137"/>
      <c r="H947" s="155">
        <f>+F925</f>
        <v>0</v>
      </c>
      <c r="I947" s="120">
        <f>+E925</f>
        <v>0</v>
      </c>
      <c r="J947" s="121">
        <f>+SUM(C947:G947)-(H947+I947)</f>
        <v>233614</v>
      </c>
      <c r="K947" s="144" t="b">
        <f t="shared" si="528"/>
        <v>1</v>
      </c>
    </row>
    <row r="948" spans="1:11">
      <c r="A948" s="122" t="str">
        <f t="shared" si="529"/>
        <v>FEVRIER</v>
      </c>
      <c r="B948" s="129" t="s">
        <v>83</v>
      </c>
      <c r="C948" s="120">
        <f>+C926</f>
        <v>249769</v>
      </c>
      <c r="D948" s="123"/>
      <c r="E948" s="120">
        <f>+D926</f>
        <v>0</v>
      </c>
      <c r="F948" s="137"/>
      <c r="G948" s="137"/>
      <c r="H948" s="155">
        <f>+F926</f>
        <v>0</v>
      </c>
      <c r="I948" s="120">
        <f>+E926</f>
        <v>0</v>
      </c>
      <c r="J948" s="121">
        <f t="shared" ref="J948:J954" si="530">+SUM(C948:G948)-(H948+I948)</f>
        <v>249769</v>
      </c>
      <c r="K948" s="144" t="b">
        <f t="shared" si="528"/>
        <v>1</v>
      </c>
    </row>
    <row r="949" spans="1:11">
      <c r="A949" s="122" t="str">
        <f t="shared" si="529"/>
        <v>FEVRIER</v>
      </c>
      <c r="B949" s="127" t="s">
        <v>144</v>
      </c>
      <c r="C949" s="32">
        <f>+C927</f>
        <v>79935</v>
      </c>
      <c r="D949" s="31"/>
      <c r="E949" s="32">
        <f>+D927</f>
        <v>1202000</v>
      </c>
      <c r="F949" s="32"/>
      <c r="G949" s="104"/>
      <c r="H949" s="55">
        <f>+F927</f>
        <v>50000</v>
      </c>
      <c r="I949" s="32">
        <f>+E927</f>
        <v>1118750</v>
      </c>
      <c r="J949" s="30">
        <f t="shared" si="530"/>
        <v>113185</v>
      </c>
      <c r="K949" s="144" t="b">
        <f t="shared" si="528"/>
        <v>1</v>
      </c>
    </row>
    <row r="950" spans="1:11">
      <c r="A950" s="122" t="str">
        <f t="shared" si="529"/>
        <v>FEVRIER</v>
      </c>
      <c r="B950" s="127" t="s">
        <v>143</v>
      </c>
      <c r="C950" s="32">
        <f t="shared" ref="C950:C954" si="531">+C928</f>
        <v>19800</v>
      </c>
      <c r="D950" s="31"/>
      <c r="E950" s="32">
        <f t="shared" ref="E950:E954" si="532">+D928</f>
        <v>3247000</v>
      </c>
      <c r="F950" s="32"/>
      <c r="G950" s="104"/>
      <c r="H950" s="55">
        <f t="shared" ref="H950:H954" si="533">+F928</f>
        <v>2081000</v>
      </c>
      <c r="I950" s="32">
        <f t="shared" ref="I950:I954" si="534">+E928</f>
        <v>1165100</v>
      </c>
      <c r="J950" s="30">
        <f t="shared" si="530"/>
        <v>20700</v>
      </c>
      <c r="K950" s="144" t="b">
        <f t="shared" si="528"/>
        <v>1</v>
      </c>
    </row>
    <row r="951" spans="1:11">
      <c r="A951" s="122" t="str">
        <f t="shared" si="529"/>
        <v>FEVRIER</v>
      </c>
      <c r="B951" s="127" t="s">
        <v>30</v>
      </c>
      <c r="C951" s="32">
        <f t="shared" si="531"/>
        <v>30550</v>
      </c>
      <c r="D951" s="31"/>
      <c r="E951" s="32">
        <f t="shared" si="532"/>
        <v>1493000</v>
      </c>
      <c r="F951" s="32"/>
      <c r="G951" s="104"/>
      <c r="H951" s="55">
        <f t="shared" si="533"/>
        <v>270000</v>
      </c>
      <c r="I951" s="32">
        <f t="shared" si="534"/>
        <v>1238000</v>
      </c>
      <c r="J951" s="30">
        <f t="shared" si="530"/>
        <v>15550</v>
      </c>
      <c r="K951" s="144" t="b">
        <f t="shared" si="528"/>
        <v>1</v>
      </c>
    </row>
    <row r="952" spans="1:11">
      <c r="A952" s="122" t="str">
        <f>+A950</f>
        <v>FEVRIER</v>
      </c>
      <c r="B952" s="127" t="s">
        <v>93</v>
      </c>
      <c r="C952" s="32">
        <f t="shared" si="531"/>
        <v>13000</v>
      </c>
      <c r="D952" s="31"/>
      <c r="E952" s="32">
        <f t="shared" si="532"/>
        <v>50000</v>
      </c>
      <c r="F952" s="32"/>
      <c r="G952" s="104"/>
      <c r="H952" s="55">
        <f t="shared" si="533"/>
        <v>0</v>
      </c>
      <c r="I952" s="32">
        <f t="shared" si="534"/>
        <v>58200</v>
      </c>
      <c r="J952" s="30">
        <f t="shared" si="530"/>
        <v>4800</v>
      </c>
      <c r="K952" s="144" t="b">
        <f t="shared" si="528"/>
        <v>1</v>
      </c>
    </row>
    <row r="953" spans="1:11">
      <c r="A953" s="122" t="str">
        <f>+A951</f>
        <v>FEVRIER</v>
      </c>
      <c r="B953" s="127" t="s">
        <v>29</v>
      </c>
      <c r="C953" s="32">
        <f t="shared" si="531"/>
        <v>55700</v>
      </c>
      <c r="D953" s="31"/>
      <c r="E953" s="32">
        <f t="shared" si="532"/>
        <v>1029000</v>
      </c>
      <c r="F953" s="32"/>
      <c r="G953" s="104"/>
      <c r="H953" s="55">
        <f t="shared" si="533"/>
        <v>300000</v>
      </c>
      <c r="I953" s="32">
        <f t="shared" si="534"/>
        <v>648500</v>
      </c>
      <c r="J953" s="30">
        <f t="shared" si="530"/>
        <v>136200</v>
      </c>
      <c r="K953" s="144" t="b">
        <f t="shared" si="528"/>
        <v>1</v>
      </c>
    </row>
    <row r="954" spans="1:11">
      <c r="A954" s="122" t="str">
        <f t="shared" si="529"/>
        <v>FEVRIER</v>
      </c>
      <c r="B954" s="128" t="s">
        <v>113</v>
      </c>
      <c r="C954" s="32">
        <f t="shared" si="531"/>
        <v>-36237</v>
      </c>
      <c r="D954" s="119"/>
      <c r="E954" s="32">
        <f t="shared" si="532"/>
        <v>210000</v>
      </c>
      <c r="F954" s="51"/>
      <c r="G954" s="138"/>
      <c r="H954" s="55">
        <f t="shared" si="533"/>
        <v>0</v>
      </c>
      <c r="I954" s="32">
        <f t="shared" si="534"/>
        <v>210500</v>
      </c>
      <c r="J954" s="30">
        <f t="shared" si="530"/>
        <v>-36737</v>
      </c>
      <c r="K954" s="144" t="b">
        <f t="shared" si="528"/>
        <v>1</v>
      </c>
    </row>
    <row r="955" spans="1:11">
      <c r="A955" s="34" t="s">
        <v>60</v>
      </c>
      <c r="B955" s="35"/>
      <c r="C955" s="35"/>
      <c r="D955" s="35"/>
      <c r="E955" s="35"/>
      <c r="F955" s="35"/>
      <c r="G955" s="35"/>
      <c r="H955" s="35"/>
      <c r="I955" s="35"/>
      <c r="J955" s="36"/>
      <c r="K955" s="143"/>
    </row>
    <row r="956" spans="1:11">
      <c r="A956" s="122" t="str">
        <f>+A954</f>
        <v>FEVRIER</v>
      </c>
      <c r="B956" s="37" t="s">
        <v>61</v>
      </c>
      <c r="C956" s="38">
        <f>+C922</f>
        <v>580885</v>
      </c>
      <c r="D956" s="49"/>
      <c r="E956" s="49">
        <f>D922</f>
        <v>10511000</v>
      </c>
      <c r="F956" s="49"/>
      <c r="G956" s="125"/>
      <c r="H956" s="51">
        <f>+F922</f>
        <v>7774000</v>
      </c>
      <c r="I956" s="126">
        <f>+E922</f>
        <v>2520779</v>
      </c>
      <c r="J956" s="30">
        <f>+SUM(C956:G956)-(H956+I956)</f>
        <v>797106</v>
      </c>
      <c r="K956" s="144" t="b">
        <f>J956=I922</f>
        <v>1</v>
      </c>
    </row>
    <row r="957" spans="1:11">
      <c r="A957" s="43" t="s">
        <v>62</v>
      </c>
      <c r="B957" s="24"/>
      <c r="C957" s="35"/>
      <c r="D957" s="24"/>
      <c r="E957" s="24"/>
      <c r="F957" s="24"/>
      <c r="G957" s="24"/>
      <c r="H957" s="24"/>
      <c r="I957" s="24"/>
      <c r="J957" s="36"/>
      <c r="K957" s="143"/>
    </row>
    <row r="958" spans="1:11">
      <c r="A958" s="122" t="str">
        <f>+A956</f>
        <v>FEVRIER</v>
      </c>
      <c r="B958" s="37" t="s">
        <v>156</v>
      </c>
      <c r="C958" s="125">
        <f>+C920</f>
        <v>2172028</v>
      </c>
      <c r="D958" s="132">
        <f>+G920</f>
        <v>0</v>
      </c>
      <c r="E958" s="49"/>
      <c r="F958" s="49"/>
      <c r="G958" s="49"/>
      <c r="H958" s="51">
        <f>+F920</f>
        <v>1000000</v>
      </c>
      <c r="I958" s="53">
        <f>+E920</f>
        <v>283345</v>
      </c>
      <c r="J958" s="30">
        <f>+SUM(C958:G958)-(H958+I958)</f>
        <v>888683</v>
      </c>
      <c r="K958" s="144" t="b">
        <f>+J958=I920</f>
        <v>1</v>
      </c>
    </row>
    <row r="959" spans="1:11">
      <c r="A959" s="122" t="str">
        <f t="shared" ref="A959" si="535">+A958</f>
        <v>FEVRIER</v>
      </c>
      <c r="B959" s="37" t="s">
        <v>64</v>
      </c>
      <c r="C959" s="125">
        <f>+C921</f>
        <v>14143094</v>
      </c>
      <c r="D959" s="49">
        <f>+G921</f>
        <v>0</v>
      </c>
      <c r="E959" s="48"/>
      <c r="F959" s="48"/>
      <c r="G959" s="48"/>
      <c r="H959" s="32">
        <f>+F921</f>
        <v>9000000</v>
      </c>
      <c r="I959" s="50">
        <f>+E921</f>
        <v>4260592</v>
      </c>
      <c r="J959" s="30">
        <f>SUM(C959:G959)-(H959+I959)</f>
        <v>882502</v>
      </c>
      <c r="K959" s="144" t="b">
        <f>+J959=I921</f>
        <v>1</v>
      </c>
    </row>
    <row r="960" spans="1:11" ht="15.75">
      <c r="C960" s="141">
        <f>SUM(C944:C959)</f>
        <v>17560283</v>
      </c>
      <c r="I960" s="140">
        <f>SUM(I944:I959)</f>
        <v>14177366</v>
      </c>
      <c r="J960" s="105">
        <f>+SUM(J944:J959)</f>
        <v>3382917</v>
      </c>
      <c r="K960" s="5" t="b">
        <f>J960=I933</f>
        <v>1</v>
      </c>
    </row>
    <row r="961" spans="1:16" ht="15.75">
      <c r="A961" s="160"/>
      <c r="B961" s="160"/>
      <c r="C961" s="161"/>
      <c r="D961" s="160"/>
      <c r="E961" s="160"/>
      <c r="F961" s="160"/>
      <c r="G961" s="160"/>
      <c r="H961" s="160"/>
      <c r="I961" s="162"/>
      <c r="J961" s="163"/>
      <c r="K961" s="160"/>
      <c r="L961" s="164"/>
      <c r="M961" s="164"/>
      <c r="N961" s="164"/>
      <c r="O961" s="164"/>
      <c r="P961" s="160"/>
    </row>
    <row r="962" spans="1:16" ht="15.75">
      <c r="A962" s="160"/>
      <c r="B962" s="160"/>
      <c r="C962" s="161"/>
      <c r="D962" s="160"/>
      <c r="E962" s="160"/>
      <c r="F962" s="160"/>
      <c r="G962" s="160"/>
      <c r="H962" s="160"/>
      <c r="I962" s="162"/>
      <c r="J962" s="163"/>
      <c r="K962" s="160"/>
      <c r="L962" s="164"/>
      <c r="M962" s="164"/>
      <c r="N962" s="164"/>
      <c r="O962" s="164"/>
      <c r="P962" s="160"/>
    </row>
    <row r="964" spans="1:16" ht="15.75">
      <c r="A964" s="6" t="s">
        <v>36</v>
      </c>
      <c r="B964" s="6" t="s">
        <v>1</v>
      </c>
      <c r="C964" s="6">
        <v>44562</v>
      </c>
      <c r="D964" s="7" t="s">
        <v>37</v>
      </c>
      <c r="E964" s="7" t="s">
        <v>38</v>
      </c>
      <c r="F964" s="7" t="s">
        <v>39</v>
      </c>
      <c r="G964" s="7" t="s">
        <v>40</v>
      </c>
      <c r="H964" s="6">
        <v>44592</v>
      </c>
      <c r="I964" s="7" t="s">
        <v>41</v>
      </c>
      <c r="K964" s="45"/>
      <c r="L964" s="45" t="s">
        <v>42</v>
      </c>
      <c r="M964" s="45" t="s">
        <v>43</v>
      </c>
      <c r="N964" s="45" t="s">
        <v>44</v>
      </c>
      <c r="O964" s="45" t="s">
        <v>45</v>
      </c>
    </row>
    <row r="965" spans="1:16" ht="16.5">
      <c r="A965" s="58" t="str">
        <f>+K965</f>
        <v>B52</v>
      </c>
      <c r="B965" s="59" t="s">
        <v>4</v>
      </c>
      <c r="C965" s="60">
        <v>9500</v>
      </c>
      <c r="D965" s="61">
        <f t="shared" ref="D965:D978" si="536">+L965</f>
        <v>567000</v>
      </c>
      <c r="E965" s="61">
        <f>+N965</f>
        <v>576000</v>
      </c>
      <c r="F965" s="61">
        <f>+M965</f>
        <v>0</v>
      </c>
      <c r="G965" s="61">
        <f t="shared" ref="G965:G976" si="537">+O965</f>
        <v>0</v>
      </c>
      <c r="H965" s="61">
        <v>500</v>
      </c>
      <c r="I965" s="61">
        <f>+C965+D965-E965-F965+G965</f>
        <v>500</v>
      </c>
      <c r="J965" s="9">
        <f>I965-H965</f>
        <v>0</v>
      </c>
      <c r="K965" s="45" t="s">
        <v>162</v>
      </c>
      <c r="L965" s="47">
        <v>567000</v>
      </c>
      <c r="M965" s="47">
        <v>0</v>
      </c>
      <c r="N965" s="47">
        <v>576000</v>
      </c>
      <c r="O965" s="47">
        <v>0</v>
      </c>
    </row>
    <row r="966" spans="1:16" ht="16.5">
      <c r="A966" s="58" t="str">
        <f>+K966</f>
        <v>BCI</v>
      </c>
      <c r="B966" s="59" t="s">
        <v>46</v>
      </c>
      <c r="C966" s="60">
        <v>3455373</v>
      </c>
      <c r="D966" s="61">
        <f t="shared" si="536"/>
        <v>0</v>
      </c>
      <c r="E966" s="61">
        <f>+N966</f>
        <v>283345</v>
      </c>
      <c r="F966" s="61">
        <f>+M966</f>
        <v>1000000</v>
      </c>
      <c r="G966" s="61">
        <f t="shared" si="537"/>
        <v>0</v>
      </c>
      <c r="H966" s="61">
        <v>2172028</v>
      </c>
      <c r="I966" s="61">
        <f>+C966+D966-E966-F966+G966</f>
        <v>2172028</v>
      </c>
      <c r="J966" s="9">
        <f t="shared" ref="J966:J973" si="538">I966-H966</f>
        <v>0</v>
      </c>
      <c r="K966" s="45" t="s">
        <v>24</v>
      </c>
      <c r="L966" s="47">
        <v>0</v>
      </c>
      <c r="M966" s="47">
        <v>1000000</v>
      </c>
      <c r="N966" s="47">
        <v>283345</v>
      </c>
      <c r="O966" s="47">
        <v>0</v>
      </c>
    </row>
    <row r="967" spans="1:16" ht="16.5">
      <c r="A967" s="58" t="str">
        <f t="shared" ref="A967:A969" si="539">+K967</f>
        <v>BCI-Sous Compte</v>
      </c>
      <c r="B967" s="59" t="s">
        <v>46</v>
      </c>
      <c r="C967" s="60">
        <v>4841615</v>
      </c>
      <c r="D967" s="61">
        <f t="shared" si="536"/>
        <v>0</v>
      </c>
      <c r="E967" s="61">
        <f>+N967</f>
        <v>6223724</v>
      </c>
      <c r="F967" s="61">
        <f>+M967</f>
        <v>2000000</v>
      </c>
      <c r="G967" s="61">
        <f t="shared" si="537"/>
        <v>17525203</v>
      </c>
      <c r="H967" s="61">
        <v>14143094</v>
      </c>
      <c r="I967" s="61">
        <f>+C967+D967-E967-F967+G967</f>
        <v>14143094</v>
      </c>
      <c r="J967" s="102">
        <f t="shared" si="538"/>
        <v>0</v>
      </c>
      <c r="K967" s="45" t="s">
        <v>148</v>
      </c>
      <c r="L967" s="47">
        <v>0</v>
      </c>
      <c r="M967" s="47">
        <v>2000000</v>
      </c>
      <c r="N967" s="47">
        <v>6223724</v>
      </c>
      <c r="O967" s="47">
        <v>17525203</v>
      </c>
    </row>
    <row r="968" spans="1:16" ht="16.5">
      <c r="A968" s="58" t="str">
        <f t="shared" si="539"/>
        <v>Caisse</v>
      </c>
      <c r="B968" s="59" t="s">
        <v>25</v>
      </c>
      <c r="C968" s="60">
        <v>1042520</v>
      </c>
      <c r="D968" s="61">
        <f t="shared" si="536"/>
        <v>3035000</v>
      </c>
      <c r="E968" s="61">
        <f t="shared" ref="E968" si="540">+N968</f>
        <v>966635</v>
      </c>
      <c r="F968" s="61">
        <f t="shared" ref="F968:F976" si="541">+M968</f>
        <v>2530000</v>
      </c>
      <c r="G968" s="61">
        <f t="shared" si="537"/>
        <v>0</v>
      </c>
      <c r="H968" s="61">
        <v>580885</v>
      </c>
      <c r="I968" s="61">
        <f>+C968+D968-E968-F968+G968</f>
        <v>580885</v>
      </c>
      <c r="J968" s="9">
        <f t="shared" si="538"/>
        <v>0</v>
      </c>
      <c r="K968" s="45" t="s">
        <v>25</v>
      </c>
      <c r="L968" s="47">
        <v>3035000</v>
      </c>
      <c r="M968" s="47">
        <v>2530000</v>
      </c>
      <c r="N968" s="47">
        <v>966635</v>
      </c>
      <c r="O968" s="47">
        <v>0</v>
      </c>
    </row>
    <row r="969" spans="1:16" ht="16.5">
      <c r="A969" s="58" t="str">
        <f t="shared" si="539"/>
        <v>Crépin</v>
      </c>
      <c r="B969" s="59" t="s">
        <v>154</v>
      </c>
      <c r="C969" s="60">
        <v>-37100</v>
      </c>
      <c r="D969" s="61">
        <f t="shared" si="536"/>
        <v>256000</v>
      </c>
      <c r="E969" s="61">
        <f>+N969</f>
        <v>189900</v>
      </c>
      <c r="F969" s="61">
        <f t="shared" si="541"/>
        <v>20000</v>
      </c>
      <c r="G969" s="61">
        <f t="shared" si="537"/>
        <v>0</v>
      </c>
      <c r="H969" s="61">
        <v>9000</v>
      </c>
      <c r="I969" s="61">
        <f t="shared" ref="I969" si="542">+C969+D969-E969-F969+G969</f>
        <v>9000</v>
      </c>
      <c r="J969" s="9">
        <f t="shared" si="538"/>
        <v>0</v>
      </c>
      <c r="K969" s="45" t="s">
        <v>47</v>
      </c>
      <c r="L969" s="47">
        <v>256000</v>
      </c>
      <c r="M969" s="47">
        <v>20000</v>
      </c>
      <c r="N969" s="47">
        <v>189900</v>
      </c>
      <c r="O969" s="47">
        <v>0</v>
      </c>
    </row>
    <row r="970" spans="1:16" ht="16.5">
      <c r="A970" s="58" t="str">
        <f>K970</f>
        <v>Evariste</v>
      </c>
      <c r="B970" s="59" t="s">
        <v>155</v>
      </c>
      <c r="C970" s="60">
        <v>8645</v>
      </c>
      <c r="D970" s="61">
        <f t="shared" si="536"/>
        <v>0</v>
      </c>
      <c r="E970" s="61">
        <f t="shared" ref="E970" si="543">+N970</f>
        <v>0</v>
      </c>
      <c r="F970" s="61">
        <f t="shared" si="541"/>
        <v>0</v>
      </c>
      <c r="G970" s="61">
        <f t="shared" si="537"/>
        <v>0</v>
      </c>
      <c r="H970" s="61">
        <v>8645</v>
      </c>
      <c r="I970" s="61">
        <f>+C970+D970-E970-F970+G970</f>
        <v>8645</v>
      </c>
      <c r="J970" s="9">
        <f t="shared" si="538"/>
        <v>0</v>
      </c>
      <c r="K970" s="45" t="s">
        <v>31</v>
      </c>
      <c r="L970" s="47">
        <v>0</v>
      </c>
      <c r="M970" s="47">
        <v>0</v>
      </c>
      <c r="N970" s="47">
        <v>0</v>
      </c>
      <c r="O970" s="47">
        <v>0</v>
      </c>
    </row>
    <row r="971" spans="1:16" ht="16.5">
      <c r="A971" s="115" t="str">
        <f t="shared" ref="A971:A978" si="544">+K971</f>
        <v>I55S</v>
      </c>
      <c r="B971" s="116" t="s">
        <v>4</v>
      </c>
      <c r="C971" s="117">
        <v>233614</v>
      </c>
      <c r="D971" s="118">
        <f t="shared" si="536"/>
        <v>0</v>
      </c>
      <c r="E971" s="118">
        <f>+N971</f>
        <v>0</v>
      </c>
      <c r="F971" s="118">
        <f t="shared" si="541"/>
        <v>0</v>
      </c>
      <c r="G971" s="118">
        <f t="shared" si="537"/>
        <v>0</v>
      </c>
      <c r="H971" s="118">
        <v>233614</v>
      </c>
      <c r="I971" s="118">
        <f>+C971+D971-E971-F971+G971</f>
        <v>233614</v>
      </c>
      <c r="J971" s="9">
        <f t="shared" si="538"/>
        <v>0</v>
      </c>
      <c r="K971" s="45" t="s">
        <v>84</v>
      </c>
      <c r="L971" s="47">
        <v>0</v>
      </c>
      <c r="M971" s="47">
        <v>0</v>
      </c>
      <c r="N971" s="47">
        <v>0</v>
      </c>
      <c r="O971" s="47">
        <v>0</v>
      </c>
    </row>
    <row r="972" spans="1:16" ht="16.5">
      <c r="A972" s="115" t="str">
        <f t="shared" si="544"/>
        <v>I73X</v>
      </c>
      <c r="B972" s="116" t="s">
        <v>4</v>
      </c>
      <c r="C972" s="117">
        <v>249769</v>
      </c>
      <c r="D972" s="118">
        <f t="shared" si="536"/>
        <v>0</v>
      </c>
      <c r="E972" s="118">
        <f>+N972</f>
        <v>0</v>
      </c>
      <c r="F972" s="118">
        <f t="shared" si="541"/>
        <v>0</v>
      </c>
      <c r="G972" s="118">
        <f t="shared" si="537"/>
        <v>0</v>
      </c>
      <c r="H972" s="118">
        <v>249769</v>
      </c>
      <c r="I972" s="118">
        <f t="shared" ref="I972:I975" si="545">+C972+D972-E972-F972+G972</f>
        <v>249769</v>
      </c>
      <c r="J972" s="9">
        <f t="shared" si="538"/>
        <v>0</v>
      </c>
      <c r="K972" s="45" t="s">
        <v>83</v>
      </c>
      <c r="L972" s="47">
        <v>0</v>
      </c>
      <c r="M972" s="47">
        <v>0</v>
      </c>
      <c r="N972" s="47">
        <v>0</v>
      </c>
      <c r="O972" s="47">
        <v>0</v>
      </c>
    </row>
    <row r="973" spans="1:16" ht="16.5">
      <c r="A973" s="58" t="str">
        <f t="shared" si="544"/>
        <v>Godfré</v>
      </c>
      <c r="B973" s="98" t="s">
        <v>154</v>
      </c>
      <c r="C973" s="60">
        <v>34935</v>
      </c>
      <c r="D973" s="61">
        <f t="shared" si="536"/>
        <v>365000</v>
      </c>
      <c r="E973" s="154">
        <f t="shared" ref="E973" si="546">+N973</f>
        <v>320000</v>
      </c>
      <c r="F973" s="61">
        <f t="shared" si="541"/>
        <v>0</v>
      </c>
      <c r="G973" s="61">
        <f t="shared" si="537"/>
        <v>0</v>
      </c>
      <c r="H973" s="61">
        <v>79935</v>
      </c>
      <c r="I973" s="61">
        <f t="shared" si="545"/>
        <v>79935</v>
      </c>
      <c r="J973" s="9">
        <f t="shared" si="538"/>
        <v>0</v>
      </c>
      <c r="K973" s="45" t="s">
        <v>144</v>
      </c>
      <c r="L973" s="47">
        <v>365000</v>
      </c>
      <c r="M973" s="47"/>
      <c r="N973" s="47">
        <v>320000</v>
      </c>
      <c r="O973" s="47">
        <v>0</v>
      </c>
    </row>
    <row r="974" spans="1:16" ht="16.5">
      <c r="A974" s="58" t="str">
        <f t="shared" si="544"/>
        <v>Grace</v>
      </c>
      <c r="B974" s="59" t="s">
        <v>2</v>
      </c>
      <c r="C974" s="60">
        <v>44200</v>
      </c>
      <c r="D974" s="61">
        <f t="shared" si="536"/>
        <v>0</v>
      </c>
      <c r="E974" s="154">
        <f>+N974</f>
        <v>9400</v>
      </c>
      <c r="F974" s="61">
        <f t="shared" si="541"/>
        <v>15000</v>
      </c>
      <c r="G974" s="61">
        <f t="shared" si="537"/>
        <v>0</v>
      </c>
      <c r="H974" s="61">
        <v>19800</v>
      </c>
      <c r="I974" s="61">
        <f t="shared" si="545"/>
        <v>19800</v>
      </c>
      <c r="J974" s="9">
        <f>I974-H974</f>
        <v>0</v>
      </c>
      <c r="K974" s="45" t="s">
        <v>143</v>
      </c>
      <c r="L974" s="47">
        <v>0</v>
      </c>
      <c r="M974" s="47">
        <v>15000</v>
      </c>
      <c r="N974" s="47">
        <v>9400</v>
      </c>
      <c r="O974" s="47">
        <v>0</v>
      </c>
    </row>
    <row r="975" spans="1:16" ht="16.5">
      <c r="A975" s="58" t="str">
        <f t="shared" si="544"/>
        <v>I23C</v>
      </c>
      <c r="B975" s="98" t="s">
        <v>4</v>
      </c>
      <c r="C975" s="60">
        <v>12050</v>
      </c>
      <c r="D975" s="61">
        <f t="shared" si="536"/>
        <v>492000</v>
      </c>
      <c r="E975" s="154">
        <f t="shared" ref="E975:E978" si="547">+N975</f>
        <v>473500</v>
      </c>
      <c r="F975" s="61">
        <f t="shared" si="541"/>
        <v>0</v>
      </c>
      <c r="G975" s="61">
        <f t="shared" si="537"/>
        <v>0</v>
      </c>
      <c r="H975" s="61">
        <v>30550</v>
      </c>
      <c r="I975" s="61">
        <f t="shared" si="545"/>
        <v>30550</v>
      </c>
      <c r="J975" s="9">
        <f t="shared" ref="J975:J976" si="548">I975-H975</f>
        <v>0</v>
      </c>
      <c r="K975" s="45" t="s">
        <v>30</v>
      </c>
      <c r="L975" s="47">
        <v>492000</v>
      </c>
      <c r="M975" s="47">
        <v>0</v>
      </c>
      <c r="N975" s="47">
        <v>473500</v>
      </c>
      <c r="O975" s="47">
        <v>0</v>
      </c>
    </row>
    <row r="976" spans="1:16" ht="16.5">
      <c r="A976" s="58" t="str">
        <f t="shared" si="544"/>
        <v>Merveille</v>
      </c>
      <c r="B976" s="59" t="s">
        <v>2</v>
      </c>
      <c r="C976" s="60">
        <v>5500</v>
      </c>
      <c r="D976" s="61">
        <f t="shared" si="536"/>
        <v>20000</v>
      </c>
      <c r="E976" s="154">
        <f t="shared" si="547"/>
        <v>12500</v>
      </c>
      <c r="F976" s="61">
        <f t="shared" si="541"/>
        <v>0</v>
      </c>
      <c r="G976" s="61">
        <f t="shared" si="537"/>
        <v>0</v>
      </c>
      <c r="H976" s="61">
        <v>13000</v>
      </c>
      <c r="I976" s="61">
        <f>+C976+D976-E976-F976+G976</f>
        <v>13000</v>
      </c>
      <c r="J976" s="9">
        <f t="shared" si="548"/>
        <v>0</v>
      </c>
      <c r="K976" s="45" t="s">
        <v>93</v>
      </c>
      <c r="L976" s="47">
        <v>20000</v>
      </c>
      <c r="M976" s="47">
        <v>0</v>
      </c>
      <c r="N976" s="47">
        <v>12500</v>
      </c>
      <c r="O976" s="47"/>
    </row>
    <row r="977" spans="1:15" ht="16.5">
      <c r="A977" s="58" t="str">
        <f t="shared" si="544"/>
        <v>P29</v>
      </c>
      <c r="B977" s="59" t="s">
        <v>4</v>
      </c>
      <c r="C977" s="60">
        <v>58200</v>
      </c>
      <c r="D977" s="61">
        <f t="shared" si="536"/>
        <v>530000</v>
      </c>
      <c r="E977" s="154">
        <f t="shared" si="547"/>
        <v>532500</v>
      </c>
      <c r="F977" s="61">
        <f>+M977</f>
        <v>0</v>
      </c>
      <c r="G977" s="61">
        <f>+O977</f>
        <v>0</v>
      </c>
      <c r="H977" s="61">
        <v>55700</v>
      </c>
      <c r="I977" s="61">
        <f>+C977+D977-E977-F977+G977</f>
        <v>55700</v>
      </c>
      <c r="J977" s="9">
        <f>I977-H977</f>
        <v>0</v>
      </c>
      <c r="K977" s="45" t="s">
        <v>29</v>
      </c>
      <c r="L977" s="47">
        <v>530000</v>
      </c>
      <c r="M977" s="47">
        <v>0</v>
      </c>
      <c r="N977" s="47">
        <v>532500</v>
      </c>
      <c r="O977" s="47">
        <v>0</v>
      </c>
    </row>
    <row r="978" spans="1:15" ht="16.5">
      <c r="A978" s="58" t="str">
        <f t="shared" si="544"/>
        <v>Tiffany</v>
      </c>
      <c r="B978" s="59" t="s">
        <v>2</v>
      </c>
      <c r="C978" s="60">
        <v>263673</v>
      </c>
      <c r="D978" s="61">
        <f t="shared" si="536"/>
        <v>300000</v>
      </c>
      <c r="E978" s="154">
        <f t="shared" si="547"/>
        <v>599910</v>
      </c>
      <c r="F978" s="61">
        <f t="shared" ref="F978" si="549">+M978</f>
        <v>0</v>
      </c>
      <c r="G978" s="61">
        <f t="shared" ref="G978" si="550">+O978</f>
        <v>0</v>
      </c>
      <c r="H978" s="61">
        <v>-36237</v>
      </c>
      <c r="I978" s="61">
        <f t="shared" ref="I978" si="551">+C978+D978-E978-F978+G978</f>
        <v>-36237</v>
      </c>
      <c r="J978" s="9">
        <f t="shared" ref="J978" si="552">I978-H978</f>
        <v>0</v>
      </c>
      <c r="K978" s="45" t="s">
        <v>113</v>
      </c>
      <c r="L978" s="47">
        <v>300000</v>
      </c>
      <c r="M978" s="47">
        <v>0</v>
      </c>
      <c r="N978" s="47">
        <v>599910</v>
      </c>
      <c r="O978" s="47">
        <v>0</v>
      </c>
    </row>
    <row r="979" spans="1:15" ht="16.5">
      <c r="A979" s="10" t="s">
        <v>50</v>
      </c>
      <c r="B979" s="11"/>
      <c r="C979" s="12">
        <f t="shared" ref="C979:I979" si="553">SUM(C965:C978)</f>
        <v>10222494</v>
      </c>
      <c r="D979" s="57">
        <f t="shared" si="553"/>
        <v>5565000</v>
      </c>
      <c r="E979" s="57">
        <f t="shared" si="553"/>
        <v>10187414</v>
      </c>
      <c r="F979" s="57">
        <f t="shared" si="553"/>
        <v>5565000</v>
      </c>
      <c r="G979" s="57">
        <f t="shared" si="553"/>
        <v>17525203</v>
      </c>
      <c r="H979" s="57">
        <f t="shared" si="553"/>
        <v>17560283</v>
      </c>
      <c r="I979" s="57">
        <f t="shared" si="553"/>
        <v>17560283</v>
      </c>
      <c r="J979" s="9">
        <f>I979-H979</f>
        <v>0</v>
      </c>
      <c r="K979" s="3"/>
      <c r="L979" s="47">
        <f>+SUM(L965:L978)</f>
        <v>5565000</v>
      </c>
      <c r="M979" s="47">
        <f>+SUM(M965:M978)</f>
        <v>5565000</v>
      </c>
      <c r="N979" s="47">
        <f>+SUM(N965:N978)</f>
        <v>10187414</v>
      </c>
      <c r="O979" s="47">
        <f>+SUM(O965:O978)</f>
        <v>17525203</v>
      </c>
    </row>
    <row r="980" spans="1:15" ht="16.5">
      <c r="A980" s="10"/>
      <c r="B980" s="11"/>
      <c r="C980" s="12"/>
      <c r="D980" s="13"/>
      <c r="E980" s="12"/>
      <c r="F980" s="13"/>
      <c r="G980" s="12"/>
      <c r="H980" s="12"/>
      <c r="I980" s="134" t="b">
        <f>I979=D982</f>
        <v>1</v>
      </c>
      <c r="L980" s="5"/>
      <c r="M980" s="5"/>
      <c r="N980" s="5"/>
      <c r="O980" s="5"/>
    </row>
    <row r="981" spans="1:15" ht="16.5">
      <c r="A981" s="10" t="s">
        <v>175</v>
      </c>
      <c r="B981" s="11" t="s">
        <v>177</v>
      </c>
      <c r="C981" s="12" t="s">
        <v>176</v>
      </c>
      <c r="D981" s="12" t="s">
        <v>178</v>
      </c>
      <c r="E981" s="12" t="s">
        <v>51</v>
      </c>
      <c r="F981" s="12"/>
      <c r="G981" s="12">
        <f>+D979-F979</f>
        <v>0</v>
      </c>
      <c r="H981" s="12"/>
      <c r="I981" s="12"/>
      <c r="L981" s="5"/>
      <c r="M981" s="5"/>
      <c r="N981" s="5"/>
      <c r="O981" s="5"/>
    </row>
    <row r="982" spans="1:15" ht="16.5">
      <c r="A982" s="14">
        <f>C979</f>
        <v>10222494</v>
      </c>
      <c r="B982" s="15">
        <f>G979</f>
        <v>17525203</v>
      </c>
      <c r="C982" s="12">
        <f>E979</f>
        <v>10187414</v>
      </c>
      <c r="D982" s="12">
        <f>A982+B982-C982</f>
        <v>17560283</v>
      </c>
      <c r="E982" s="13">
        <f>I979-D982</f>
        <v>0</v>
      </c>
      <c r="F982" s="12"/>
      <c r="G982" s="12"/>
      <c r="H982" s="12"/>
      <c r="I982" s="12"/>
      <c r="L982" s="5"/>
      <c r="M982" s="5"/>
      <c r="N982" s="5"/>
      <c r="O982" s="5"/>
    </row>
    <row r="983" spans="1:15" ht="16.5">
      <c r="A983" s="14"/>
      <c r="B983" s="15"/>
      <c r="C983" s="12"/>
      <c r="D983" s="12"/>
      <c r="E983" s="13"/>
      <c r="F983" s="12"/>
      <c r="G983" s="12"/>
      <c r="H983" s="12"/>
      <c r="I983" s="12"/>
      <c r="L983" s="5"/>
      <c r="M983" s="5"/>
      <c r="N983" s="5"/>
      <c r="O983" s="5"/>
    </row>
    <row r="984" spans="1:15">
      <c r="A984" s="16" t="s">
        <v>52</v>
      </c>
      <c r="B984" s="16"/>
      <c r="C984" s="16"/>
      <c r="D984" s="17"/>
      <c r="E984" s="17"/>
      <c r="F984" s="17"/>
      <c r="G984" s="17"/>
      <c r="H984" s="17"/>
      <c r="I984" s="17"/>
      <c r="L984" s="5"/>
      <c r="M984" s="5"/>
      <c r="N984" s="5"/>
      <c r="O984" s="5"/>
    </row>
    <row r="985" spans="1:15">
      <c r="A985" s="18" t="s">
        <v>179</v>
      </c>
      <c r="B985" s="18"/>
      <c r="C985" s="18"/>
      <c r="D985" s="18"/>
      <c r="E985" s="18"/>
      <c r="F985" s="18"/>
      <c r="G985" s="18"/>
      <c r="H985" s="18"/>
      <c r="I985" s="18"/>
      <c r="J985" s="18"/>
      <c r="L985" s="5"/>
      <c r="M985" s="5"/>
      <c r="N985" s="5"/>
      <c r="O985" s="5"/>
    </row>
    <row r="986" spans="1:15">
      <c r="A986" s="19"/>
      <c r="B986" s="17"/>
      <c r="C986" s="20"/>
      <c r="D986" s="20"/>
      <c r="E986" s="20"/>
      <c r="F986" s="20"/>
      <c r="G986" s="20"/>
      <c r="H986" s="17"/>
      <c r="I986" s="17"/>
      <c r="L986" s="5"/>
      <c r="M986" s="5"/>
      <c r="N986" s="5"/>
      <c r="O986" s="5"/>
    </row>
    <row r="987" spans="1:15">
      <c r="A987" s="242" t="s">
        <v>53</v>
      </c>
      <c r="B987" s="244" t="s">
        <v>54</v>
      </c>
      <c r="C987" s="246" t="s">
        <v>181</v>
      </c>
      <c r="D987" s="248" t="s">
        <v>55</v>
      </c>
      <c r="E987" s="249"/>
      <c r="F987" s="249"/>
      <c r="G987" s="250"/>
      <c r="H987" s="251" t="s">
        <v>56</v>
      </c>
      <c r="I987" s="238" t="s">
        <v>57</v>
      </c>
      <c r="J987" s="17"/>
      <c r="L987" s="5"/>
      <c r="M987" s="5"/>
      <c r="N987" s="5"/>
      <c r="O987" s="5"/>
    </row>
    <row r="988" spans="1:15" ht="28.5" customHeight="1">
      <c r="A988" s="243"/>
      <c r="B988" s="245"/>
      <c r="C988" s="247"/>
      <c r="D988" s="21" t="s">
        <v>24</v>
      </c>
      <c r="E988" s="21" t="s">
        <v>25</v>
      </c>
      <c r="F988" s="22" t="s">
        <v>123</v>
      </c>
      <c r="G988" s="21" t="s">
        <v>58</v>
      </c>
      <c r="H988" s="252"/>
      <c r="I988" s="239"/>
      <c r="J988" s="240" t="s">
        <v>180</v>
      </c>
      <c r="K988" s="143"/>
      <c r="L988" s="5"/>
      <c r="M988" s="5"/>
      <c r="N988" s="5"/>
      <c r="O988" s="5"/>
    </row>
    <row r="989" spans="1:15">
      <c r="A989" s="23"/>
      <c r="B989" s="24" t="s">
        <v>59</v>
      </c>
      <c r="C989" s="25"/>
      <c r="D989" s="25"/>
      <c r="E989" s="25"/>
      <c r="F989" s="25"/>
      <c r="G989" s="25"/>
      <c r="H989" s="25"/>
      <c r="I989" s="26"/>
      <c r="J989" s="241"/>
      <c r="K989" s="143"/>
      <c r="L989" s="5"/>
      <c r="M989" s="5"/>
      <c r="N989" s="5"/>
      <c r="O989" s="5"/>
    </row>
    <row r="990" spans="1:15">
      <c r="A990" s="122" t="s">
        <v>108</v>
      </c>
      <c r="B990" s="127" t="s">
        <v>162</v>
      </c>
      <c r="C990" s="32">
        <f>+C965</f>
        <v>9500</v>
      </c>
      <c r="D990" s="31"/>
      <c r="E990" s="32">
        <f>+D965</f>
        <v>567000</v>
      </c>
      <c r="F990" s="32"/>
      <c r="G990" s="32"/>
      <c r="H990" s="55">
        <f>+F965</f>
        <v>0</v>
      </c>
      <c r="I990" s="32">
        <f>+E965</f>
        <v>576000</v>
      </c>
      <c r="J990" s="30">
        <f t="shared" ref="J990:J991" si="554">+SUM(C990:G990)-(H990+I990)</f>
        <v>500</v>
      </c>
      <c r="K990" s="144" t="b">
        <f>J990=I965</f>
        <v>1</v>
      </c>
      <c r="L990" s="5"/>
      <c r="M990" s="5"/>
      <c r="N990" s="5"/>
      <c r="O990" s="5"/>
    </row>
    <row r="991" spans="1:15">
      <c r="A991" s="122" t="str">
        <f>+A990</f>
        <v>JANVIER</v>
      </c>
      <c r="B991" s="127" t="s">
        <v>47</v>
      </c>
      <c r="C991" s="32">
        <f>+C969</f>
        <v>-37100</v>
      </c>
      <c r="D991" s="31"/>
      <c r="E991" s="32">
        <f>+D969</f>
        <v>256000</v>
      </c>
      <c r="F991" s="32"/>
      <c r="G991" s="32"/>
      <c r="H991" s="55">
        <f>+F969</f>
        <v>20000</v>
      </c>
      <c r="I991" s="32">
        <f>+E969</f>
        <v>189900</v>
      </c>
      <c r="J991" s="101">
        <f t="shared" si="554"/>
        <v>9000</v>
      </c>
      <c r="K991" s="144" t="b">
        <f t="shared" ref="K991:K1000" si="555">J991=I969</f>
        <v>1</v>
      </c>
      <c r="L991" s="5"/>
      <c r="M991" s="5"/>
      <c r="N991" s="5"/>
      <c r="O991" s="5"/>
    </row>
    <row r="992" spans="1:15">
      <c r="A992" s="122" t="str">
        <f t="shared" ref="A992:A1000" si="556">+A991</f>
        <v>JANVIER</v>
      </c>
      <c r="B992" s="128" t="s">
        <v>31</v>
      </c>
      <c r="C992" s="32">
        <f>+C970</f>
        <v>8645</v>
      </c>
      <c r="D992" s="119"/>
      <c r="E992" s="32">
        <f>+D970</f>
        <v>0</v>
      </c>
      <c r="F992" s="51"/>
      <c r="G992" s="51"/>
      <c r="H992" s="55">
        <f>+F970</f>
        <v>0</v>
      </c>
      <c r="I992" s="32">
        <f>+E970</f>
        <v>0</v>
      </c>
      <c r="J992" s="124">
        <f>+SUM(C992:G992)-(H992+I992)</f>
        <v>8645</v>
      </c>
      <c r="K992" s="144" t="b">
        <f t="shared" si="555"/>
        <v>1</v>
      </c>
      <c r="L992" s="5"/>
      <c r="M992" s="5"/>
      <c r="N992" s="5"/>
      <c r="O992" s="5"/>
    </row>
    <row r="993" spans="1:16">
      <c r="A993" s="122" t="str">
        <f t="shared" si="556"/>
        <v>JANVIER</v>
      </c>
      <c r="B993" s="129" t="s">
        <v>84</v>
      </c>
      <c r="C993" s="120">
        <f>+C971</f>
        <v>233614</v>
      </c>
      <c r="D993" s="123"/>
      <c r="E993" s="120">
        <f>+D971</f>
        <v>0</v>
      </c>
      <c r="F993" s="137"/>
      <c r="G993" s="137"/>
      <c r="H993" s="155">
        <f>+F971</f>
        <v>0</v>
      </c>
      <c r="I993" s="120">
        <f>+E971</f>
        <v>0</v>
      </c>
      <c r="J993" s="121">
        <f>+SUM(C993:G993)-(H993+I993)</f>
        <v>233614</v>
      </c>
      <c r="K993" s="144" t="b">
        <f t="shared" si="555"/>
        <v>1</v>
      </c>
      <c r="L993" s="5"/>
      <c r="M993" s="5"/>
      <c r="N993" s="5"/>
      <c r="O993" s="5"/>
    </row>
    <row r="994" spans="1:16">
      <c r="A994" s="122" t="str">
        <f t="shared" si="556"/>
        <v>JANVIER</v>
      </c>
      <c r="B994" s="129" t="s">
        <v>83</v>
      </c>
      <c r="C994" s="120">
        <f>+C972</f>
        <v>249769</v>
      </c>
      <c r="D994" s="123"/>
      <c r="E994" s="120">
        <f>+D972</f>
        <v>0</v>
      </c>
      <c r="F994" s="137"/>
      <c r="G994" s="137"/>
      <c r="H994" s="155">
        <f>+F972</f>
        <v>0</v>
      </c>
      <c r="I994" s="120">
        <f>+E972</f>
        <v>0</v>
      </c>
      <c r="J994" s="121">
        <f t="shared" ref="J994:J1000" si="557">+SUM(C994:G994)-(H994+I994)</f>
        <v>249769</v>
      </c>
      <c r="K994" s="144" t="b">
        <f t="shared" si="555"/>
        <v>1</v>
      </c>
      <c r="L994" s="5"/>
      <c r="M994" s="5"/>
      <c r="N994" s="5"/>
      <c r="O994" s="5"/>
    </row>
    <row r="995" spans="1:16">
      <c r="A995" s="122" t="str">
        <f t="shared" si="556"/>
        <v>JANVIER</v>
      </c>
      <c r="B995" s="127" t="s">
        <v>144</v>
      </c>
      <c r="C995" s="32">
        <f>+C973</f>
        <v>34935</v>
      </c>
      <c r="D995" s="31"/>
      <c r="E995" s="32">
        <f>+D973</f>
        <v>365000</v>
      </c>
      <c r="F995" s="32"/>
      <c r="G995" s="104"/>
      <c r="H995" s="55">
        <f>+F973</f>
        <v>0</v>
      </c>
      <c r="I995" s="32">
        <f>+E973</f>
        <v>320000</v>
      </c>
      <c r="J995" s="30">
        <f t="shared" si="557"/>
        <v>79935</v>
      </c>
      <c r="K995" s="144" t="b">
        <f t="shared" si="555"/>
        <v>1</v>
      </c>
      <c r="L995" s="5"/>
      <c r="M995" s="5"/>
      <c r="N995" s="5"/>
      <c r="O995" s="5"/>
    </row>
    <row r="996" spans="1:16">
      <c r="A996" s="122" t="str">
        <f t="shared" si="556"/>
        <v>JANVIER</v>
      </c>
      <c r="B996" s="127" t="s">
        <v>143</v>
      </c>
      <c r="C996" s="32">
        <f t="shared" ref="C996:C1000" si="558">+C974</f>
        <v>44200</v>
      </c>
      <c r="D996" s="31"/>
      <c r="E996" s="32">
        <f t="shared" ref="E996:E1000" si="559">+D974</f>
        <v>0</v>
      </c>
      <c r="F996" s="32"/>
      <c r="G996" s="104"/>
      <c r="H996" s="55">
        <f t="shared" ref="H996:H1000" si="560">+F974</f>
        <v>15000</v>
      </c>
      <c r="I996" s="32">
        <f t="shared" ref="I996:I1000" si="561">+E974</f>
        <v>9400</v>
      </c>
      <c r="J996" s="30">
        <f t="shared" si="557"/>
        <v>19800</v>
      </c>
      <c r="K996" s="144" t="b">
        <f t="shared" si="555"/>
        <v>1</v>
      </c>
      <c r="L996" s="5"/>
      <c r="M996" s="5"/>
      <c r="N996" s="5"/>
      <c r="O996" s="5"/>
    </row>
    <row r="997" spans="1:16">
      <c r="A997" s="122" t="str">
        <f t="shared" si="556"/>
        <v>JANVIER</v>
      </c>
      <c r="B997" s="127" t="s">
        <v>30</v>
      </c>
      <c r="C997" s="32">
        <f t="shared" si="558"/>
        <v>12050</v>
      </c>
      <c r="D997" s="31"/>
      <c r="E997" s="32">
        <f t="shared" si="559"/>
        <v>492000</v>
      </c>
      <c r="F997" s="32"/>
      <c r="G997" s="104"/>
      <c r="H997" s="55">
        <f t="shared" si="560"/>
        <v>0</v>
      </c>
      <c r="I997" s="32">
        <f t="shared" si="561"/>
        <v>473500</v>
      </c>
      <c r="J997" s="30">
        <f t="shared" si="557"/>
        <v>30550</v>
      </c>
      <c r="K997" s="144" t="b">
        <f t="shared" si="555"/>
        <v>1</v>
      </c>
    </row>
    <row r="998" spans="1:16">
      <c r="A998" s="122" t="str">
        <f>+A996</f>
        <v>JANVIER</v>
      </c>
      <c r="B998" s="127" t="s">
        <v>93</v>
      </c>
      <c r="C998" s="32">
        <f t="shared" si="558"/>
        <v>5500</v>
      </c>
      <c r="D998" s="31"/>
      <c r="E998" s="32">
        <f t="shared" si="559"/>
        <v>20000</v>
      </c>
      <c r="F998" s="32"/>
      <c r="G998" s="104"/>
      <c r="H998" s="55">
        <f t="shared" si="560"/>
        <v>0</v>
      </c>
      <c r="I998" s="32">
        <f t="shared" si="561"/>
        <v>12500</v>
      </c>
      <c r="J998" s="30">
        <f t="shared" si="557"/>
        <v>13000</v>
      </c>
      <c r="K998" s="144" t="b">
        <f t="shared" si="555"/>
        <v>1</v>
      </c>
    </row>
    <row r="999" spans="1:16">
      <c r="A999" s="122" t="str">
        <f>+A997</f>
        <v>JANVIER</v>
      </c>
      <c r="B999" s="127" t="s">
        <v>29</v>
      </c>
      <c r="C999" s="32">
        <f t="shared" si="558"/>
        <v>58200</v>
      </c>
      <c r="D999" s="31"/>
      <c r="E999" s="32">
        <f t="shared" si="559"/>
        <v>530000</v>
      </c>
      <c r="F999" s="32"/>
      <c r="G999" s="104"/>
      <c r="H999" s="55">
        <f t="shared" si="560"/>
        <v>0</v>
      </c>
      <c r="I999" s="32">
        <f t="shared" si="561"/>
        <v>532500</v>
      </c>
      <c r="J999" s="30">
        <f t="shared" si="557"/>
        <v>55700</v>
      </c>
      <c r="K999" s="144" t="b">
        <f t="shared" si="555"/>
        <v>1</v>
      </c>
    </row>
    <row r="1000" spans="1:16">
      <c r="A1000" s="122" t="str">
        <f t="shared" si="556"/>
        <v>JANVIER</v>
      </c>
      <c r="B1000" s="128" t="s">
        <v>113</v>
      </c>
      <c r="C1000" s="32">
        <f t="shared" si="558"/>
        <v>263673</v>
      </c>
      <c r="D1000" s="119"/>
      <c r="E1000" s="32">
        <f t="shared" si="559"/>
        <v>300000</v>
      </c>
      <c r="F1000" s="51"/>
      <c r="G1000" s="138"/>
      <c r="H1000" s="55">
        <f t="shared" si="560"/>
        <v>0</v>
      </c>
      <c r="I1000" s="32">
        <f t="shared" si="561"/>
        <v>599910</v>
      </c>
      <c r="J1000" s="30">
        <f t="shared" si="557"/>
        <v>-36237</v>
      </c>
      <c r="K1000" s="144" t="b">
        <f t="shared" si="555"/>
        <v>1</v>
      </c>
    </row>
    <row r="1001" spans="1:16">
      <c r="A1001" s="34" t="s">
        <v>60</v>
      </c>
      <c r="B1001" s="35"/>
      <c r="C1001" s="35"/>
      <c r="D1001" s="35"/>
      <c r="E1001" s="35"/>
      <c r="F1001" s="35"/>
      <c r="G1001" s="35"/>
      <c r="H1001" s="35"/>
      <c r="I1001" s="35"/>
      <c r="J1001" s="36"/>
      <c r="K1001" s="143"/>
    </row>
    <row r="1002" spans="1:16">
      <c r="A1002" s="122" t="str">
        <f>+A1000</f>
        <v>JANVIER</v>
      </c>
      <c r="B1002" s="37" t="s">
        <v>61</v>
      </c>
      <c r="C1002" s="38">
        <f>+C968</f>
        <v>1042520</v>
      </c>
      <c r="D1002" s="49"/>
      <c r="E1002" s="49">
        <f>D968</f>
        <v>3035000</v>
      </c>
      <c r="F1002" s="49"/>
      <c r="G1002" s="125"/>
      <c r="H1002" s="51">
        <f>+F968</f>
        <v>2530000</v>
      </c>
      <c r="I1002" s="126">
        <f>+E968</f>
        <v>966635</v>
      </c>
      <c r="J1002" s="30">
        <f>+SUM(C1002:G1002)-(H1002+I1002)</f>
        <v>580885</v>
      </c>
      <c r="K1002" s="144" t="b">
        <f>J1002=I968</f>
        <v>1</v>
      </c>
    </row>
    <row r="1003" spans="1:16">
      <c r="A1003" s="43" t="s">
        <v>62</v>
      </c>
      <c r="B1003" s="24"/>
      <c r="C1003" s="35"/>
      <c r="D1003" s="24"/>
      <c r="E1003" s="24"/>
      <c r="F1003" s="24"/>
      <c r="G1003" s="24"/>
      <c r="H1003" s="24"/>
      <c r="I1003" s="24"/>
      <c r="J1003" s="36"/>
      <c r="K1003" s="143"/>
    </row>
    <row r="1004" spans="1:16">
      <c r="A1004" s="122" t="str">
        <f>+A1002</f>
        <v>JANVIER</v>
      </c>
      <c r="B1004" s="37" t="s">
        <v>156</v>
      </c>
      <c r="C1004" s="125">
        <f>+C966</f>
        <v>3455373</v>
      </c>
      <c r="D1004" s="132">
        <f>+G966</f>
        <v>0</v>
      </c>
      <c r="E1004" s="49"/>
      <c r="F1004" s="49"/>
      <c r="G1004" s="49"/>
      <c r="H1004" s="51">
        <f>+F966</f>
        <v>1000000</v>
      </c>
      <c r="I1004" s="53">
        <f>+E966</f>
        <v>283345</v>
      </c>
      <c r="J1004" s="30">
        <f>+SUM(C1004:G1004)-(H1004+I1004)</f>
        <v>2172028</v>
      </c>
      <c r="K1004" s="144" t="b">
        <f>+J1004=I966</f>
        <v>1</v>
      </c>
    </row>
    <row r="1005" spans="1:16">
      <c r="A1005" s="122" t="str">
        <f t="shared" ref="A1005" si="562">+A1004</f>
        <v>JANVIER</v>
      </c>
      <c r="B1005" s="37" t="s">
        <v>64</v>
      </c>
      <c r="C1005" s="125">
        <f>+C967</f>
        <v>4841615</v>
      </c>
      <c r="D1005" s="49">
        <f>+G967</f>
        <v>17525203</v>
      </c>
      <c r="E1005" s="48"/>
      <c r="F1005" s="48"/>
      <c r="G1005" s="48"/>
      <c r="H1005" s="32">
        <f>+F967</f>
        <v>2000000</v>
      </c>
      <c r="I1005" s="50">
        <f>+E967</f>
        <v>6223724</v>
      </c>
      <c r="J1005" s="30">
        <f>SUM(C1005:G1005)-(H1005+I1005)</f>
        <v>14143094</v>
      </c>
      <c r="K1005" s="144" t="b">
        <f>+J1005=I967</f>
        <v>1</v>
      </c>
    </row>
    <row r="1006" spans="1:16" ht="15.75">
      <c r="C1006" s="141">
        <f>SUM(C990:C1005)</f>
        <v>10222494</v>
      </c>
      <c r="I1006" s="140">
        <f>SUM(I990:I1005)</f>
        <v>10187414</v>
      </c>
      <c r="J1006" s="105">
        <f>+SUM(J990:J1005)</f>
        <v>17560283</v>
      </c>
      <c r="K1006" s="5" t="b">
        <f>J1006=I979</f>
        <v>1</v>
      </c>
    </row>
    <row r="1007" spans="1:16" ht="15.75">
      <c r="C1007" s="141"/>
      <c r="I1007" s="140"/>
      <c r="J1007" s="105"/>
    </row>
    <row r="1008" spans="1:16" ht="15.75">
      <c r="A1008" s="160"/>
      <c r="B1008" s="160"/>
      <c r="C1008" s="161"/>
      <c r="D1008" s="160"/>
      <c r="E1008" s="160"/>
      <c r="F1008" s="160"/>
      <c r="G1008" s="160"/>
      <c r="H1008" s="160"/>
      <c r="I1008" s="162"/>
      <c r="J1008" s="163"/>
      <c r="K1008" s="160"/>
      <c r="L1008" s="164"/>
      <c r="M1008" s="164"/>
      <c r="N1008" s="164"/>
      <c r="O1008" s="164"/>
      <c r="P1008" s="160"/>
    </row>
    <row r="1010" spans="1:15" ht="15.75">
      <c r="A1010" s="6" t="s">
        <v>36</v>
      </c>
      <c r="B1010" s="6" t="s">
        <v>1</v>
      </c>
      <c r="C1010" s="6">
        <v>44531</v>
      </c>
      <c r="D1010" s="7" t="s">
        <v>37</v>
      </c>
      <c r="E1010" s="7" t="s">
        <v>38</v>
      </c>
      <c r="F1010" s="7" t="s">
        <v>39</v>
      </c>
      <c r="G1010" s="7" t="s">
        <v>40</v>
      </c>
      <c r="H1010" s="6">
        <v>44561</v>
      </c>
      <c r="I1010" s="7" t="s">
        <v>41</v>
      </c>
      <c r="K1010" s="45"/>
      <c r="L1010" s="45" t="s">
        <v>42</v>
      </c>
      <c r="M1010" s="45" t="s">
        <v>43</v>
      </c>
      <c r="N1010" s="45" t="s">
        <v>44</v>
      </c>
      <c r="O1010" s="45" t="s">
        <v>45</v>
      </c>
    </row>
    <row r="1011" spans="1:15" s="156" customFormat="1" ht="16.5">
      <c r="A1011" s="58" t="str">
        <f>+K1011</f>
        <v>Axel</v>
      </c>
      <c r="B1011" s="158" t="s">
        <v>154</v>
      </c>
      <c r="C1011" s="60">
        <v>29107</v>
      </c>
      <c r="D1011" s="61">
        <f t="shared" ref="D1011:D1025" si="563">+L1011</f>
        <v>1125000</v>
      </c>
      <c r="E1011" s="61">
        <f>+N1011</f>
        <v>1008750</v>
      </c>
      <c r="F1011" s="61">
        <f>+M1011</f>
        <v>145357</v>
      </c>
      <c r="G1011" s="61">
        <f t="shared" ref="G1011:G1023" si="564">+O1011</f>
        <v>0</v>
      </c>
      <c r="H1011" s="61">
        <v>0</v>
      </c>
      <c r="I1011" s="61">
        <f>+C1011+D1011-E1011-F1011+G1011</f>
        <v>0</v>
      </c>
      <c r="J1011" s="9">
        <f>I1011-H1011</f>
        <v>0</v>
      </c>
      <c r="K1011" s="157" t="s">
        <v>153</v>
      </c>
      <c r="L1011" s="157">
        <v>1125000</v>
      </c>
      <c r="M1011" s="157">
        <v>145357</v>
      </c>
      <c r="N1011" s="157">
        <v>1008750</v>
      </c>
      <c r="O1011" s="157">
        <v>0</v>
      </c>
    </row>
    <row r="1012" spans="1:15" ht="16.5">
      <c r="A1012" s="58" t="str">
        <f>+K1012</f>
        <v>B52</v>
      </c>
      <c r="B1012" s="59" t="s">
        <v>4</v>
      </c>
      <c r="C1012" s="60">
        <v>4000</v>
      </c>
      <c r="D1012" s="61">
        <f t="shared" si="563"/>
        <v>426000</v>
      </c>
      <c r="E1012" s="61">
        <f>+N1012</f>
        <v>420500</v>
      </c>
      <c r="F1012" s="61">
        <f>+M1012</f>
        <v>0</v>
      </c>
      <c r="G1012" s="61">
        <f t="shared" si="564"/>
        <v>0</v>
      </c>
      <c r="H1012" s="61">
        <v>9500</v>
      </c>
      <c r="I1012" s="61">
        <f>+C1012+D1012-E1012-F1012+G1012</f>
        <v>9500</v>
      </c>
      <c r="J1012" s="9">
        <f>I1012-H1012</f>
        <v>0</v>
      </c>
      <c r="K1012" s="45" t="s">
        <v>162</v>
      </c>
      <c r="L1012" s="47">
        <v>426000</v>
      </c>
      <c r="M1012" s="47">
        <v>0</v>
      </c>
      <c r="N1012" s="47">
        <v>420500</v>
      </c>
      <c r="O1012" s="47">
        <v>0</v>
      </c>
    </row>
    <row r="1013" spans="1:15" ht="16.5">
      <c r="A1013" s="58" t="str">
        <f>+K1013</f>
        <v>BCI</v>
      </c>
      <c r="B1013" s="59" t="s">
        <v>46</v>
      </c>
      <c r="C1013" s="60">
        <v>5738718</v>
      </c>
      <c r="D1013" s="61">
        <f t="shared" si="563"/>
        <v>0</v>
      </c>
      <c r="E1013" s="61">
        <f>+N1013</f>
        <v>283345</v>
      </c>
      <c r="F1013" s="61">
        <f>+M1013</f>
        <v>2000000</v>
      </c>
      <c r="G1013" s="61">
        <f t="shared" si="564"/>
        <v>0</v>
      </c>
      <c r="H1013" s="61">
        <v>3455373</v>
      </c>
      <c r="I1013" s="61">
        <f>+C1013+D1013-E1013-F1013+G1013</f>
        <v>3455373</v>
      </c>
      <c r="J1013" s="9">
        <f t="shared" ref="J1013:J1020" si="565">I1013-H1013</f>
        <v>0</v>
      </c>
      <c r="K1013" s="45" t="s">
        <v>24</v>
      </c>
      <c r="L1013" s="47">
        <v>0</v>
      </c>
      <c r="M1013" s="47">
        <v>2000000</v>
      </c>
      <c r="N1013" s="47">
        <v>283345</v>
      </c>
      <c r="O1013" s="47">
        <v>0</v>
      </c>
    </row>
    <row r="1014" spans="1:15" ht="16.5">
      <c r="A1014" s="58" t="str">
        <f t="shared" ref="A1014:A1016" si="566">+K1014</f>
        <v>BCI-Sous Compte</v>
      </c>
      <c r="B1014" s="59" t="s">
        <v>46</v>
      </c>
      <c r="C1014" s="60">
        <v>16087207</v>
      </c>
      <c r="D1014" s="61">
        <f t="shared" si="563"/>
        <v>0</v>
      </c>
      <c r="E1014" s="61">
        <f>+N1014</f>
        <v>3245592</v>
      </c>
      <c r="F1014" s="61">
        <f>+M1014</f>
        <v>8000000</v>
      </c>
      <c r="G1014" s="61">
        <f t="shared" si="564"/>
        <v>0</v>
      </c>
      <c r="H1014" s="61">
        <v>4841615</v>
      </c>
      <c r="I1014" s="61">
        <f>+C1014+D1014-E1014-F1014+G1014</f>
        <v>4841615</v>
      </c>
      <c r="J1014" s="102">
        <f t="shared" si="565"/>
        <v>0</v>
      </c>
      <c r="K1014" s="45" t="s">
        <v>148</v>
      </c>
      <c r="L1014" s="47">
        <v>0</v>
      </c>
      <c r="M1014" s="47">
        <v>8000000</v>
      </c>
      <c r="N1014" s="47">
        <v>3245592</v>
      </c>
      <c r="O1014" s="47">
        <v>0</v>
      </c>
    </row>
    <row r="1015" spans="1:15" ht="16.5">
      <c r="A1015" s="58" t="str">
        <f t="shared" si="566"/>
        <v>Caisse</v>
      </c>
      <c r="B1015" s="59" t="s">
        <v>25</v>
      </c>
      <c r="C1015" s="60">
        <v>926369</v>
      </c>
      <c r="D1015" s="61">
        <f t="shared" si="563"/>
        <v>10580357</v>
      </c>
      <c r="E1015" s="61">
        <f t="shared" ref="E1015" si="567">+N1015</f>
        <v>3713706</v>
      </c>
      <c r="F1015" s="61">
        <f t="shared" ref="F1015:F1023" si="568">+M1015</f>
        <v>6750500</v>
      </c>
      <c r="G1015" s="61">
        <f t="shared" si="564"/>
        <v>0</v>
      </c>
      <c r="H1015" s="61">
        <v>1042520</v>
      </c>
      <c r="I1015" s="61">
        <f>+C1015+D1015-E1015-F1015+G1015</f>
        <v>1042520</v>
      </c>
      <c r="J1015" s="9">
        <f t="shared" si="565"/>
        <v>0</v>
      </c>
      <c r="K1015" s="45" t="s">
        <v>25</v>
      </c>
      <c r="L1015" s="47">
        <v>10580357</v>
      </c>
      <c r="M1015" s="47">
        <v>6750500</v>
      </c>
      <c r="N1015" s="47">
        <v>3713706</v>
      </c>
      <c r="O1015" s="47">
        <v>0</v>
      </c>
    </row>
    <row r="1016" spans="1:15" ht="16.5">
      <c r="A1016" s="58" t="str">
        <f t="shared" si="566"/>
        <v>Crépin</v>
      </c>
      <c r="B1016" s="59" t="s">
        <v>154</v>
      </c>
      <c r="C1016" s="60">
        <v>-3675</v>
      </c>
      <c r="D1016" s="61">
        <f t="shared" si="563"/>
        <v>1778500</v>
      </c>
      <c r="E1016" s="61">
        <f>+N1016</f>
        <v>1666925</v>
      </c>
      <c r="F1016" s="61">
        <f t="shared" si="568"/>
        <v>145000</v>
      </c>
      <c r="G1016" s="61">
        <f t="shared" si="564"/>
        <v>0</v>
      </c>
      <c r="H1016" s="61">
        <v>-37100</v>
      </c>
      <c r="I1016" s="61">
        <f t="shared" ref="I1016" si="569">+C1016+D1016-E1016-F1016+G1016</f>
        <v>-37100</v>
      </c>
      <c r="J1016" s="9">
        <f t="shared" si="565"/>
        <v>0</v>
      </c>
      <c r="K1016" s="45" t="s">
        <v>47</v>
      </c>
      <c r="L1016" s="47">
        <v>1778500</v>
      </c>
      <c r="M1016" s="47">
        <v>145000</v>
      </c>
      <c r="N1016" s="47">
        <v>1666925</v>
      </c>
      <c r="O1016" s="47">
        <v>0</v>
      </c>
    </row>
    <row r="1017" spans="1:15" ht="16.5">
      <c r="A1017" s="58" t="str">
        <f>K1017</f>
        <v>Evariste</v>
      </c>
      <c r="B1017" s="59" t="s">
        <v>155</v>
      </c>
      <c r="C1017" s="60">
        <v>7595</v>
      </c>
      <c r="D1017" s="61">
        <f t="shared" si="563"/>
        <v>286000</v>
      </c>
      <c r="E1017" s="61">
        <f t="shared" ref="E1017" si="570">+N1017</f>
        <v>284950</v>
      </c>
      <c r="F1017" s="61">
        <f t="shared" si="568"/>
        <v>0</v>
      </c>
      <c r="G1017" s="61">
        <f t="shared" si="564"/>
        <v>0</v>
      </c>
      <c r="H1017" s="61">
        <v>8645</v>
      </c>
      <c r="I1017" s="61">
        <f>+C1017+D1017-E1017-F1017+G1017</f>
        <v>8645</v>
      </c>
      <c r="J1017" s="9">
        <f t="shared" si="565"/>
        <v>0</v>
      </c>
      <c r="K1017" s="45" t="s">
        <v>31</v>
      </c>
      <c r="L1017" s="47">
        <v>286000</v>
      </c>
      <c r="M1017" s="47">
        <v>0</v>
      </c>
      <c r="N1017" s="47">
        <v>284950</v>
      </c>
      <c r="O1017" s="47">
        <v>0</v>
      </c>
    </row>
    <row r="1018" spans="1:15" ht="16.5">
      <c r="A1018" s="115" t="str">
        <f t="shared" ref="A1018:A1025" si="571">+K1018</f>
        <v>I55S</v>
      </c>
      <c r="B1018" s="116" t="s">
        <v>4</v>
      </c>
      <c r="C1018" s="117">
        <v>233614</v>
      </c>
      <c r="D1018" s="118">
        <f t="shared" si="563"/>
        <v>0</v>
      </c>
      <c r="E1018" s="118">
        <f>+N1018</f>
        <v>0</v>
      </c>
      <c r="F1018" s="118">
        <f t="shared" si="568"/>
        <v>0</v>
      </c>
      <c r="G1018" s="118">
        <f t="shared" si="564"/>
        <v>0</v>
      </c>
      <c r="H1018" s="118">
        <v>233614</v>
      </c>
      <c r="I1018" s="118">
        <f>+C1018+D1018-E1018-F1018+G1018</f>
        <v>233614</v>
      </c>
      <c r="J1018" s="9">
        <f t="shared" si="565"/>
        <v>0</v>
      </c>
      <c r="K1018" s="45" t="s">
        <v>84</v>
      </c>
      <c r="L1018" s="47">
        <v>0</v>
      </c>
      <c r="M1018" s="47">
        <v>0</v>
      </c>
      <c r="N1018" s="47">
        <v>0</v>
      </c>
      <c r="O1018" s="47">
        <v>0</v>
      </c>
    </row>
    <row r="1019" spans="1:15" ht="16.5">
      <c r="A1019" s="115" t="str">
        <f t="shared" si="571"/>
        <v>I73X</v>
      </c>
      <c r="B1019" s="116" t="s">
        <v>4</v>
      </c>
      <c r="C1019" s="117">
        <v>249769</v>
      </c>
      <c r="D1019" s="118">
        <f t="shared" si="563"/>
        <v>0</v>
      </c>
      <c r="E1019" s="118">
        <f>+N1019</f>
        <v>0</v>
      </c>
      <c r="F1019" s="118">
        <f t="shared" si="568"/>
        <v>0</v>
      </c>
      <c r="G1019" s="118">
        <f t="shared" si="564"/>
        <v>0</v>
      </c>
      <c r="H1019" s="118">
        <v>249769</v>
      </c>
      <c r="I1019" s="118">
        <f t="shared" ref="I1019:I1022" si="572">+C1019+D1019-E1019-F1019+G1019</f>
        <v>249769</v>
      </c>
      <c r="J1019" s="9">
        <f t="shared" si="565"/>
        <v>0</v>
      </c>
      <c r="K1019" s="45" t="s">
        <v>83</v>
      </c>
      <c r="L1019" s="47">
        <v>0</v>
      </c>
      <c r="M1019" s="47">
        <v>0</v>
      </c>
      <c r="N1019" s="47">
        <v>0</v>
      </c>
      <c r="O1019" s="47">
        <v>0</v>
      </c>
    </row>
    <row r="1020" spans="1:15" ht="16.5">
      <c r="A1020" s="58" t="str">
        <f t="shared" si="571"/>
        <v>Godfré</v>
      </c>
      <c r="B1020" s="98" t="s">
        <v>154</v>
      </c>
      <c r="C1020" s="60">
        <v>-6000</v>
      </c>
      <c r="D1020" s="61">
        <f t="shared" si="563"/>
        <v>797000</v>
      </c>
      <c r="E1020" s="154">
        <f t="shared" ref="E1020:E1025" si="573">+N1020</f>
        <v>578885</v>
      </c>
      <c r="F1020" s="61">
        <f t="shared" si="568"/>
        <v>177180</v>
      </c>
      <c r="G1020" s="61">
        <f t="shared" si="564"/>
        <v>0</v>
      </c>
      <c r="H1020" s="61">
        <v>34935</v>
      </c>
      <c r="I1020" s="61">
        <f t="shared" si="572"/>
        <v>34935</v>
      </c>
      <c r="J1020" s="9">
        <f t="shared" si="565"/>
        <v>0</v>
      </c>
      <c r="K1020" s="45" t="s">
        <v>144</v>
      </c>
      <c r="L1020" s="47">
        <v>797000</v>
      </c>
      <c r="M1020" s="47">
        <v>177180</v>
      </c>
      <c r="N1020" s="47">
        <v>578885</v>
      </c>
      <c r="O1020" s="47">
        <v>0</v>
      </c>
    </row>
    <row r="1021" spans="1:15" ht="16.5">
      <c r="A1021" s="58" t="str">
        <f t="shared" si="571"/>
        <v>Grace</v>
      </c>
      <c r="B1021" s="59" t="s">
        <v>2</v>
      </c>
      <c r="C1021" s="60">
        <v>48400</v>
      </c>
      <c r="D1021" s="61">
        <f t="shared" si="563"/>
        <v>847000</v>
      </c>
      <c r="E1021" s="154">
        <f>+N1021</f>
        <v>193200</v>
      </c>
      <c r="F1021" s="61">
        <f t="shared" si="568"/>
        <v>658000</v>
      </c>
      <c r="G1021" s="61">
        <f t="shared" si="564"/>
        <v>0</v>
      </c>
      <c r="H1021" s="61">
        <v>44200</v>
      </c>
      <c r="I1021" s="61">
        <f t="shared" si="572"/>
        <v>44200</v>
      </c>
      <c r="J1021" s="9">
        <f>I1021-H1021</f>
        <v>0</v>
      </c>
      <c r="K1021" s="45" t="s">
        <v>143</v>
      </c>
      <c r="L1021" s="47">
        <v>847000</v>
      </c>
      <c r="M1021" s="47">
        <v>658000</v>
      </c>
      <c r="N1021" s="47">
        <v>193200</v>
      </c>
      <c r="O1021" s="47">
        <v>0</v>
      </c>
    </row>
    <row r="1022" spans="1:15" ht="16.5">
      <c r="A1022" s="58" t="str">
        <f t="shared" si="571"/>
        <v>I23C</v>
      </c>
      <c r="B1022" s="98" t="s">
        <v>4</v>
      </c>
      <c r="C1022" s="60">
        <v>6800</v>
      </c>
      <c r="D1022" s="61">
        <f t="shared" si="563"/>
        <v>861000</v>
      </c>
      <c r="E1022" s="154">
        <f t="shared" si="573"/>
        <v>855750</v>
      </c>
      <c r="F1022" s="61">
        <f t="shared" si="568"/>
        <v>0</v>
      </c>
      <c r="G1022" s="61">
        <f t="shared" si="564"/>
        <v>0</v>
      </c>
      <c r="H1022" s="61">
        <v>12050</v>
      </c>
      <c r="I1022" s="61">
        <f t="shared" si="572"/>
        <v>12050</v>
      </c>
      <c r="J1022" s="9">
        <f t="shared" ref="J1022:J1023" si="574">I1022-H1022</f>
        <v>0</v>
      </c>
      <c r="K1022" s="45" t="s">
        <v>30</v>
      </c>
      <c r="L1022" s="47">
        <v>861000</v>
      </c>
      <c r="M1022" s="47">
        <v>0</v>
      </c>
      <c r="N1022" s="47">
        <v>855750</v>
      </c>
      <c r="O1022" s="47">
        <v>0</v>
      </c>
    </row>
    <row r="1023" spans="1:15" ht="16.5">
      <c r="A1023" s="58" t="str">
        <f t="shared" si="571"/>
        <v>Merveille</v>
      </c>
      <c r="B1023" s="59" t="s">
        <v>2</v>
      </c>
      <c r="C1023" s="60">
        <v>5500</v>
      </c>
      <c r="D1023" s="61">
        <f t="shared" si="563"/>
        <v>0</v>
      </c>
      <c r="E1023" s="154">
        <f t="shared" si="573"/>
        <v>0</v>
      </c>
      <c r="F1023" s="61">
        <f t="shared" si="568"/>
        <v>0</v>
      </c>
      <c r="G1023" s="61">
        <f t="shared" si="564"/>
        <v>0</v>
      </c>
      <c r="H1023" s="61">
        <v>5500</v>
      </c>
      <c r="I1023" s="61">
        <f>+C1023+D1023-E1023-F1023+G1023</f>
        <v>5500</v>
      </c>
      <c r="J1023" s="9">
        <f t="shared" si="574"/>
        <v>0</v>
      </c>
      <c r="K1023" s="45" t="s">
        <v>93</v>
      </c>
      <c r="L1023" s="47">
        <v>0</v>
      </c>
      <c r="M1023" s="47">
        <v>0</v>
      </c>
      <c r="N1023" s="47">
        <v>0</v>
      </c>
      <c r="O1023" s="47"/>
    </row>
    <row r="1024" spans="1:15" ht="16.5">
      <c r="A1024" s="58" t="str">
        <f t="shared" si="571"/>
        <v>P29</v>
      </c>
      <c r="B1024" s="59" t="s">
        <v>4</v>
      </c>
      <c r="C1024" s="60">
        <v>30700</v>
      </c>
      <c r="D1024" s="61">
        <f t="shared" si="563"/>
        <v>1215000</v>
      </c>
      <c r="E1024" s="154">
        <f t="shared" si="573"/>
        <v>697500</v>
      </c>
      <c r="F1024" s="61">
        <f>+M1024</f>
        <v>490000</v>
      </c>
      <c r="G1024" s="61">
        <f>+O1024</f>
        <v>0</v>
      </c>
      <c r="H1024" s="61">
        <v>58200</v>
      </c>
      <c r="I1024" s="61">
        <f>+C1024+D1024-E1024-F1024+G1024</f>
        <v>58200</v>
      </c>
      <c r="J1024" s="9">
        <f>I1024-H1024</f>
        <v>0</v>
      </c>
      <c r="K1024" s="45" t="s">
        <v>29</v>
      </c>
      <c r="L1024" s="47">
        <v>1215000</v>
      </c>
      <c r="M1024" s="47">
        <v>490000</v>
      </c>
      <c r="N1024" s="47">
        <v>697500</v>
      </c>
      <c r="O1024" s="47">
        <v>0</v>
      </c>
    </row>
    <row r="1025" spans="1:15" ht="16.5">
      <c r="A1025" s="58" t="str">
        <f t="shared" si="571"/>
        <v>Tiffany</v>
      </c>
      <c r="B1025" s="59" t="s">
        <v>2</v>
      </c>
      <c r="C1025" s="60">
        <v>9193</v>
      </c>
      <c r="D1025" s="61">
        <f t="shared" si="563"/>
        <v>1100180</v>
      </c>
      <c r="E1025" s="154">
        <f t="shared" si="573"/>
        <v>195700</v>
      </c>
      <c r="F1025" s="61">
        <f t="shared" ref="F1025" si="575">+M1025</f>
        <v>650000</v>
      </c>
      <c r="G1025" s="61">
        <f t="shared" ref="G1025" si="576">+O1025</f>
        <v>0</v>
      </c>
      <c r="H1025" s="61">
        <v>263673</v>
      </c>
      <c r="I1025" s="61">
        <f t="shared" ref="I1025" si="577">+C1025+D1025-E1025-F1025+G1025</f>
        <v>263673</v>
      </c>
      <c r="J1025" s="9">
        <f t="shared" ref="J1025" si="578">I1025-H1025</f>
        <v>0</v>
      </c>
      <c r="K1025" s="45" t="s">
        <v>113</v>
      </c>
      <c r="L1025" s="47">
        <v>1100180</v>
      </c>
      <c r="M1025" s="47">
        <v>650000</v>
      </c>
      <c r="N1025" s="47">
        <v>195700</v>
      </c>
      <c r="O1025" s="47">
        <v>0</v>
      </c>
    </row>
    <row r="1026" spans="1:15" ht="16.5">
      <c r="A1026" s="10" t="s">
        <v>50</v>
      </c>
      <c r="B1026" s="11"/>
      <c r="C1026" s="12">
        <f>SUM(C1011:C1025)</f>
        <v>23367297</v>
      </c>
      <c r="D1026" s="57">
        <f t="shared" ref="D1026:G1026" si="579">SUM(D1011:D1025)</f>
        <v>19016037</v>
      </c>
      <c r="E1026" s="57">
        <f t="shared" si="579"/>
        <v>13144803</v>
      </c>
      <c r="F1026" s="57">
        <f t="shared" si="579"/>
        <v>19016037</v>
      </c>
      <c r="G1026" s="57">
        <f t="shared" si="579"/>
        <v>0</v>
      </c>
      <c r="H1026" s="57">
        <f>SUM(H1011:H1025)</f>
        <v>10222494</v>
      </c>
      <c r="I1026" s="57">
        <f>SUM(I1011:I1025)</f>
        <v>10222494</v>
      </c>
      <c r="J1026" s="9">
        <f>I1026-H1026</f>
        <v>0</v>
      </c>
      <c r="K1026" s="3"/>
      <c r="L1026" s="47">
        <f>+SUM(L1011:L1025)</f>
        <v>19016037</v>
      </c>
      <c r="M1026" s="47">
        <f t="shared" ref="M1026:O1026" si="580">+SUM(M1011:M1025)</f>
        <v>19016037</v>
      </c>
      <c r="N1026" s="47">
        <f>+SUM(N1011:N1025)</f>
        <v>13144803</v>
      </c>
      <c r="O1026" s="47">
        <f t="shared" si="580"/>
        <v>0</v>
      </c>
    </row>
    <row r="1027" spans="1:15" ht="16.5">
      <c r="A1027" s="10"/>
      <c r="B1027" s="11"/>
      <c r="C1027" s="12"/>
      <c r="D1027" s="13"/>
      <c r="E1027" s="12"/>
      <c r="F1027" s="13"/>
      <c r="G1027" s="12"/>
      <c r="H1027" s="12"/>
      <c r="I1027" s="134" t="b">
        <f>I1026=D1029</f>
        <v>1</v>
      </c>
      <c r="L1027" s="5"/>
      <c r="M1027" s="5"/>
      <c r="N1027" s="5"/>
      <c r="O1027" s="5"/>
    </row>
    <row r="1028" spans="1:15" ht="16.5">
      <c r="A1028" s="10" t="s">
        <v>164</v>
      </c>
      <c r="B1028" s="11" t="s">
        <v>165</v>
      </c>
      <c r="C1028" s="12" t="s">
        <v>166</v>
      </c>
      <c r="D1028" s="12" t="s">
        <v>173</v>
      </c>
      <c r="E1028" s="12" t="s">
        <v>51</v>
      </c>
      <c r="F1028" s="12"/>
      <c r="G1028" s="12">
        <f>+D1026-F1026</f>
        <v>0</v>
      </c>
      <c r="H1028" s="12"/>
      <c r="I1028" s="12"/>
    </row>
    <row r="1029" spans="1:15" ht="16.5">
      <c r="A1029" s="14">
        <f>C1026</f>
        <v>23367297</v>
      </c>
      <c r="B1029" s="15">
        <f>G1026</f>
        <v>0</v>
      </c>
      <c r="C1029" s="12">
        <f>E1026</f>
        <v>13144803</v>
      </c>
      <c r="D1029" s="12">
        <f>A1029+B1029-C1029</f>
        <v>10222494</v>
      </c>
      <c r="E1029" s="13">
        <f>I1026-D1029</f>
        <v>0</v>
      </c>
      <c r="F1029" s="12"/>
      <c r="G1029" s="12"/>
      <c r="H1029" s="12"/>
      <c r="I1029" s="12"/>
      <c r="L1029" s="5"/>
      <c r="M1029" s="5"/>
      <c r="N1029" s="5"/>
      <c r="O1029" s="5"/>
    </row>
    <row r="1030" spans="1:15" ht="16.5">
      <c r="A1030" s="14"/>
      <c r="B1030" s="15"/>
      <c r="C1030" s="12"/>
      <c r="D1030" s="12"/>
      <c r="E1030" s="13"/>
      <c r="F1030" s="12"/>
      <c r="G1030" s="12"/>
      <c r="H1030" s="12"/>
      <c r="I1030" s="12"/>
      <c r="L1030" s="5"/>
      <c r="M1030" s="5"/>
      <c r="N1030" s="5"/>
      <c r="O1030" s="5"/>
    </row>
    <row r="1031" spans="1:15">
      <c r="A1031" s="16" t="s">
        <v>52</v>
      </c>
      <c r="B1031" s="16"/>
      <c r="C1031" s="16"/>
      <c r="D1031" s="17"/>
      <c r="E1031" s="17"/>
      <c r="F1031" s="17"/>
      <c r="G1031" s="17"/>
      <c r="H1031" s="17"/>
      <c r="I1031" s="17"/>
      <c r="L1031" s="5"/>
      <c r="M1031" s="5"/>
      <c r="N1031" s="5"/>
      <c r="O1031" s="5"/>
    </row>
    <row r="1032" spans="1:15">
      <c r="A1032" s="18" t="s">
        <v>172</v>
      </c>
      <c r="B1032" s="18"/>
      <c r="C1032" s="18"/>
      <c r="D1032" s="18"/>
      <c r="E1032" s="18"/>
      <c r="F1032" s="18"/>
      <c r="G1032" s="18"/>
      <c r="H1032" s="18"/>
      <c r="I1032" s="18"/>
      <c r="J1032" s="18"/>
      <c r="L1032" s="5"/>
      <c r="M1032" s="5"/>
      <c r="N1032" s="5"/>
      <c r="O1032" s="5"/>
    </row>
    <row r="1033" spans="1:15">
      <c r="A1033" s="19"/>
      <c r="B1033" s="17"/>
      <c r="C1033" s="20"/>
      <c r="D1033" s="20"/>
      <c r="E1033" s="20"/>
      <c r="F1033" s="20"/>
      <c r="G1033" s="20"/>
      <c r="H1033" s="17"/>
      <c r="I1033" s="17"/>
      <c r="L1033" s="5"/>
      <c r="M1033" s="5"/>
      <c r="N1033" s="5"/>
      <c r="O1033" s="5"/>
    </row>
    <row r="1034" spans="1:15">
      <c r="A1034" s="242" t="s">
        <v>53</v>
      </c>
      <c r="B1034" s="244" t="s">
        <v>54</v>
      </c>
      <c r="C1034" s="246" t="s">
        <v>167</v>
      </c>
      <c r="D1034" s="248" t="s">
        <v>55</v>
      </c>
      <c r="E1034" s="249"/>
      <c r="F1034" s="249"/>
      <c r="G1034" s="250"/>
      <c r="H1034" s="251" t="s">
        <v>56</v>
      </c>
      <c r="I1034" s="238" t="s">
        <v>57</v>
      </c>
      <c r="J1034" s="17"/>
      <c r="L1034" s="5"/>
      <c r="M1034" s="5"/>
      <c r="N1034" s="5"/>
      <c r="O1034" s="5"/>
    </row>
    <row r="1035" spans="1:15" ht="28.5" customHeight="1">
      <c r="A1035" s="243"/>
      <c r="B1035" s="245"/>
      <c r="C1035" s="247"/>
      <c r="D1035" s="21" t="s">
        <v>24</v>
      </c>
      <c r="E1035" s="21" t="s">
        <v>25</v>
      </c>
      <c r="F1035" s="22" t="s">
        <v>123</v>
      </c>
      <c r="G1035" s="21" t="s">
        <v>58</v>
      </c>
      <c r="H1035" s="252"/>
      <c r="I1035" s="239"/>
      <c r="J1035" s="240" t="s">
        <v>168</v>
      </c>
      <c r="K1035" s="143"/>
      <c r="L1035" s="5"/>
      <c r="M1035" s="5"/>
      <c r="N1035" s="5"/>
      <c r="O1035" s="5"/>
    </row>
    <row r="1036" spans="1:15">
      <c r="A1036" s="23"/>
      <c r="B1036" s="24" t="s">
        <v>59</v>
      </c>
      <c r="C1036" s="25"/>
      <c r="D1036" s="25"/>
      <c r="E1036" s="25"/>
      <c r="F1036" s="25"/>
      <c r="G1036" s="25"/>
      <c r="H1036" s="25"/>
      <c r="I1036" s="26"/>
      <c r="J1036" s="241"/>
      <c r="K1036" s="143"/>
      <c r="L1036" s="5"/>
      <c r="M1036" s="5"/>
      <c r="N1036" s="5"/>
      <c r="O1036" s="5"/>
    </row>
    <row r="1037" spans="1:15">
      <c r="A1037" s="122" t="s">
        <v>103</v>
      </c>
      <c r="B1037" s="127" t="s">
        <v>153</v>
      </c>
      <c r="C1037" s="32">
        <f>+C1011</f>
        <v>29107</v>
      </c>
      <c r="D1037" s="31"/>
      <c r="E1037" s="32">
        <f>D1011</f>
        <v>1125000</v>
      </c>
      <c r="F1037" s="32"/>
      <c r="G1037" s="32"/>
      <c r="H1037" s="55">
        <f>+F1011</f>
        <v>145357</v>
      </c>
      <c r="I1037" s="32">
        <f>+E1011</f>
        <v>1008750</v>
      </c>
      <c r="J1037" s="30">
        <f>+SUM(C1037:G1037)-(H1037+I1037)</f>
        <v>0</v>
      </c>
      <c r="K1037" s="144" t="b">
        <f>J1037=I1011</f>
        <v>1</v>
      </c>
      <c r="L1037" s="5"/>
      <c r="M1037" s="5"/>
      <c r="N1037" s="5"/>
      <c r="O1037" s="5"/>
    </row>
    <row r="1038" spans="1:15">
      <c r="A1038" s="122" t="str">
        <f>A1037</f>
        <v>DECEMBRE</v>
      </c>
      <c r="B1038" s="127" t="s">
        <v>162</v>
      </c>
      <c r="C1038" s="32">
        <f>+C1012</f>
        <v>4000</v>
      </c>
      <c r="D1038" s="31"/>
      <c r="E1038" s="32">
        <f>+D1012</f>
        <v>426000</v>
      </c>
      <c r="F1038" s="32"/>
      <c r="G1038" s="32"/>
      <c r="H1038" s="55">
        <f>+F1012</f>
        <v>0</v>
      </c>
      <c r="I1038" s="32">
        <f>+E1012</f>
        <v>420500</v>
      </c>
      <c r="J1038" s="30">
        <f t="shared" ref="J1038:J1039" si="581">+SUM(C1038:G1038)-(H1038+I1038)</f>
        <v>9500</v>
      </c>
      <c r="K1038" s="144" t="b">
        <f>J1038=I1012</f>
        <v>1</v>
      </c>
      <c r="L1038" s="5"/>
      <c r="M1038" s="5"/>
      <c r="N1038" s="5"/>
      <c r="O1038" s="5"/>
    </row>
    <row r="1039" spans="1:15">
      <c r="A1039" s="122" t="str">
        <f>+A1038</f>
        <v>DECEMBRE</v>
      </c>
      <c r="B1039" s="127" t="s">
        <v>47</v>
      </c>
      <c r="C1039" s="32">
        <f>+C1016</f>
        <v>-3675</v>
      </c>
      <c r="D1039" s="31"/>
      <c r="E1039" s="32">
        <f>+D1016</f>
        <v>1778500</v>
      </c>
      <c r="F1039" s="32"/>
      <c r="G1039" s="32"/>
      <c r="H1039" s="55">
        <f>+F1016</f>
        <v>145000</v>
      </c>
      <c r="I1039" s="32">
        <f>+E1016</f>
        <v>1666925</v>
      </c>
      <c r="J1039" s="101">
        <f t="shared" si="581"/>
        <v>-37100</v>
      </c>
      <c r="K1039" s="144" t="b">
        <f>J1039=I1016</f>
        <v>1</v>
      </c>
      <c r="L1039" s="5"/>
      <c r="M1039" s="5"/>
      <c r="N1039" s="5"/>
      <c r="O1039" s="5"/>
    </row>
    <row r="1040" spans="1:15">
      <c r="A1040" s="122" t="str">
        <f t="shared" ref="A1040:A1048" si="582">+A1039</f>
        <v>DECEMBRE</v>
      </c>
      <c r="B1040" s="128" t="s">
        <v>31</v>
      </c>
      <c r="C1040" s="32">
        <f>+C1017</f>
        <v>7595</v>
      </c>
      <c r="D1040" s="119"/>
      <c r="E1040" s="32">
        <f>+D1017</f>
        <v>286000</v>
      </c>
      <c r="F1040" s="51"/>
      <c r="G1040" s="51"/>
      <c r="H1040" s="55">
        <f>+F1017</f>
        <v>0</v>
      </c>
      <c r="I1040" s="32">
        <f>+E1017</f>
        <v>284950</v>
      </c>
      <c r="J1040" s="124">
        <f>+SUM(C1040:G1040)-(H1040+I1040)</f>
        <v>8645</v>
      </c>
      <c r="K1040" s="144" t="b">
        <f t="shared" ref="K1040:K1048" si="583">J1040=I1017</f>
        <v>1</v>
      </c>
      <c r="L1040" s="5"/>
      <c r="M1040" s="5"/>
      <c r="N1040" s="5"/>
      <c r="O1040" s="5"/>
    </row>
    <row r="1041" spans="1:16">
      <c r="A1041" s="122" t="str">
        <f t="shared" si="582"/>
        <v>DECEMBRE</v>
      </c>
      <c r="B1041" s="129" t="s">
        <v>84</v>
      </c>
      <c r="C1041" s="120">
        <f>+C1018</f>
        <v>233614</v>
      </c>
      <c r="D1041" s="123"/>
      <c r="E1041" s="120">
        <f>+D1018</f>
        <v>0</v>
      </c>
      <c r="F1041" s="137"/>
      <c r="G1041" s="137"/>
      <c r="H1041" s="155">
        <f>+F1018</f>
        <v>0</v>
      </c>
      <c r="I1041" s="120">
        <f>+E1018</f>
        <v>0</v>
      </c>
      <c r="J1041" s="121">
        <f>+SUM(C1041:G1041)-(H1041+I1041)</f>
        <v>233614</v>
      </c>
      <c r="K1041" s="144" t="b">
        <f t="shared" si="583"/>
        <v>1</v>
      </c>
      <c r="L1041" s="5"/>
      <c r="M1041" s="5"/>
      <c r="N1041" s="5"/>
      <c r="O1041" s="5"/>
    </row>
    <row r="1042" spans="1:16">
      <c r="A1042" s="122" t="str">
        <f t="shared" si="582"/>
        <v>DECEMBRE</v>
      </c>
      <c r="B1042" s="129" t="s">
        <v>83</v>
      </c>
      <c r="C1042" s="120">
        <f>+C1019</f>
        <v>249769</v>
      </c>
      <c r="D1042" s="123"/>
      <c r="E1042" s="120">
        <f>+D1019</f>
        <v>0</v>
      </c>
      <c r="F1042" s="137"/>
      <c r="G1042" s="137"/>
      <c r="H1042" s="155">
        <f>+F1019</f>
        <v>0</v>
      </c>
      <c r="I1042" s="120">
        <f>+E1019</f>
        <v>0</v>
      </c>
      <c r="J1042" s="121">
        <f t="shared" ref="J1042:J1048" si="584">+SUM(C1042:G1042)-(H1042+I1042)</f>
        <v>249769</v>
      </c>
      <c r="K1042" s="144" t="b">
        <f t="shared" si="583"/>
        <v>1</v>
      </c>
      <c r="L1042" s="5"/>
      <c r="M1042" s="5"/>
      <c r="N1042" s="5"/>
      <c r="O1042" s="5"/>
    </row>
    <row r="1043" spans="1:16">
      <c r="A1043" s="122" t="str">
        <f t="shared" si="582"/>
        <v>DECEMBRE</v>
      </c>
      <c r="B1043" s="127" t="s">
        <v>144</v>
      </c>
      <c r="C1043" s="32">
        <f>+C1020</f>
        <v>-6000</v>
      </c>
      <c r="D1043" s="31"/>
      <c r="E1043" s="32">
        <f>+D1020</f>
        <v>797000</v>
      </c>
      <c r="F1043" s="32"/>
      <c r="G1043" s="104"/>
      <c r="H1043" s="55">
        <f>+F1020</f>
        <v>177180</v>
      </c>
      <c r="I1043" s="32">
        <f>+E1020</f>
        <v>578885</v>
      </c>
      <c r="J1043" s="30">
        <f t="shared" si="584"/>
        <v>34935</v>
      </c>
      <c r="K1043" s="144" t="b">
        <f t="shared" si="583"/>
        <v>1</v>
      </c>
      <c r="L1043" s="5"/>
      <c r="M1043" s="5"/>
      <c r="N1043" s="5"/>
      <c r="O1043" s="5"/>
    </row>
    <row r="1044" spans="1:16">
      <c r="A1044" s="122" t="str">
        <f t="shared" si="582"/>
        <v>DECEMBRE</v>
      </c>
      <c r="B1044" s="127" t="s">
        <v>143</v>
      </c>
      <c r="C1044" s="32">
        <f t="shared" ref="C1044:C1048" si="585">+C1021</f>
        <v>48400</v>
      </c>
      <c r="D1044" s="31"/>
      <c r="E1044" s="32">
        <f t="shared" ref="E1044:E1048" si="586">+D1021</f>
        <v>847000</v>
      </c>
      <c r="F1044" s="32"/>
      <c r="G1044" s="104"/>
      <c r="H1044" s="55">
        <f t="shared" ref="H1044:H1048" si="587">+F1021</f>
        <v>658000</v>
      </c>
      <c r="I1044" s="32">
        <f t="shared" ref="I1044:I1048" si="588">+E1021</f>
        <v>193200</v>
      </c>
      <c r="J1044" s="30">
        <f t="shared" si="584"/>
        <v>44200</v>
      </c>
      <c r="K1044" s="144" t="b">
        <f t="shared" si="583"/>
        <v>1</v>
      </c>
      <c r="L1044" s="5"/>
      <c r="M1044" s="5"/>
      <c r="N1044" s="5"/>
      <c r="O1044" s="5"/>
    </row>
    <row r="1045" spans="1:16">
      <c r="A1045" s="122" t="str">
        <f t="shared" si="582"/>
        <v>DECEMBRE</v>
      </c>
      <c r="B1045" s="127" t="s">
        <v>30</v>
      </c>
      <c r="C1045" s="32">
        <f t="shared" si="585"/>
        <v>6800</v>
      </c>
      <c r="D1045" s="31"/>
      <c r="E1045" s="32">
        <f t="shared" si="586"/>
        <v>861000</v>
      </c>
      <c r="F1045" s="32"/>
      <c r="G1045" s="104"/>
      <c r="H1045" s="55">
        <f t="shared" si="587"/>
        <v>0</v>
      </c>
      <c r="I1045" s="32">
        <f t="shared" si="588"/>
        <v>855750</v>
      </c>
      <c r="J1045" s="30">
        <f t="shared" si="584"/>
        <v>12050</v>
      </c>
      <c r="K1045" s="144" t="b">
        <f t="shared" si="583"/>
        <v>1</v>
      </c>
    </row>
    <row r="1046" spans="1:16">
      <c r="A1046" s="122" t="str">
        <f>+A1044</f>
        <v>DECEMBRE</v>
      </c>
      <c r="B1046" s="127" t="s">
        <v>93</v>
      </c>
      <c r="C1046" s="32">
        <f t="shared" si="585"/>
        <v>5500</v>
      </c>
      <c r="D1046" s="31"/>
      <c r="E1046" s="32">
        <f t="shared" si="586"/>
        <v>0</v>
      </c>
      <c r="F1046" s="32"/>
      <c r="G1046" s="104"/>
      <c r="H1046" s="55">
        <f t="shared" si="587"/>
        <v>0</v>
      </c>
      <c r="I1046" s="32">
        <f t="shared" si="588"/>
        <v>0</v>
      </c>
      <c r="J1046" s="30">
        <f t="shared" si="584"/>
        <v>5500</v>
      </c>
      <c r="K1046" s="144" t="b">
        <f t="shared" si="583"/>
        <v>1</v>
      </c>
    </row>
    <row r="1047" spans="1:16">
      <c r="A1047" s="122" t="str">
        <f>+A1045</f>
        <v>DECEMBRE</v>
      </c>
      <c r="B1047" s="127" t="s">
        <v>29</v>
      </c>
      <c r="C1047" s="32">
        <f t="shared" si="585"/>
        <v>30700</v>
      </c>
      <c r="D1047" s="31"/>
      <c r="E1047" s="32">
        <f t="shared" si="586"/>
        <v>1215000</v>
      </c>
      <c r="F1047" s="32"/>
      <c r="G1047" s="104"/>
      <c r="H1047" s="55">
        <f t="shared" si="587"/>
        <v>490000</v>
      </c>
      <c r="I1047" s="32">
        <f t="shared" si="588"/>
        <v>697500</v>
      </c>
      <c r="J1047" s="30">
        <f t="shared" si="584"/>
        <v>58200</v>
      </c>
      <c r="K1047" s="144" t="b">
        <f t="shared" si="583"/>
        <v>1</v>
      </c>
    </row>
    <row r="1048" spans="1:16">
      <c r="A1048" s="122" t="str">
        <f t="shared" si="582"/>
        <v>DECEMBRE</v>
      </c>
      <c r="B1048" s="128" t="s">
        <v>113</v>
      </c>
      <c r="C1048" s="32">
        <f t="shared" si="585"/>
        <v>9193</v>
      </c>
      <c r="D1048" s="119"/>
      <c r="E1048" s="32">
        <f t="shared" si="586"/>
        <v>1100180</v>
      </c>
      <c r="F1048" s="51"/>
      <c r="G1048" s="138"/>
      <c r="H1048" s="55">
        <f t="shared" si="587"/>
        <v>650000</v>
      </c>
      <c r="I1048" s="32">
        <f t="shared" si="588"/>
        <v>195700</v>
      </c>
      <c r="J1048" s="30">
        <f t="shared" si="584"/>
        <v>263673</v>
      </c>
      <c r="K1048" s="144" t="b">
        <f t="shared" si="583"/>
        <v>1</v>
      </c>
    </row>
    <row r="1049" spans="1:16">
      <c r="A1049" s="34" t="s">
        <v>60</v>
      </c>
      <c r="B1049" s="35"/>
      <c r="C1049" s="35"/>
      <c r="D1049" s="35"/>
      <c r="E1049" s="35"/>
      <c r="F1049" s="35"/>
      <c r="G1049" s="35"/>
      <c r="H1049" s="35"/>
      <c r="I1049" s="35"/>
      <c r="J1049" s="36"/>
      <c r="K1049" s="143"/>
    </row>
    <row r="1050" spans="1:16">
      <c r="A1050" s="122" t="str">
        <f>+A1048</f>
        <v>DECEMBRE</v>
      </c>
      <c r="B1050" s="37" t="s">
        <v>61</v>
      </c>
      <c r="C1050" s="38">
        <f>+C1015</f>
        <v>926369</v>
      </c>
      <c r="D1050" s="49"/>
      <c r="E1050" s="49">
        <f>D1015</f>
        <v>10580357</v>
      </c>
      <c r="F1050" s="49"/>
      <c r="G1050" s="125"/>
      <c r="H1050" s="51">
        <f>+F1015</f>
        <v>6750500</v>
      </c>
      <c r="I1050" s="126">
        <f>+E1015</f>
        <v>3713706</v>
      </c>
      <c r="J1050" s="30">
        <f>+SUM(C1050:G1050)-(H1050+I1050)</f>
        <v>1042520</v>
      </c>
      <c r="K1050" s="144" t="b">
        <f>J1050=I1015</f>
        <v>1</v>
      </c>
    </row>
    <row r="1051" spans="1:16">
      <c r="A1051" s="43" t="s">
        <v>62</v>
      </c>
      <c r="B1051" s="24"/>
      <c r="C1051" s="35"/>
      <c r="D1051" s="24"/>
      <c r="E1051" s="24"/>
      <c r="F1051" s="24"/>
      <c r="G1051" s="24"/>
      <c r="H1051" s="24"/>
      <c r="I1051" s="24"/>
      <c r="J1051" s="36"/>
      <c r="K1051" s="143"/>
    </row>
    <row r="1052" spans="1:16">
      <c r="A1052" s="122" t="str">
        <f>+A1050</f>
        <v>DECEMBRE</v>
      </c>
      <c r="B1052" s="37" t="s">
        <v>156</v>
      </c>
      <c r="C1052" s="125">
        <f>+C1013</f>
        <v>5738718</v>
      </c>
      <c r="D1052" s="132">
        <f>+G1013</f>
        <v>0</v>
      </c>
      <c r="E1052" s="49"/>
      <c r="F1052" s="49"/>
      <c r="G1052" s="49"/>
      <c r="H1052" s="51">
        <f>+F1013</f>
        <v>2000000</v>
      </c>
      <c r="I1052" s="53">
        <f>+E1013</f>
        <v>283345</v>
      </c>
      <c r="J1052" s="30">
        <f>+SUM(C1052:G1052)-(H1052+I1052)</f>
        <v>3455373</v>
      </c>
      <c r="K1052" s="144" t="b">
        <f>+J1052=I1013</f>
        <v>1</v>
      </c>
    </row>
    <row r="1053" spans="1:16">
      <c r="A1053" s="122" t="str">
        <f t="shared" ref="A1053" si="589">+A1052</f>
        <v>DECEMBRE</v>
      </c>
      <c r="B1053" s="37" t="s">
        <v>64</v>
      </c>
      <c r="C1053" s="125">
        <f>+C1014</f>
        <v>16087207</v>
      </c>
      <c r="D1053" s="49">
        <f>+G1014</f>
        <v>0</v>
      </c>
      <c r="E1053" s="48"/>
      <c r="F1053" s="48"/>
      <c r="G1053" s="48"/>
      <c r="H1053" s="32">
        <f>+F1014</f>
        <v>8000000</v>
      </c>
      <c r="I1053" s="50">
        <f>+E1014</f>
        <v>3245592</v>
      </c>
      <c r="J1053" s="30">
        <f>SUM(C1053:G1053)-(H1053+I1053)</f>
        <v>4841615</v>
      </c>
      <c r="K1053" s="144" t="b">
        <f>+J1053=I1014</f>
        <v>1</v>
      </c>
    </row>
    <row r="1054" spans="1:16" ht="15.75">
      <c r="C1054" s="141">
        <f>SUM(C1038:C1053)</f>
        <v>23338190</v>
      </c>
      <c r="I1054" s="140">
        <f>SUM(I1038:I1053)</f>
        <v>12136053</v>
      </c>
      <c r="J1054" s="105">
        <f>+SUM(J1037:J1053)</f>
        <v>10222494</v>
      </c>
      <c r="K1054" s="5" t="b">
        <f>J1054=I1026</f>
        <v>1</v>
      </c>
    </row>
    <row r="1055" spans="1:16">
      <c r="G1055" s="9"/>
    </row>
    <row r="1056" spans="1:16">
      <c r="A1056" s="160"/>
      <c r="B1056" s="160"/>
      <c r="C1056" s="160"/>
      <c r="D1056" s="160"/>
      <c r="E1056" s="160"/>
      <c r="F1056" s="160"/>
      <c r="G1056" s="160"/>
      <c r="H1056" s="160"/>
      <c r="I1056" s="160"/>
      <c r="J1056" s="160"/>
      <c r="K1056" s="160"/>
      <c r="L1056" s="164"/>
      <c r="M1056" s="164"/>
      <c r="N1056" s="164"/>
      <c r="O1056" s="164"/>
      <c r="P1056" s="160"/>
    </row>
    <row r="1057" spans="1:15">
      <c r="A1057" s="4">
        <v>44530</v>
      </c>
    </row>
    <row r="1058" spans="1:15" ht="15.75">
      <c r="A1058" s="6" t="s">
        <v>36</v>
      </c>
      <c r="B1058" s="6" t="s">
        <v>1</v>
      </c>
      <c r="C1058" s="6">
        <v>44501</v>
      </c>
      <c r="D1058" s="7" t="s">
        <v>37</v>
      </c>
      <c r="E1058" s="7" t="s">
        <v>38</v>
      </c>
      <c r="F1058" s="7" t="s">
        <v>39</v>
      </c>
      <c r="G1058" s="7" t="s">
        <v>40</v>
      </c>
      <c r="H1058" s="6">
        <v>44530</v>
      </c>
      <c r="I1058" s="7" t="s">
        <v>41</v>
      </c>
      <c r="K1058" s="45"/>
      <c r="L1058" s="45" t="s">
        <v>42</v>
      </c>
      <c r="M1058" s="45" t="s">
        <v>43</v>
      </c>
      <c r="N1058" s="45" t="s">
        <v>44</v>
      </c>
      <c r="O1058" s="45" t="s">
        <v>45</v>
      </c>
    </row>
    <row r="1059" spans="1:15" s="156" customFormat="1" ht="16.5">
      <c r="A1059" s="58" t="str">
        <f>+K1059</f>
        <v>Axel</v>
      </c>
      <c r="B1059" s="158" t="s">
        <v>154</v>
      </c>
      <c r="C1059" s="60">
        <v>6757</v>
      </c>
      <c r="D1059" s="61">
        <f t="shared" ref="D1059:D1072" si="590">+L1059</f>
        <v>337000</v>
      </c>
      <c r="E1059" s="61">
        <f>+N1059</f>
        <v>314650</v>
      </c>
      <c r="F1059" s="61">
        <f>+M1059</f>
        <v>0</v>
      </c>
      <c r="G1059" s="61">
        <f t="shared" ref="G1059:G1061" si="591">+O1059</f>
        <v>0</v>
      </c>
      <c r="H1059" s="61">
        <v>29107</v>
      </c>
      <c r="I1059" s="61">
        <f>+C1059+D1059-E1059-F1059+G1059</f>
        <v>29107</v>
      </c>
      <c r="J1059" s="9">
        <f>I1059-H1059</f>
        <v>0</v>
      </c>
      <c r="K1059" s="157" t="s">
        <v>153</v>
      </c>
      <c r="L1059" s="157">
        <v>337000</v>
      </c>
      <c r="M1059" s="157">
        <v>0</v>
      </c>
      <c r="N1059" s="157">
        <v>314650</v>
      </c>
      <c r="O1059" s="157">
        <v>0</v>
      </c>
    </row>
    <row r="1060" spans="1:15" ht="16.5">
      <c r="A1060" s="58" t="str">
        <f>+K1060</f>
        <v>B52</v>
      </c>
      <c r="B1060" s="59" t="s">
        <v>4</v>
      </c>
      <c r="C1060" s="60">
        <v>0</v>
      </c>
      <c r="D1060" s="61">
        <f t="shared" si="590"/>
        <v>118000</v>
      </c>
      <c r="E1060" s="61">
        <f>+N1060</f>
        <v>114000</v>
      </c>
      <c r="F1060" s="61">
        <f>+M1060</f>
        <v>0</v>
      </c>
      <c r="G1060" s="61">
        <f t="shared" si="591"/>
        <v>0</v>
      </c>
      <c r="H1060" s="61">
        <v>4000</v>
      </c>
      <c r="I1060" s="61">
        <f>+C1060+D1060-E1060-F1060+G1060</f>
        <v>4000</v>
      </c>
      <c r="J1060" s="9">
        <f>I1060-H1060</f>
        <v>0</v>
      </c>
      <c r="K1060" s="45" t="s">
        <v>162</v>
      </c>
      <c r="L1060" s="47">
        <v>118000</v>
      </c>
      <c r="M1060" s="47">
        <v>0</v>
      </c>
      <c r="N1060" s="47">
        <v>114000</v>
      </c>
      <c r="O1060" s="47">
        <v>0</v>
      </c>
    </row>
    <row r="1061" spans="1:15" ht="16.5">
      <c r="A1061" s="58" t="str">
        <f>+K1061</f>
        <v>BCI</v>
      </c>
      <c r="B1061" s="59" t="s">
        <v>46</v>
      </c>
      <c r="C1061" s="60">
        <v>6762063</v>
      </c>
      <c r="D1061" s="61">
        <f t="shared" si="590"/>
        <v>0</v>
      </c>
      <c r="E1061" s="61">
        <f>+N1061</f>
        <v>23345</v>
      </c>
      <c r="F1061" s="61">
        <f>+M1061</f>
        <v>1000000</v>
      </c>
      <c r="G1061" s="61">
        <f t="shared" si="591"/>
        <v>0</v>
      </c>
      <c r="H1061" s="61">
        <v>5738718</v>
      </c>
      <c r="I1061" s="61">
        <f>+C1061+D1061-E1061-F1061+G1061</f>
        <v>5738718</v>
      </c>
      <c r="J1061" s="9">
        <f t="shared" ref="J1061:J1068" si="592">I1061-H1061</f>
        <v>0</v>
      </c>
      <c r="K1061" s="45" t="s">
        <v>24</v>
      </c>
      <c r="L1061" s="47">
        <v>0</v>
      </c>
      <c r="M1061" s="47">
        <v>1000000</v>
      </c>
      <c r="N1061" s="47">
        <v>23345</v>
      </c>
      <c r="O1061" s="47">
        <v>0</v>
      </c>
    </row>
    <row r="1062" spans="1:15" ht="16.5">
      <c r="A1062" s="58" t="str">
        <f t="shared" ref="A1062:A1064" si="593">+K1062</f>
        <v>BCI-Sous Compte</v>
      </c>
      <c r="B1062" s="59" t="s">
        <v>46</v>
      </c>
      <c r="C1062" s="60">
        <v>23107840</v>
      </c>
      <c r="D1062" s="61">
        <f t="shared" si="590"/>
        <v>0</v>
      </c>
      <c r="E1062" s="61">
        <f>+N1062</f>
        <v>4020633</v>
      </c>
      <c r="F1062" s="61">
        <f>+M1062</f>
        <v>3000000</v>
      </c>
      <c r="G1062" s="61">
        <f t="shared" ref="G1062:G1073" si="594">+O1062</f>
        <v>0</v>
      </c>
      <c r="H1062" s="61">
        <v>16087207</v>
      </c>
      <c r="I1062" s="61">
        <f>+C1062+D1062-E1062-F1062+G1062</f>
        <v>16087207</v>
      </c>
      <c r="J1062" s="102">
        <f t="shared" si="592"/>
        <v>0</v>
      </c>
      <c r="K1062" s="45" t="s">
        <v>148</v>
      </c>
      <c r="L1062" s="47">
        <v>0</v>
      </c>
      <c r="M1062" s="47">
        <v>3000000</v>
      </c>
      <c r="N1062" s="47">
        <v>4020633</v>
      </c>
      <c r="O1062" s="47">
        <v>0</v>
      </c>
    </row>
    <row r="1063" spans="1:15" ht="16.5">
      <c r="A1063" s="58" t="str">
        <f t="shared" si="593"/>
        <v>Caisse</v>
      </c>
      <c r="B1063" s="59" t="s">
        <v>25</v>
      </c>
      <c r="C1063" s="60">
        <v>1685107</v>
      </c>
      <c r="D1063" s="61">
        <f t="shared" si="590"/>
        <v>4090000</v>
      </c>
      <c r="E1063" s="61">
        <f t="shared" ref="E1063" si="595">+N1063</f>
        <v>2854238</v>
      </c>
      <c r="F1063" s="61">
        <f t="shared" ref="F1063:F1070" si="596">+M1063</f>
        <v>1994500</v>
      </c>
      <c r="G1063" s="61">
        <f t="shared" si="594"/>
        <v>0</v>
      </c>
      <c r="H1063" s="61">
        <v>926369</v>
      </c>
      <c r="I1063" s="61">
        <f>+C1063+D1063-E1063-F1063+G1063</f>
        <v>926369</v>
      </c>
      <c r="J1063" s="9">
        <f t="shared" si="592"/>
        <v>0</v>
      </c>
      <c r="K1063" s="45" t="s">
        <v>25</v>
      </c>
      <c r="L1063" s="47">
        <v>4090000</v>
      </c>
      <c r="M1063" s="47">
        <v>1994500</v>
      </c>
      <c r="N1063" s="47">
        <v>2854238</v>
      </c>
      <c r="O1063" s="47">
        <v>0</v>
      </c>
    </row>
    <row r="1064" spans="1:15" ht="16.5">
      <c r="A1064" s="58" t="str">
        <f t="shared" si="593"/>
        <v>Crépin</v>
      </c>
      <c r="B1064" s="59" t="s">
        <v>154</v>
      </c>
      <c r="C1064" s="60">
        <v>7200</v>
      </c>
      <c r="D1064" s="61">
        <f t="shared" si="590"/>
        <v>286000</v>
      </c>
      <c r="E1064" s="61">
        <f>+N1064</f>
        <v>226875</v>
      </c>
      <c r="F1064" s="61">
        <f t="shared" si="596"/>
        <v>70000</v>
      </c>
      <c r="G1064" s="61">
        <f t="shared" si="594"/>
        <v>0</v>
      </c>
      <c r="H1064" s="61">
        <v>-3675</v>
      </c>
      <c r="I1064" s="61">
        <f t="shared" ref="I1064" si="597">+C1064+D1064-E1064-F1064+G1064</f>
        <v>-3675</v>
      </c>
      <c r="J1064" s="9">
        <f t="shared" si="592"/>
        <v>0</v>
      </c>
      <c r="K1064" s="45" t="s">
        <v>47</v>
      </c>
      <c r="L1064" s="47">
        <v>286000</v>
      </c>
      <c r="M1064" s="47">
        <v>70000</v>
      </c>
      <c r="N1064" s="47">
        <v>226875</v>
      </c>
      <c r="O1064" s="47">
        <v>0</v>
      </c>
    </row>
    <row r="1065" spans="1:15" ht="16.5">
      <c r="A1065" s="58" t="str">
        <f>K1065</f>
        <v>Evariste</v>
      </c>
      <c r="B1065" s="59" t="s">
        <v>155</v>
      </c>
      <c r="C1065" s="60">
        <v>10095</v>
      </c>
      <c r="D1065" s="61">
        <f t="shared" si="590"/>
        <v>70500</v>
      </c>
      <c r="E1065" s="61">
        <f t="shared" ref="E1065" si="598">+N1065</f>
        <v>73000</v>
      </c>
      <c r="F1065" s="61">
        <f t="shared" si="596"/>
        <v>0</v>
      </c>
      <c r="G1065" s="61">
        <f t="shared" si="594"/>
        <v>0</v>
      </c>
      <c r="H1065" s="61">
        <v>7595</v>
      </c>
      <c r="I1065" s="61">
        <f>+C1065+D1065-E1065-F1065+G1065</f>
        <v>7595</v>
      </c>
      <c r="J1065" s="9">
        <f t="shared" si="592"/>
        <v>0</v>
      </c>
      <c r="K1065" s="45" t="s">
        <v>31</v>
      </c>
      <c r="L1065" s="47">
        <v>70500</v>
      </c>
      <c r="M1065" s="47">
        <v>0</v>
      </c>
      <c r="N1065" s="47">
        <v>73000</v>
      </c>
      <c r="O1065" s="47">
        <v>0</v>
      </c>
    </row>
    <row r="1066" spans="1:15" ht="16.5">
      <c r="A1066" s="115" t="str">
        <f t="shared" ref="A1066:A1073" si="599">+K1066</f>
        <v>I55S</v>
      </c>
      <c r="B1066" s="116" t="s">
        <v>4</v>
      </c>
      <c r="C1066" s="117">
        <v>233614</v>
      </c>
      <c r="D1066" s="118">
        <f t="shared" si="590"/>
        <v>0</v>
      </c>
      <c r="E1066" s="118">
        <f>+N1066</f>
        <v>0</v>
      </c>
      <c r="F1066" s="118">
        <f t="shared" si="596"/>
        <v>0</v>
      </c>
      <c r="G1066" s="118">
        <f t="shared" si="594"/>
        <v>0</v>
      </c>
      <c r="H1066" s="118">
        <v>233614</v>
      </c>
      <c r="I1066" s="118">
        <f>+C1066+D1066-E1066-F1066+G1066</f>
        <v>233614</v>
      </c>
      <c r="J1066" s="9">
        <f t="shared" si="592"/>
        <v>0</v>
      </c>
      <c r="K1066" s="45" t="s">
        <v>84</v>
      </c>
      <c r="L1066" s="47">
        <v>0</v>
      </c>
      <c r="M1066" s="47">
        <v>0</v>
      </c>
      <c r="N1066" s="47">
        <v>0</v>
      </c>
      <c r="O1066" s="47">
        <v>0</v>
      </c>
    </row>
    <row r="1067" spans="1:15" ht="16.5">
      <c r="A1067" s="115" t="str">
        <f t="shared" si="599"/>
        <v>I73X</v>
      </c>
      <c r="B1067" s="116" t="s">
        <v>4</v>
      </c>
      <c r="C1067" s="117">
        <v>249769</v>
      </c>
      <c r="D1067" s="118">
        <f t="shared" si="590"/>
        <v>0</v>
      </c>
      <c r="E1067" s="118">
        <f>+N1067</f>
        <v>0</v>
      </c>
      <c r="F1067" s="118">
        <f t="shared" si="596"/>
        <v>0</v>
      </c>
      <c r="G1067" s="118">
        <f t="shared" si="594"/>
        <v>0</v>
      </c>
      <c r="H1067" s="118">
        <v>249769</v>
      </c>
      <c r="I1067" s="118">
        <f t="shared" ref="I1067:I1070" si="600">+C1067+D1067-E1067-F1067+G1067</f>
        <v>249769</v>
      </c>
      <c r="J1067" s="9">
        <f t="shared" si="592"/>
        <v>0</v>
      </c>
      <c r="K1067" s="45" t="s">
        <v>83</v>
      </c>
      <c r="L1067" s="47">
        <v>0</v>
      </c>
      <c r="M1067" s="47">
        <v>0</v>
      </c>
      <c r="N1067" s="47">
        <v>0</v>
      </c>
      <c r="O1067" s="47">
        <v>0</v>
      </c>
    </row>
    <row r="1068" spans="1:15" ht="16.5">
      <c r="A1068" s="58" t="str">
        <f t="shared" si="599"/>
        <v>Godfré</v>
      </c>
      <c r="B1068" s="98" t="s">
        <v>154</v>
      </c>
      <c r="C1068" s="60">
        <v>3550</v>
      </c>
      <c r="D1068" s="61">
        <f t="shared" si="590"/>
        <v>43000</v>
      </c>
      <c r="E1068" s="154">
        <f t="shared" ref="E1068:E1073" si="601">+N1068</f>
        <v>52550</v>
      </c>
      <c r="F1068" s="61">
        <f t="shared" si="596"/>
        <v>0</v>
      </c>
      <c r="G1068" s="61">
        <f t="shared" si="594"/>
        <v>0</v>
      </c>
      <c r="H1068" s="61">
        <v>-6000</v>
      </c>
      <c r="I1068" s="61">
        <f t="shared" si="600"/>
        <v>-6000</v>
      </c>
      <c r="J1068" s="9">
        <f t="shared" si="592"/>
        <v>0</v>
      </c>
      <c r="K1068" s="45" t="s">
        <v>144</v>
      </c>
      <c r="L1068" s="47">
        <v>43000</v>
      </c>
      <c r="M1068" s="47">
        <v>0</v>
      </c>
      <c r="N1068" s="47">
        <v>52550</v>
      </c>
      <c r="O1068" s="47">
        <v>0</v>
      </c>
    </row>
    <row r="1069" spans="1:15" ht="16.5">
      <c r="A1069" s="58" t="str">
        <f t="shared" si="599"/>
        <v>Grace</v>
      </c>
      <c r="B1069" s="59" t="s">
        <v>2</v>
      </c>
      <c r="C1069" s="60">
        <v>61300</v>
      </c>
      <c r="D1069" s="61">
        <f t="shared" si="590"/>
        <v>53000</v>
      </c>
      <c r="E1069" s="154">
        <f t="shared" si="601"/>
        <v>45900</v>
      </c>
      <c r="F1069" s="61">
        <f t="shared" si="596"/>
        <v>20000</v>
      </c>
      <c r="G1069" s="61">
        <f t="shared" si="594"/>
        <v>0</v>
      </c>
      <c r="H1069" s="61">
        <v>48400</v>
      </c>
      <c r="I1069" s="61">
        <f t="shared" si="600"/>
        <v>48400</v>
      </c>
      <c r="J1069" s="9">
        <f>I1069-H1069</f>
        <v>0</v>
      </c>
      <c r="K1069" s="45" t="s">
        <v>143</v>
      </c>
      <c r="L1069" s="47">
        <v>53000</v>
      </c>
      <c r="M1069" s="47">
        <v>20000</v>
      </c>
      <c r="N1069" s="47">
        <v>45900</v>
      </c>
      <c r="O1069" s="47">
        <v>0</v>
      </c>
    </row>
    <row r="1070" spans="1:15" ht="16.5">
      <c r="A1070" s="58" t="str">
        <f t="shared" si="599"/>
        <v>I23C</v>
      </c>
      <c r="B1070" s="98" t="s">
        <v>4</v>
      </c>
      <c r="C1070" s="60">
        <v>10800</v>
      </c>
      <c r="D1070" s="61">
        <f t="shared" si="590"/>
        <v>488000</v>
      </c>
      <c r="E1070" s="154">
        <f t="shared" si="601"/>
        <v>492000</v>
      </c>
      <c r="F1070" s="61">
        <f t="shared" si="596"/>
        <v>0</v>
      </c>
      <c r="G1070" s="61">
        <f t="shared" si="594"/>
        <v>0</v>
      </c>
      <c r="H1070" s="61">
        <v>6800</v>
      </c>
      <c r="I1070" s="61">
        <f t="shared" si="600"/>
        <v>6800</v>
      </c>
      <c r="J1070" s="9">
        <f t="shared" ref="J1070" si="602">I1070-H1070</f>
        <v>0</v>
      </c>
      <c r="K1070" s="45" t="s">
        <v>30</v>
      </c>
      <c r="L1070" s="47">
        <v>488000</v>
      </c>
      <c r="M1070" s="47">
        <v>0</v>
      </c>
      <c r="N1070" s="47">
        <v>492000</v>
      </c>
      <c r="O1070" s="47">
        <v>0</v>
      </c>
    </row>
    <row r="1071" spans="1:15" ht="16.5">
      <c r="A1071" s="58" t="str">
        <f t="shared" si="599"/>
        <v>Merveille</v>
      </c>
      <c r="B1071" s="59" t="s">
        <v>2</v>
      </c>
      <c r="C1071" s="60">
        <v>9500</v>
      </c>
      <c r="D1071" s="61">
        <f t="shared" si="590"/>
        <v>20000</v>
      </c>
      <c r="E1071" s="154">
        <f t="shared" si="601"/>
        <v>24000</v>
      </c>
      <c r="F1071" s="61">
        <f t="shared" ref="F1071" si="603">+M1071</f>
        <v>0</v>
      </c>
      <c r="G1071" s="61">
        <f t="shared" ref="G1071" si="604">+O1071</f>
        <v>0</v>
      </c>
      <c r="H1071" s="61">
        <v>5500</v>
      </c>
      <c r="I1071" s="61">
        <f t="shared" ref="I1071" si="605">+C1071+D1071-E1071-F1071+G1071</f>
        <v>5500</v>
      </c>
      <c r="J1071" s="9">
        <f t="shared" ref="J1071" si="606">I1071-H1071</f>
        <v>0</v>
      </c>
      <c r="K1071" s="45" t="s">
        <v>93</v>
      </c>
      <c r="L1071" s="47">
        <v>20000</v>
      </c>
      <c r="M1071" s="47">
        <v>0</v>
      </c>
      <c r="N1071" s="47">
        <v>24000</v>
      </c>
      <c r="O1071" s="47"/>
    </row>
    <row r="1072" spans="1:15" ht="16.5">
      <c r="A1072" s="58" t="str">
        <f t="shared" si="599"/>
        <v>P29</v>
      </c>
      <c r="B1072" s="59" t="s">
        <v>4</v>
      </c>
      <c r="C1072" s="60">
        <v>21200</v>
      </c>
      <c r="D1072" s="61">
        <f t="shared" si="590"/>
        <v>543000</v>
      </c>
      <c r="E1072" s="154">
        <f t="shared" si="601"/>
        <v>533500</v>
      </c>
      <c r="F1072" s="61">
        <f>+M1072</f>
        <v>0</v>
      </c>
      <c r="G1072" s="61">
        <f>+O1072</f>
        <v>0</v>
      </c>
      <c r="H1072" s="61">
        <v>30700</v>
      </c>
      <c r="I1072" s="61">
        <f>+C1072+D1072-E1072-F1072+G1072</f>
        <v>30700</v>
      </c>
      <c r="J1072" s="9">
        <f>I1072-H1072</f>
        <v>0</v>
      </c>
      <c r="K1072" s="45" t="s">
        <v>29</v>
      </c>
      <c r="L1072" s="47">
        <v>543000</v>
      </c>
      <c r="M1072" s="47">
        <v>0</v>
      </c>
      <c r="N1072" s="47">
        <v>533500</v>
      </c>
      <c r="O1072" s="47">
        <v>0</v>
      </c>
    </row>
    <row r="1073" spans="1:15" ht="16.5">
      <c r="A1073" s="58" t="str">
        <f t="shared" si="599"/>
        <v>Tiffany</v>
      </c>
      <c r="B1073" s="59" t="s">
        <v>2</v>
      </c>
      <c r="C1073" s="60">
        <v>26193</v>
      </c>
      <c r="D1073" s="61">
        <f t="shared" ref="D1073" si="607">+L1073</f>
        <v>36000</v>
      </c>
      <c r="E1073" s="154">
        <f t="shared" si="601"/>
        <v>53000</v>
      </c>
      <c r="F1073" s="61">
        <f t="shared" ref="F1073" si="608">+M1073</f>
        <v>0</v>
      </c>
      <c r="G1073" s="61">
        <f t="shared" si="594"/>
        <v>0</v>
      </c>
      <c r="H1073" s="61">
        <v>9193</v>
      </c>
      <c r="I1073" s="61">
        <f t="shared" ref="I1073" si="609">+C1073+D1073-E1073-F1073+G1073</f>
        <v>9193</v>
      </c>
      <c r="J1073" s="9">
        <f t="shared" ref="J1073" si="610">I1073-H1073</f>
        <v>0</v>
      </c>
      <c r="K1073" s="45" t="s">
        <v>113</v>
      </c>
      <c r="L1073" s="47">
        <v>36000</v>
      </c>
      <c r="M1073" s="47">
        <v>0</v>
      </c>
      <c r="N1073" s="47">
        <v>53000</v>
      </c>
      <c r="O1073" s="47">
        <v>0</v>
      </c>
    </row>
    <row r="1074" spans="1:15" ht="16.5">
      <c r="A1074" s="10" t="s">
        <v>50</v>
      </c>
      <c r="B1074" s="11"/>
      <c r="C1074" s="12">
        <f>SUM(C1059:C1073)</f>
        <v>32194988</v>
      </c>
      <c r="D1074" s="57">
        <f t="shared" ref="D1074:G1074" si="611">SUM(D1059:D1073)</f>
        <v>6084500</v>
      </c>
      <c r="E1074" s="57">
        <f t="shared" si="611"/>
        <v>8827691</v>
      </c>
      <c r="F1074" s="57">
        <f t="shared" si="611"/>
        <v>6084500</v>
      </c>
      <c r="G1074" s="57">
        <f t="shared" si="611"/>
        <v>0</v>
      </c>
      <c r="H1074" s="57">
        <f>SUM(H1059:H1073)</f>
        <v>23367297</v>
      </c>
      <c r="I1074" s="57">
        <f>SUM(I1059:I1073)</f>
        <v>23367297</v>
      </c>
      <c r="J1074" s="9">
        <f>I1074-H1074</f>
        <v>0</v>
      </c>
      <c r="K1074" s="3"/>
      <c r="L1074" s="47">
        <v>6084500</v>
      </c>
      <c r="M1074" s="47">
        <v>6084500</v>
      </c>
      <c r="N1074" s="47">
        <v>8828291</v>
      </c>
      <c r="O1074" s="47">
        <v>0</v>
      </c>
    </row>
    <row r="1075" spans="1:15" ht="16.5">
      <c r="A1075" s="10"/>
      <c r="B1075" s="11"/>
      <c r="C1075" s="12"/>
      <c r="D1075" s="13"/>
      <c r="E1075" s="12"/>
      <c r="F1075" s="13"/>
      <c r="G1075" s="12"/>
      <c r="H1075" s="12"/>
      <c r="I1075" s="134" t="b">
        <f>I1074=D1077</f>
        <v>1</v>
      </c>
      <c r="L1075" s="5"/>
      <c r="M1075" s="5"/>
      <c r="N1075" s="5"/>
      <c r="O1075" s="5"/>
    </row>
    <row r="1076" spans="1:15" ht="16.5">
      <c r="A1076" s="10" t="s">
        <v>158</v>
      </c>
      <c r="B1076" s="11" t="s">
        <v>160</v>
      </c>
      <c r="C1076" s="12" t="s">
        <v>163</v>
      </c>
      <c r="D1076" s="12" t="s">
        <v>157</v>
      </c>
      <c r="E1076" s="12" t="s">
        <v>51</v>
      </c>
      <c r="F1076" s="12"/>
      <c r="G1076" s="12">
        <f>+D1074-F1074</f>
        <v>0</v>
      </c>
      <c r="H1076" s="12"/>
      <c r="I1076" s="12"/>
    </row>
    <row r="1077" spans="1:15" ht="16.5">
      <c r="A1077" s="14">
        <f>C1074</f>
        <v>32194988</v>
      </c>
      <c r="B1077" s="15">
        <f>G1074</f>
        <v>0</v>
      </c>
      <c r="C1077" s="12">
        <f>E1074</f>
        <v>8827691</v>
      </c>
      <c r="D1077" s="12">
        <f>A1077+B1077-C1077</f>
        <v>23367297</v>
      </c>
      <c r="E1077" s="13">
        <f>I1074-D1077</f>
        <v>0</v>
      </c>
      <c r="F1077" s="12"/>
      <c r="G1077" s="12"/>
      <c r="H1077" s="12"/>
      <c r="I1077" s="12"/>
      <c r="L1077" s="5"/>
      <c r="M1077" s="5"/>
      <c r="N1077" s="5"/>
      <c r="O1077" s="5"/>
    </row>
    <row r="1078" spans="1:15" ht="16.5">
      <c r="A1078" s="14"/>
      <c r="B1078" s="15"/>
      <c r="C1078" s="12"/>
      <c r="D1078" s="12"/>
      <c r="E1078" s="13"/>
      <c r="F1078" s="12"/>
      <c r="G1078" s="12"/>
      <c r="H1078" s="12"/>
      <c r="I1078" s="12"/>
      <c r="L1078" s="5"/>
      <c r="M1078" s="5"/>
      <c r="N1078" s="5"/>
      <c r="O1078" s="5"/>
    </row>
    <row r="1079" spans="1:15">
      <c r="A1079" s="16" t="s">
        <v>52</v>
      </c>
      <c r="B1079" s="16"/>
      <c r="C1079" s="16"/>
      <c r="D1079" s="17"/>
      <c r="E1079" s="17"/>
      <c r="F1079" s="17"/>
      <c r="G1079" s="17"/>
      <c r="H1079" s="17"/>
      <c r="I1079" s="17"/>
      <c r="L1079" s="5"/>
      <c r="M1079" s="5"/>
      <c r="N1079" s="5"/>
      <c r="O1079" s="5"/>
    </row>
    <row r="1080" spans="1:15">
      <c r="A1080" s="18" t="s">
        <v>159</v>
      </c>
      <c r="B1080" s="18"/>
      <c r="C1080" s="18"/>
      <c r="D1080" s="18"/>
      <c r="E1080" s="18"/>
      <c r="F1080" s="18"/>
      <c r="G1080" s="18"/>
      <c r="H1080" s="18"/>
      <c r="I1080" s="18"/>
      <c r="J1080" s="18"/>
      <c r="L1080" s="5"/>
      <c r="M1080" s="5"/>
      <c r="N1080" s="5"/>
      <c r="O1080" s="5"/>
    </row>
    <row r="1081" spans="1:15">
      <c r="A1081" s="19"/>
      <c r="B1081" s="17"/>
      <c r="C1081" s="20"/>
      <c r="D1081" s="20"/>
      <c r="E1081" s="20"/>
      <c r="F1081" s="20"/>
      <c r="G1081" s="20"/>
      <c r="H1081" s="17"/>
      <c r="I1081" s="17"/>
      <c r="L1081" s="5"/>
      <c r="M1081" s="5"/>
      <c r="N1081" s="5"/>
      <c r="O1081" s="5"/>
    </row>
    <row r="1082" spans="1:15">
      <c r="A1082" s="242" t="s">
        <v>53</v>
      </c>
      <c r="B1082" s="244" t="s">
        <v>54</v>
      </c>
      <c r="C1082" s="246" t="s">
        <v>161</v>
      </c>
      <c r="D1082" s="248" t="s">
        <v>55</v>
      </c>
      <c r="E1082" s="249"/>
      <c r="F1082" s="249"/>
      <c r="G1082" s="250"/>
      <c r="H1082" s="251" t="s">
        <v>56</v>
      </c>
      <c r="I1082" s="238" t="s">
        <v>57</v>
      </c>
      <c r="J1082" s="17"/>
      <c r="L1082" s="5"/>
      <c r="M1082" s="5"/>
      <c r="N1082" s="5"/>
      <c r="O1082" s="5"/>
    </row>
    <row r="1083" spans="1:15" ht="28.5" customHeight="1">
      <c r="A1083" s="243"/>
      <c r="B1083" s="245"/>
      <c r="C1083" s="247"/>
      <c r="D1083" s="21" t="s">
        <v>24</v>
      </c>
      <c r="E1083" s="21" t="s">
        <v>25</v>
      </c>
      <c r="F1083" s="22" t="s">
        <v>123</v>
      </c>
      <c r="G1083" s="21" t="s">
        <v>58</v>
      </c>
      <c r="H1083" s="252"/>
      <c r="I1083" s="239"/>
      <c r="J1083" s="240" t="s">
        <v>169</v>
      </c>
      <c r="K1083" s="143"/>
      <c r="L1083" s="5"/>
      <c r="M1083" s="5"/>
      <c r="N1083" s="5"/>
      <c r="O1083" s="5"/>
    </row>
    <row r="1084" spans="1:15">
      <c r="A1084" s="23"/>
      <c r="B1084" s="24" t="s">
        <v>59</v>
      </c>
      <c r="C1084" s="25"/>
      <c r="D1084" s="25"/>
      <c r="E1084" s="25"/>
      <c r="F1084" s="25"/>
      <c r="G1084" s="25"/>
      <c r="H1084" s="25"/>
      <c r="I1084" s="26"/>
      <c r="J1084" s="241"/>
      <c r="K1084" s="143"/>
      <c r="L1084" s="5"/>
      <c r="M1084" s="5"/>
      <c r="N1084" s="5"/>
      <c r="O1084" s="5"/>
    </row>
    <row r="1085" spans="1:15">
      <c r="A1085" s="122" t="s">
        <v>98</v>
      </c>
      <c r="B1085" s="127" t="s">
        <v>153</v>
      </c>
      <c r="C1085" s="32">
        <f>+C1059</f>
        <v>6757</v>
      </c>
      <c r="D1085" s="31"/>
      <c r="E1085" s="32">
        <f>D1059</f>
        <v>337000</v>
      </c>
      <c r="F1085" s="32"/>
      <c r="G1085" s="32"/>
      <c r="H1085" s="55">
        <f>+F1059</f>
        <v>0</v>
      </c>
      <c r="I1085" s="32">
        <f>+E1059</f>
        <v>314650</v>
      </c>
      <c r="J1085" s="30">
        <f>+SUM(C1085:G1085)-(H1085+I1085)</f>
        <v>29107</v>
      </c>
      <c r="K1085" s="144" t="b">
        <f>J1085=I1059</f>
        <v>1</v>
      </c>
      <c r="L1085" s="5"/>
      <c r="M1085" s="5"/>
      <c r="N1085" s="5"/>
      <c r="O1085" s="5"/>
    </row>
    <row r="1086" spans="1:15">
      <c r="A1086" s="122" t="str">
        <f>A1085</f>
        <v>NOVEMBRE</v>
      </c>
      <c r="B1086" s="127" t="s">
        <v>162</v>
      </c>
      <c r="C1086" s="32">
        <f>+C1060</f>
        <v>0</v>
      </c>
      <c r="D1086" s="31"/>
      <c r="E1086" s="32">
        <f>+D1060</f>
        <v>118000</v>
      </c>
      <c r="F1086" s="32"/>
      <c r="G1086" s="32"/>
      <c r="H1086" s="55">
        <f>+F1060</f>
        <v>0</v>
      </c>
      <c r="I1086" s="32">
        <f>+E1060</f>
        <v>114000</v>
      </c>
      <c r="J1086" s="30">
        <f t="shared" ref="J1086:J1087" si="612">+SUM(C1086:G1086)-(H1086+I1086)</f>
        <v>4000</v>
      </c>
      <c r="K1086" s="144" t="b">
        <f>J1086=I1060</f>
        <v>1</v>
      </c>
      <c r="L1086" s="5"/>
      <c r="M1086" s="5"/>
      <c r="N1086" s="5"/>
      <c r="O1086" s="5"/>
    </row>
    <row r="1087" spans="1:15">
      <c r="A1087" s="122" t="str">
        <f>+A1086</f>
        <v>NOVEMBRE</v>
      </c>
      <c r="B1087" s="127" t="s">
        <v>47</v>
      </c>
      <c r="C1087" s="32">
        <f>+C1064</f>
        <v>7200</v>
      </c>
      <c r="D1087" s="31"/>
      <c r="E1087" s="32">
        <f>+D1064</f>
        <v>286000</v>
      </c>
      <c r="F1087" s="32"/>
      <c r="G1087" s="32"/>
      <c r="H1087" s="55">
        <f>+F1064</f>
        <v>70000</v>
      </c>
      <c r="I1087" s="32">
        <f>+E1064</f>
        <v>226875</v>
      </c>
      <c r="J1087" s="101">
        <f t="shared" si="612"/>
        <v>-3675</v>
      </c>
      <c r="K1087" s="144" t="b">
        <f>J1087=I1064</f>
        <v>1</v>
      </c>
      <c r="L1087" s="5"/>
      <c r="M1087" s="5"/>
      <c r="N1087" s="5"/>
      <c r="O1087" s="5"/>
    </row>
    <row r="1088" spans="1:15">
      <c r="A1088" s="122" t="str">
        <f t="shared" ref="A1088:A1096" si="613">+A1087</f>
        <v>NOVEMBRE</v>
      </c>
      <c r="B1088" s="128" t="s">
        <v>31</v>
      </c>
      <c r="C1088" s="32">
        <f>+C1065</f>
        <v>10095</v>
      </c>
      <c r="D1088" s="119"/>
      <c r="E1088" s="32">
        <f>+D1065</f>
        <v>70500</v>
      </c>
      <c r="F1088" s="51"/>
      <c r="G1088" s="51"/>
      <c r="H1088" s="55">
        <f>+F1065</f>
        <v>0</v>
      </c>
      <c r="I1088" s="32">
        <f>+E1065</f>
        <v>73000</v>
      </c>
      <c r="J1088" s="124">
        <f>+SUM(C1088:G1088)-(H1088+I1088)</f>
        <v>7595</v>
      </c>
      <c r="K1088" s="144" t="b">
        <f t="shared" ref="K1088:K1096" si="614">J1088=I1065</f>
        <v>1</v>
      </c>
      <c r="L1088" s="5"/>
      <c r="M1088" s="5"/>
      <c r="N1088" s="5"/>
      <c r="O1088" s="5"/>
    </row>
    <row r="1089" spans="1:15">
      <c r="A1089" s="122" t="str">
        <f t="shared" si="613"/>
        <v>NOVEMBRE</v>
      </c>
      <c r="B1089" s="129" t="s">
        <v>84</v>
      </c>
      <c r="C1089" s="120">
        <f>+C1066</f>
        <v>233614</v>
      </c>
      <c r="D1089" s="123"/>
      <c r="E1089" s="120">
        <f>+D1066</f>
        <v>0</v>
      </c>
      <c r="F1089" s="137"/>
      <c r="G1089" s="137"/>
      <c r="H1089" s="155">
        <f>+F1066</f>
        <v>0</v>
      </c>
      <c r="I1089" s="120">
        <f>+E1066</f>
        <v>0</v>
      </c>
      <c r="J1089" s="121">
        <f>+SUM(C1089:G1089)-(H1089+I1089)</f>
        <v>233614</v>
      </c>
      <c r="K1089" s="144" t="b">
        <f t="shared" si="614"/>
        <v>1</v>
      </c>
      <c r="L1089" s="5"/>
      <c r="M1089" s="5"/>
      <c r="N1089" s="5"/>
      <c r="O1089" s="5"/>
    </row>
    <row r="1090" spans="1:15">
      <c r="A1090" s="122" t="str">
        <f t="shared" si="613"/>
        <v>NOVEMBRE</v>
      </c>
      <c r="B1090" s="129" t="s">
        <v>83</v>
      </c>
      <c r="C1090" s="120">
        <f>+C1067</f>
        <v>249769</v>
      </c>
      <c r="D1090" s="123"/>
      <c r="E1090" s="120">
        <f>+D1067</f>
        <v>0</v>
      </c>
      <c r="F1090" s="137"/>
      <c r="G1090" s="137"/>
      <c r="H1090" s="155">
        <f>+F1067</f>
        <v>0</v>
      </c>
      <c r="I1090" s="120">
        <f>+E1067</f>
        <v>0</v>
      </c>
      <c r="J1090" s="121">
        <f t="shared" ref="J1090:J1096" si="615">+SUM(C1090:G1090)-(H1090+I1090)</f>
        <v>249769</v>
      </c>
      <c r="K1090" s="144" t="b">
        <f t="shared" si="614"/>
        <v>1</v>
      </c>
      <c r="L1090" s="5"/>
      <c r="M1090" s="5"/>
      <c r="N1090" s="5"/>
      <c r="O1090" s="5"/>
    </row>
    <row r="1091" spans="1:15">
      <c r="A1091" s="122" t="str">
        <f t="shared" si="613"/>
        <v>NOVEMBRE</v>
      </c>
      <c r="B1091" s="127" t="s">
        <v>144</v>
      </c>
      <c r="C1091" s="32">
        <f>+C1068</f>
        <v>3550</v>
      </c>
      <c r="D1091" s="31"/>
      <c r="E1091" s="32">
        <f>+D1068</f>
        <v>43000</v>
      </c>
      <c r="F1091" s="32"/>
      <c r="G1091" s="104"/>
      <c r="H1091" s="55">
        <f>+F1068</f>
        <v>0</v>
      </c>
      <c r="I1091" s="32">
        <f>+E1068</f>
        <v>52550</v>
      </c>
      <c r="J1091" s="30">
        <f t="shared" si="615"/>
        <v>-6000</v>
      </c>
      <c r="K1091" s="144" t="b">
        <f t="shared" si="614"/>
        <v>1</v>
      </c>
      <c r="L1091" s="5"/>
      <c r="M1091" s="5"/>
      <c r="N1091" s="5"/>
      <c r="O1091" s="5"/>
    </row>
    <row r="1092" spans="1:15">
      <c r="A1092" s="122" t="str">
        <f t="shared" si="613"/>
        <v>NOVEMBRE</v>
      </c>
      <c r="B1092" s="127" t="s">
        <v>143</v>
      </c>
      <c r="C1092" s="32">
        <f t="shared" ref="C1092:C1096" si="616">+C1069</f>
        <v>61300</v>
      </c>
      <c r="D1092" s="31"/>
      <c r="E1092" s="32">
        <f t="shared" ref="E1092:E1096" si="617">+D1069</f>
        <v>53000</v>
      </c>
      <c r="F1092" s="32"/>
      <c r="G1092" s="104"/>
      <c r="H1092" s="55">
        <f t="shared" ref="H1092:H1096" si="618">+F1069</f>
        <v>20000</v>
      </c>
      <c r="I1092" s="32">
        <f t="shared" ref="I1092:I1096" si="619">+E1069</f>
        <v>45900</v>
      </c>
      <c r="J1092" s="30">
        <f t="shared" si="615"/>
        <v>48400</v>
      </c>
      <c r="K1092" s="144" t="b">
        <f t="shared" si="614"/>
        <v>1</v>
      </c>
      <c r="L1092" s="5"/>
      <c r="M1092" s="5"/>
      <c r="N1092" s="5"/>
      <c r="O1092" s="5"/>
    </row>
    <row r="1093" spans="1:15">
      <c r="A1093" s="122" t="str">
        <f t="shared" si="613"/>
        <v>NOVEMBRE</v>
      </c>
      <c r="B1093" s="127" t="s">
        <v>30</v>
      </c>
      <c r="C1093" s="32">
        <f t="shared" si="616"/>
        <v>10800</v>
      </c>
      <c r="D1093" s="31"/>
      <c r="E1093" s="32">
        <f t="shared" si="617"/>
        <v>488000</v>
      </c>
      <c r="F1093" s="32"/>
      <c r="G1093" s="104"/>
      <c r="H1093" s="55">
        <f t="shared" si="618"/>
        <v>0</v>
      </c>
      <c r="I1093" s="32">
        <f t="shared" si="619"/>
        <v>492000</v>
      </c>
      <c r="J1093" s="30">
        <f t="shared" si="615"/>
        <v>6800</v>
      </c>
      <c r="K1093" s="144" t="b">
        <f t="shared" si="614"/>
        <v>1</v>
      </c>
      <c r="L1093" s="5"/>
      <c r="M1093" s="5"/>
      <c r="N1093" s="5"/>
      <c r="O1093" s="5"/>
    </row>
    <row r="1094" spans="1:15">
      <c r="A1094" s="122" t="str">
        <f>+A1092</f>
        <v>NOVEMBRE</v>
      </c>
      <c r="B1094" s="127" t="s">
        <v>93</v>
      </c>
      <c r="C1094" s="32">
        <f t="shared" si="616"/>
        <v>9500</v>
      </c>
      <c r="D1094" s="31"/>
      <c r="E1094" s="32">
        <f t="shared" si="617"/>
        <v>20000</v>
      </c>
      <c r="F1094" s="32"/>
      <c r="G1094" s="104"/>
      <c r="H1094" s="55">
        <f t="shared" si="618"/>
        <v>0</v>
      </c>
      <c r="I1094" s="32">
        <f t="shared" si="619"/>
        <v>24000</v>
      </c>
      <c r="J1094" s="30">
        <f t="shared" si="615"/>
        <v>5500</v>
      </c>
      <c r="K1094" s="144" t="b">
        <f t="shared" si="614"/>
        <v>1</v>
      </c>
      <c r="L1094" s="5"/>
      <c r="M1094" s="5"/>
      <c r="N1094" s="5"/>
      <c r="O1094" s="5"/>
    </row>
    <row r="1095" spans="1:15">
      <c r="A1095" s="122" t="str">
        <f>+A1093</f>
        <v>NOVEMBRE</v>
      </c>
      <c r="B1095" s="127" t="s">
        <v>29</v>
      </c>
      <c r="C1095" s="32">
        <f t="shared" si="616"/>
        <v>21200</v>
      </c>
      <c r="D1095" s="31"/>
      <c r="E1095" s="32">
        <f t="shared" si="617"/>
        <v>543000</v>
      </c>
      <c r="F1095" s="32"/>
      <c r="G1095" s="104"/>
      <c r="H1095" s="55">
        <f t="shared" si="618"/>
        <v>0</v>
      </c>
      <c r="I1095" s="32">
        <f t="shared" si="619"/>
        <v>533500</v>
      </c>
      <c r="J1095" s="30">
        <f t="shared" si="615"/>
        <v>30700</v>
      </c>
      <c r="K1095" s="144" t="b">
        <f t="shared" si="614"/>
        <v>1</v>
      </c>
      <c r="L1095" s="5"/>
      <c r="M1095" s="5"/>
      <c r="N1095" s="5"/>
      <c r="O1095" s="5"/>
    </row>
    <row r="1096" spans="1:15">
      <c r="A1096" s="122" t="str">
        <f t="shared" si="613"/>
        <v>NOVEMBRE</v>
      </c>
      <c r="B1096" s="128" t="s">
        <v>113</v>
      </c>
      <c r="C1096" s="32">
        <f t="shared" si="616"/>
        <v>26193</v>
      </c>
      <c r="D1096" s="119"/>
      <c r="E1096" s="32">
        <f t="shared" si="617"/>
        <v>36000</v>
      </c>
      <c r="F1096" s="51"/>
      <c r="G1096" s="138"/>
      <c r="H1096" s="55">
        <f t="shared" si="618"/>
        <v>0</v>
      </c>
      <c r="I1096" s="32">
        <f t="shared" si="619"/>
        <v>53000</v>
      </c>
      <c r="J1096" s="30">
        <f t="shared" si="615"/>
        <v>9193</v>
      </c>
      <c r="K1096" s="144" t="b">
        <f t="shared" si="614"/>
        <v>1</v>
      </c>
      <c r="L1096" s="5"/>
      <c r="M1096" s="5"/>
      <c r="N1096" s="5"/>
      <c r="O1096" s="5"/>
    </row>
    <row r="1097" spans="1:15">
      <c r="A1097" s="34" t="s">
        <v>60</v>
      </c>
      <c r="B1097" s="35"/>
      <c r="C1097" s="35"/>
      <c r="D1097" s="35"/>
      <c r="E1097" s="35"/>
      <c r="F1097" s="35"/>
      <c r="G1097" s="35"/>
      <c r="H1097" s="35"/>
      <c r="I1097" s="35"/>
      <c r="J1097" s="36"/>
      <c r="K1097" s="143"/>
      <c r="L1097" s="5"/>
      <c r="M1097" s="5"/>
      <c r="N1097" s="5"/>
      <c r="O1097" s="5"/>
    </row>
    <row r="1098" spans="1:15">
      <c r="A1098" s="122" t="str">
        <f>+A1096</f>
        <v>NOVEMBRE</v>
      </c>
      <c r="B1098" s="37" t="s">
        <v>61</v>
      </c>
      <c r="C1098" s="38">
        <f>+C1063</f>
        <v>1685107</v>
      </c>
      <c r="D1098" s="49"/>
      <c r="E1098" s="49">
        <f>D1063</f>
        <v>4090000</v>
      </c>
      <c r="F1098" s="49"/>
      <c r="G1098" s="125"/>
      <c r="H1098" s="51">
        <f>+F1063</f>
        <v>1994500</v>
      </c>
      <c r="I1098" s="126">
        <f>+E1063</f>
        <v>2854238</v>
      </c>
      <c r="J1098" s="30">
        <f>+SUM(C1098:G1098)-(H1098+I1098)</f>
        <v>926369</v>
      </c>
      <c r="K1098" s="144" t="b">
        <f>J1098=I1063</f>
        <v>1</v>
      </c>
      <c r="L1098" s="5"/>
      <c r="M1098" s="5"/>
      <c r="N1098" s="5"/>
      <c r="O1098" s="5"/>
    </row>
    <row r="1099" spans="1:15">
      <c r="A1099" s="43" t="s">
        <v>62</v>
      </c>
      <c r="B1099" s="24"/>
      <c r="C1099" s="35"/>
      <c r="D1099" s="24"/>
      <c r="E1099" s="24"/>
      <c r="F1099" s="24"/>
      <c r="G1099" s="24"/>
      <c r="H1099" s="24"/>
      <c r="I1099" s="24"/>
      <c r="J1099" s="36"/>
      <c r="K1099" s="143"/>
      <c r="L1099" s="5"/>
      <c r="M1099" s="5"/>
      <c r="N1099" s="5"/>
      <c r="O1099" s="5"/>
    </row>
    <row r="1100" spans="1:15">
      <c r="A1100" s="122" t="str">
        <f>+A1098</f>
        <v>NOVEMBRE</v>
      </c>
      <c r="B1100" s="37" t="s">
        <v>156</v>
      </c>
      <c r="C1100" s="125">
        <f>+C1061</f>
        <v>6762063</v>
      </c>
      <c r="D1100" s="132">
        <f>+G1061</f>
        <v>0</v>
      </c>
      <c r="E1100" s="49"/>
      <c r="F1100" s="49"/>
      <c r="G1100" s="49"/>
      <c r="H1100" s="51">
        <f>+F1061</f>
        <v>1000000</v>
      </c>
      <c r="I1100" s="53">
        <f>+E1061</f>
        <v>23345</v>
      </c>
      <c r="J1100" s="30">
        <f>+SUM(C1100:G1100)-(H1100+I1100)</f>
        <v>5738718</v>
      </c>
      <c r="K1100" s="144" t="b">
        <f>+J1100=I1061</f>
        <v>1</v>
      </c>
      <c r="L1100" s="5"/>
      <c r="M1100" s="5"/>
      <c r="N1100" s="5"/>
      <c r="O1100" s="5"/>
    </row>
    <row r="1101" spans="1:15">
      <c r="A1101" s="122" t="str">
        <f t="shared" ref="A1101" si="620">+A1100</f>
        <v>NOVEMBRE</v>
      </c>
      <c r="B1101" s="37" t="s">
        <v>64</v>
      </c>
      <c r="C1101" s="125">
        <f>+C1062</f>
        <v>23107840</v>
      </c>
      <c r="D1101" s="49">
        <f>+G1062</f>
        <v>0</v>
      </c>
      <c r="E1101" s="48"/>
      <c r="F1101" s="48"/>
      <c r="G1101" s="48"/>
      <c r="H1101" s="32">
        <f>+F1062</f>
        <v>3000000</v>
      </c>
      <c r="I1101" s="50">
        <f>+E1062</f>
        <v>4020633</v>
      </c>
      <c r="J1101" s="30">
        <f>SUM(C1101:G1101)-(H1101+I1101)</f>
        <v>16087207</v>
      </c>
      <c r="K1101" s="144" t="b">
        <f>+J1101=I1062</f>
        <v>1</v>
      </c>
      <c r="L1101" s="5"/>
      <c r="M1101" s="5"/>
      <c r="N1101" s="5"/>
      <c r="O1101" s="5"/>
    </row>
    <row r="1102" spans="1:15" ht="15.75">
      <c r="C1102" s="141">
        <f>SUM(C1086:C1101)</f>
        <v>32188231</v>
      </c>
      <c r="I1102" s="140">
        <f>SUM(I1086:I1101)</f>
        <v>8513041</v>
      </c>
      <c r="J1102" s="105">
        <f>+SUM(J1085:J1101)</f>
        <v>23367297</v>
      </c>
      <c r="K1102" s="5" t="b">
        <f>J1102=I1074</f>
        <v>1</v>
      </c>
      <c r="L1102" s="5"/>
      <c r="M1102" s="5"/>
      <c r="N1102" s="5"/>
      <c r="O1102" s="5"/>
    </row>
    <row r="1103" spans="1:15">
      <c r="G1103" s="9"/>
      <c r="L1103" s="5"/>
      <c r="M1103" s="5"/>
      <c r="N1103" s="5"/>
      <c r="O1103" s="5"/>
    </row>
    <row r="1104" spans="1:15">
      <c r="A1104" s="16" t="s">
        <v>52</v>
      </c>
      <c r="B1104" s="16"/>
      <c r="C1104" s="16"/>
      <c r="D1104" s="17"/>
      <c r="E1104" s="17"/>
      <c r="F1104" s="17"/>
      <c r="G1104" s="17"/>
      <c r="H1104" s="17"/>
      <c r="I1104" s="17"/>
      <c r="L1104" s="5"/>
      <c r="M1104" s="5"/>
      <c r="N1104" s="5"/>
      <c r="O1104" s="5"/>
    </row>
    <row r="1105" spans="1:15">
      <c r="A1105" s="18" t="s">
        <v>152</v>
      </c>
      <c r="B1105" s="18"/>
      <c r="C1105" s="18"/>
      <c r="D1105" s="18"/>
      <c r="E1105" s="18"/>
      <c r="F1105" s="18"/>
      <c r="G1105" s="18"/>
      <c r="H1105" s="18"/>
      <c r="I1105" s="18"/>
      <c r="J1105" s="18"/>
      <c r="L1105" s="5"/>
      <c r="M1105" s="5"/>
      <c r="N1105" s="5"/>
      <c r="O1105" s="5"/>
    </row>
    <row r="1106" spans="1:15">
      <c r="A1106" s="19"/>
      <c r="B1106" s="17"/>
      <c r="C1106" s="20"/>
      <c r="D1106" s="20"/>
      <c r="E1106" s="20"/>
      <c r="F1106" s="20"/>
      <c r="G1106" s="20"/>
      <c r="H1106" s="17"/>
      <c r="I1106" s="17"/>
      <c r="L1106" s="5"/>
      <c r="M1106" s="5"/>
      <c r="N1106" s="5"/>
      <c r="O1106" s="5"/>
    </row>
    <row r="1107" spans="1:15">
      <c r="A1107" s="242" t="s">
        <v>53</v>
      </c>
      <c r="B1107" s="244" t="s">
        <v>54</v>
      </c>
      <c r="C1107" s="246" t="s">
        <v>149</v>
      </c>
      <c r="D1107" s="248" t="s">
        <v>55</v>
      </c>
      <c r="E1107" s="249"/>
      <c r="F1107" s="249"/>
      <c r="G1107" s="250"/>
      <c r="H1107" s="251" t="s">
        <v>56</v>
      </c>
      <c r="I1107" s="238" t="s">
        <v>57</v>
      </c>
      <c r="J1107" s="17"/>
      <c r="L1107" s="5"/>
      <c r="M1107" s="5"/>
      <c r="N1107" s="5"/>
      <c r="O1107" s="5"/>
    </row>
    <row r="1108" spans="1:15">
      <c r="A1108" s="243"/>
      <c r="B1108" s="245"/>
      <c r="C1108" s="247"/>
      <c r="D1108" s="21" t="s">
        <v>24</v>
      </c>
      <c r="E1108" s="21" t="s">
        <v>25</v>
      </c>
      <c r="F1108" s="22" t="s">
        <v>123</v>
      </c>
      <c r="G1108" s="21" t="s">
        <v>58</v>
      </c>
      <c r="H1108" s="252"/>
      <c r="I1108" s="239"/>
      <c r="J1108" s="240" t="s">
        <v>150</v>
      </c>
      <c r="K1108" s="143"/>
      <c r="L1108" s="5"/>
      <c r="M1108" s="5"/>
      <c r="N1108" s="5"/>
      <c r="O1108" s="5"/>
    </row>
    <row r="1109" spans="1:15">
      <c r="A1109" s="23"/>
      <c r="B1109" s="24" t="s">
        <v>59</v>
      </c>
      <c r="C1109" s="25"/>
      <c r="D1109" s="25"/>
      <c r="E1109" s="25"/>
      <c r="F1109" s="25"/>
      <c r="G1109" s="25"/>
      <c r="H1109" s="25"/>
      <c r="I1109" s="26"/>
      <c r="J1109" s="241"/>
      <c r="K1109" s="143"/>
      <c r="L1109" s="5"/>
      <c r="M1109" s="5"/>
      <c r="N1109" s="5"/>
      <c r="O1109" s="5"/>
    </row>
    <row r="1110" spans="1:15">
      <c r="A1110" s="122" t="s">
        <v>90</v>
      </c>
      <c r="B1110" s="127" t="s">
        <v>153</v>
      </c>
      <c r="C1110" s="32">
        <f>+C1059</f>
        <v>6757</v>
      </c>
      <c r="D1110" s="31"/>
      <c r="E1110" s="32">
        <f>+D1059</f>
        <v>337000</v>
      </c>
      <c r="F1110" s="32"/>
      <c r="G1110" s="32"/>
      <c r="H1110" s="55">
        <f>+F1059</f>
        <v>0</v>
      </c>
      <c r="I1110" s="32">
        <f>+E1059</f>
        <v>314650</v>
      </c>
      <c r="J1110" s="30">
        <f>+SUM(C1110:G1110)-(H1110+I1110)</f>
        <v>29107</v>
      </c>
      <c r="K1110" s="144" t="b">
        <f>J1110=I1059</f>
        <v>1</v>
      </c>
      <c r="L1110" s="5"/>
      <c r="M1110" s="5"/>
      <c r="N1110" s="5"/>
      <c r="O1110" s="5"/>
    </row>
    <row r="1111" spans="1:15">
      <c r="A1111" s="122" t="s">
        <v>90</v>
      </c>
      <c r="B1111" s="127" t="s">
        <v>47</v>
      </c>
      <c r="C1111" s="32">
        <f t="shared" ref="C1111:C1120" si="621">C1063</f>
        <v>1685107</v>
      </c>
      <c r="D1111" s="31"/>
      <c r="E1111" s="32">
        <f>+D1063</f>
        <v>4090000</v>
      </c>
      <c r="F1111" s="32"/>
      <c r="G1111" s="32"/>
      <c r="H1111" s="55">
        <f t="shared" ref="H1111:H1120" si="622">+F1063</f>
        <v>1994500</v>
      </c>
      <c r="I1111" s="32">
        <f t="shared" ref="I1111:I1120" si="623">+E1063</f>
        <v>2854238</v>
      </c>
      <c r="J1111" s="30">
        <f t="shared" ref="J1111:J1112" si="624">+SUM(C1111:G1111)-(H1111+I1111)</f>
        <v>926369</v>
      </c>
      <c r="K1111" s="144" t="b">
        <f t="shared" ref="K1111:K1121" si="625">J1111=I1063</f>
        <v>1</v>
      </c>
      <c r="L1111" s="5"/>
      <c r="M1111" s="5"/>
      <c r="N1111" s="5"/>
      <c r="O1111" s="5"/>
    </row>
    <row r="1112" spans="1:15">
      <c r="A1112" s="122" t="str">
        <f>+A1111</f>
        <v>OCTOBRE</v>
      </c>
      <c r="B1112" s="127" t="s">
        <v>31</v>
      </c>
      <c r="C1112" s="32">
        <f t="shared" si="621"/>
        <v>7200</v>
      </c>
      <c r="D1112" s="31"/>
      <c r="E1112" s="32">
        <f>+D1064</f>
        <v>286000</v>
      </c>
      <c r="F1112" s="32"/>
      <c r="G1112" s="32"/>
      <c r="H1112" s="55">
        <f t="shared" si="622"/>
        <v>70000</v>
      </c>
      <c r="I1112" s="32">
        <f t="shared" si="623"/>
        <v>226875</v>
      </c>
      <c r="J1112" s="101">
        <f t="shared" si="624"/>
        <v>-3675</v>
      </c>
      <c r="K1112" s="144" t="b">
        <f t="shared" si="625"/>
        <v>1</v>
      </c>
      <c r="L1112" s="5"/>
      <c r="M1112" s="5"/>
      <c r="N1112" s="5"/>
      <c r="O1112" s="5"/>
    </row>
    <row r="1113" spans="1:15">
      <c r="A1113" s="122" t="str">
        <f t="shared" ref="A1113:A1121" si="626">+A1112</f>
        <v>OCTOBRE</v>
      </c>
      <c r="B1113" s="128" t="s">
        <v>144</v>
      </c>
      <c r="C1113" s="32">
        <f t="shared" si="621"/>
        <v>10095</v>
      </c>
      <c r="D1113" s="119"/>
      <c r="E1113" s="32">
        <f>D1065</f>
        <v>70500</v>
      </c>
      <c r="F1113" s="51"/>
      <c r="G1113" s="51"/>
      <c r="H1113" s="55">
        <f t="shared" si="622"/>
        <v>0</v>
      </c>
      <c r="I1113" s="32">
        <f t="shared" si="623"/>
        <v>73000</v>
      </c>
      <c r="J1113" s="124">
        <f>+SUM(C1113:G1113)-(H1113+I1113)</f>
        <v>7595</v>
      </c>
      <c r="K1113" s="144" t="b">
        <f t="shared" si="625"/>
        <v>1</v>
      </c>
      <c r="L1113" s="5"/>
      <c r="M1113" s="5"/>
      <c r="N1113" s="5"/>
      <c r="O1113" s="5"/>
    </row>
    <row r="1114" spans="1:15">
      <c r="A1114" s="122" t="str">
        <f t="shared" si="626"/>
        <v>OCTOBRE</v>
      </c>
      <c r="B1114" s="129" t="s">
        <v>84</v>
      </c>
      <c r="C1114" s="120">
        <f t="shared" si="621"/>
        <v>233614</v>
      </c>
      <c r="D1114" s="123"/>
      <c r="E1114" s="120">
        <f t="shared" ref="E1114:E1118" si="627">+D1066</f>
        <v>0</v>
      </c>
      <c r="F1114" s="137"/>
      <c r="G1114" s="137"/>
      <c r="H1114" s="155">
        <f t="shared" si="622"/>
        <v>0</v>
      </c>
      <c r="I1114" s="120">
        <f t="shared" si="623"/>
        <v>0</v>
      </c>
      <c r="J1114" s="121">
        <f>+SUM(C1114:G1114)-(H1114+I1114)</f>
        <v>233614</v>
      </c>
      <c r="K1114" s="144" t="b">
        <f t="shared" si="625"/>
        <v>1</v>
      </c>
      <c r="L1114" s="5"/>
      <c r="M1114" s="5"/>
      <c r="N1114" s="5"/>
      <c r="O1114" s="5"/>
    </row>
    <row r="1115" spans="1:15">
      <c r="A1115" s="122" t="str">
        <f t="shared" si="626"/>
        <v>OCTOBRE</v>
      </c>
      <c r="B1115" s="129" t="s">
        <v>83</v>
      </c>
      <c r="C1115" s="120">
        <f t="shared" si="621"/>
        <v>249769</v>
      </c>
      <c r="D1115" s="123"/>
      <c r="E1115" s="120">
        <f t="shared" si="627"/>
        <v>0</v>
      </c>
      <c r="F1115" s="137"/>
      <c r="G1115" s="137"/>
      <c r="H1115" s="155">
        <f t="shared" si="622"/>
        <v>0</v>
      </c>
      <c r="I1115" s="120">
        <f t="shared" si="623"/>
        <v>0</v>
      </c>
      <c r="J1115" s="121">
        <f t="shared" ref="J1115:J1121" si="628">+SUM(C1115:G1115)-(H1115+I1115)</f>
        <v>249769</v>
      </c>
      <c r="K1115" s="144" t="b">
        <f t="shared" si="625"/>
        <v>1</v>
      </c>
      <c r="L1115" s="5"/>
      <c r="M1115" s="5"/>
      <c r="N1115" s="5"/>
      <c r="O1115" s="5"/>
    </row>
    <row r="1116" spans="1:15">
      <c r="A1116" s="122" t="str">
        <f t="shared" si="626"/>
        <v>OCTOBRE</v>
      </c>
      <c r="B1116" s="127" t="s">
        <v>143</v>
      </c>
      <c r="C1116" s="32">
        <f t="shared" si="621"/>
        <v>3550</v>
      </c>
      <c r="D1116" s="31"/>
      <c r="E1116" s="32">
        <f t="shared" si="627"/>
        <v>43000</v>
      </c>
      <c r="F1116" s="32"/>
      <c r="G1116" s="104"/>
      <c r="H1116" s="55">
        <f t="shared" si="622"/>
        <v>0</v>
      </c>
      <c r="I1116" s="32">
        <f t="shared" si="623"/>
        <v>52550</v>
      </c>
      <c r="J1116" s="30">
        <f t="shared" si="628"/>
        <v>-6000</v>
      </c>
      <c r="K1116" s="144" t="b">
        <f t="shared" si="625"/>
        <v>1</v>
      </c>
      <c r="L1116" s="5"/>
      <c r="M1116" s="5"/>
      <c r="N1116" s="5"/>
      <c r="O1116" s="5"/>
    </row>
    <row r="1117" spans="1:15">
      <c r="A1117" s="122" t="str">
        <f t="shared" si="626"/>
        <v>OCTOBRE</v>
      </c>
      <c r="B1117" s="127" t="s">
        <v>30</v>
      </c>
      <c r="C1117" s="32">
        <f t="shared" si="621"/>
        <v>61300</v>
      </c>
      <c r="D1117" s="31"/>
      <c r="E1117" s="32">
        <f t="shared" si="627"/>
        <v>53000</v>
      </c>
      <c r="F1117" s="32"/>
      <c r="G1117" s="104"/>
      <c r="H1117" s="55">
        <f t="shared" si="622"/>
        <v>20000</v>
      </c>
      <c r="I1117" s="32">
        <f t="shared" si="623"/>
        <v>45900</v>
      </c>
      <c r="J1117" s="30">
        <f t="shared" si="628"/>
        <v>48400</v>
      </c>
      <c r="K1117" s="144" t="b">
        <f t="shared" si="625"/>
        <v>1</v>
      </c>
      <c r="L1117" s="5"/>
      <c r="M1117" s="5"/>
      <c r="N1117" s="5"/>
      <c r="O1117" s="5"/>
    </row>
    <row r="1118" spans="1:15">
      <c r="A1118" s="122" t="str">
        <f t="shared" si="626"/>
        <v>OCTOBRE</v>
      </c>
      <c r="B1118" s="127" t="s">
        <v>93</v>
      </c>
      <c r="C1118" s="32">
        <f t="shared" si="621"/>
        <v>10800</v>
      </c>
      <c r="D1118" s="31"/>
      <c r="E1118" s="32">
        <f t="shared" si="627"/>
        <v>488000</v>
      </c>
      <c r="F1118" s="32"/>
      <c r="G1118" s="104"/>
      <c r="H1118" s="55">
        <f t="shared" si="622"/>
        <v>0</v>
      </c>
      <c r="I1118" s="32">
        <f t="shared" si="623"/>
        <v>492000</v>
      </c>
      <c r="J1118" s="30">
        <f t="shared" si="628"/>
        <v>6800</v>
      </c>
      <c r="K1118" s="144" t="b">
        <f t="shared" si="625"/>
        <v>1</v>
      </c>
      <c r="L1118" s="5"/>
      <c r="M1118" s="5"/>
      <c r="N1118" s="5"/>
      <c r="O1118" s="5"/>
    </row>
    <row r="1119" spans="1:15">
      <c r="A1119" s="122" t="str">
        <f>+A1117</f>
        <v>OCTOBRE</v>
      </c>
      <c r="B1119" s="127" t="s">
        <v>29</v>
      </c>
      <c r="C1119" s="32">
        <f t="shared" si="621"/>
        <v>9500</v>
      </c>
      <c r="D1119" s="31"/>
      <c r="E1119" s="32">
        <f>+D1071</f>
        <v>20000</v>
      </c>
      <c r="F1119" s="32"/>
      <c r="G1119" s="104"/>
      <c r="H1119" s="55">
        <f t="shared" si="622"/>
        <v>0</v>
      </c>
      <c r="I1119" s="32">
        <f t="shared" si="623"/>
        <v>24000</v>
      </c>
      <c r="J1119" s="30">
        <f t="shared" ref="J1119" si="629">+SUM(C1119:G1119)-(H1119+I1119)</f>
        <v>5500</v>
      </c>
      <c r="K1119" s="144" t="b">
        <f t="shared" si="625"/>
        <v>1</v>
      </c>
      <c r="L1119" s="5"/>
      <c r="M1119" s="5"/>
      <c r="N1119" s="5"/>
      <c r="O1119" s="5"/>
    </row>
    <row r="1120" spans="1:15">
      <c r="A1120" s="122" t="str">
        <f>+A1118</f>
        <v>OCTOBRE</v>
      </c>
      <c r="B1120" s="127" t="s">
        <v>147</v>
      </c>
      <c r="C1120" s="32">
        <f t="shared" si="621"/>
        <v>21200</v>
      </c>
      <c r="D1120" s="31"/>
      <c r="E1120" s="32">
        <f>+D1072</f>
        <v>543000</v>
      </c>
      <c r="F1120" s="32"/>
      <c r="G1120" s="104"/>
      <c r="H1120" s="55">
        <f t="shared" si="622"/>
        <v>0</v>
      </c>
      <c r="I1120" s="32">
        <f t="shared" si="623"/>
        <v>533500</v>
      </c>
      <c r="J1120" s="30">
        <f t="shared" si="628"/>
        <v>30700</v>
      </c>
      <c r="K1120" s="144" t="b">
        <f t="shared" si="625"/>
        <v>1</v>
      </c>
      <c r="L1120" s="5"/>
      <c r="M1120" s="5"/>
      <c r="N1120" s="5"/>
      <c r="O1120" s="5"/>
    </row>
    <row r="1121" spans="1:15">
      <c r="A1121" s="122" t="str">
        <f t="shared" si="626"/>
        <v>OCTOBRE</v>
      </c>
      <c r="B1121" s="128" t="s">
        <v>113</v>
      </c>
      <c r="C1121" s="32">
        <f t="shared" ref="C1121" si="630">C1073</f>
        <v>26193</v>
      </c>
      <c r="D1121" s="119"/>
      <c r="E1121" s="32">
        <f t="shared" ref="E1121" si="631">+D1073</f>
        <v>36000</v>
      </c>
      <c r="F1121" s="51"/>
      <c r="G1121" s="138"/>
      <c r="H1121" s="55">
        <f t="shared" ref="H1121" si="632">+F1073</f>
        <v>0</v>
      </c>
      <c r="I1121" s="32">
        <f t="shared" ref="I1121" si="633">+E1073</f>
        <v>53000</v>
      </c>
      <c r="J1121" s="30">
        <f t="shared" si="628"/>
        <v>9193</v>
      </c>
      <c r="K1121" s="144" t="b">
        <f t="shared" si="625"/>
        <v>1</v>
      </c>
      <c r="L1121" s="5"/>
      <c r="M1121" s="5"/>
      <c r="N1121" s="5"/>
      <c r="O1121" s="5"/>
    </row>
    <row r="1122" spans="1:15">
      <c r="A1122" s="34" t="s">
        <v>60</v>
      </c>
      <c r="B1122" s="35"/>
      <c r="C1122" s="35"/>
      <c r="D1122" s="35"/>
      <c r="E1122" s="35"/>
      <c r="F1122" s="35"/>
      <c r="G1122" s="35"/>
      <c r="H1122" s="35"/>
      <c r="I1122" s="35"/>
      <c r="J1122" s="36"/>
      <c r="K1122" s="143"/>
      <c r="L1122" s="5"/>
      <c r="M1122" s="5"/>
      <c r="N1122" s="5"/>
      <c r="O1122" s="5"/>
    </row>
    <row r="1123" spans="1:15">
      <c r="A1123" s="122" t="str">
        <f>+A1121</f>
        <v>OCTOBRE</v>
      </c>
      <c r="B1123" s="37" t="s">
        <v>61</v>
      </c>
      <c r="C1123" s="38">
        <f>C1062</f>
        <v>23107840</v>
      </c>
      <c r="D1123" s="49"/>
      <c r="E1123" s="49">
        <f>D1062</f>
        <v>0</v>
      </c>
      <c r="F1123" s="49"/>
      <c r="G1123" s="125"/>
      <c r="H1123" s="51">
        <f>+F1062</f>
        <v>3000000</v>
      </c>
      <c r="I1123" s="126">
        <f>+E1062</f>
        <v>4020633</v>
      </c>
      <c r="J1123" s="30">
        <f>+SUM(C1123:G1123)-(H1123+I1123)</f>
        <v>16087207</v>
      </c>
      <c r="K1123" s="144" t="b">
        <f>J1123=I1062</f>
        <v>1</v>
      </c>
      <c r="L1123" s="5"/>
      <c r="M1123" s="5"/>
      <c r="N1123" s="5"/>
      <c r="O1123" s="5"/>
    </row>
    <row r="1124" spans="1:15">
      <c r="A1124" s="43" t="s">
        <v>62</v>
      </c>
      <c r="B1124" s="24"/>
      <c r="C1124" s="35"/>
      <c r="D1124" s="24"/>
      <c r="E1124" s="24"/>
      <c r="F1124" s="24"/>
      <c r="G1124" s="24"/>
      <c r="H1124" s="24"/>
      <c r="I1124" s="24"/>
      <c r="J1124" s="36"/>
      <c r="K1124" s="143"/>
      <c r="L1124" s="5"/>
      <c r="M1124" s="5"/>
      <c r="N1124" s="5"/>
      <c r="O1124" s="5"/>
    </row>
    <row r="1125" spans="1:15">
      <c r="A1125" s="122" t="str">
        <f>+A1123</f>
        <v>OCTOBRE</v>
      </c>
      <c r="B1125" s="37" t="s">
        <v>156</v>
      </c>
      <c r="C1125" s="125">
        <f>C1060</f>
        <v>0</v>
      </c>
      <c r="D1125" s="132">
        <f>G1060</f>
        <v>0</v>
      </c>
      <c r="E1125" s="49"/>
      <c r="F1125" s="49"/>
      <c r="G1125" s="49"/>
      <c r="H1125" s="51">
        <f>+F1060</f>
        <v>0</v>
      </c>
      <c r="I1125" s="53">
        <f>+E1060</f>
        <v>114000</v>
      </c>
      <c r="J1125" s="30">
        <f>+SUM(C1125:G1125)-(H1125+I1125)</f>
        <v>-114000</v>
      </c>
      <c r="K1125" s="144" t="b">
        <f>+J1125=I1060</f>
        <v>0</v>
      </c>
      <c r="L1125" s="5"/>
      <c r="M1125" s="5"/>
      <c r="N1125" s="5"/>
      <c r="O1125" s="5"/>
    </row>
    <row r="1126" spans="1:15">
      <c r="A1126" s="122" t="str">
        <f t="shared" ref="A1126" si="634">+A1125</f>
        <v>OCTOBRE</v>
      </c>
      <c r="B1126" s="37" t="s">
        <v>64</v>
      </c>
      <c r="C1126" s="125">
        <f>C1061</f>
        <v>6762063</v>
      </c>
      <c r="D1126" s="49">
        <f>G1061</f>
        <v>0</v>
      </c>
      <c r="E1126" s="48"/>
      <c r="F1126" s="48"/>
      <c r="G1126" s="48"/>
      <c r="H1126" s="32">
        <f>+F1061</f>
        <v>1000000</v>
      </c>
      <c r="I1126" s="50">
        <f>+E1061</f>
        <v>23345</v>
      </c>
      <c r="J1126" s="30">
        <f>SUM(C1126:G1126)-(H1126+I1126)</f>
        <v>5738718</v>
      </c>
      <c r="K1126" s="144" t="b">
        <f>+J1126=I1061</f>
        <v>1</v>
      </c>
      <c r="L1126" s="5"/>
      <c r="M1126" s="5"/>
      <c r="N1126" s="5"/>
      <c r="O1126" s="5"/>
    </row>
    <row r="1127" spans="1:15" ht="15.75">
      <c r="C1127" s="141">
        <f>SUM(C1111:C1126)</f>
        <v>32188231</v>
      </c>
      <c r="I1127" s="140">
        <f>SUM(I1111:I1126)</f>
        <v>8513041</v>
      </c>
      <c r="J1127" s="105">
        <f>+SUM(J1110:J1126)</f>
        <v>23249297</v>
      </c>
      <c r="K1127" s="5" t="b">
        <f>J1127=I1074</f>
        <v>0</v>
      </c>
      <c r="L1127" s="5"/>
      <c r="M1127" s="5"/>
      <c r="N1127" s="5"/>
      <c r="O1127" s="5"/>
    </row>
    <row r="1128" spans="1:15">
      <c r="G1128" s="9"/>
      <c r="L1128" s="5"/>
      <c r="M1128" s="5"/>
      <c r="N1128" s="5"/>
      <c r="O1128" s="5"/>
    </row>
    <row r="1129" spans="1:15">
      <c r="A1129" s="16" t="s">
        <v>52</v>
      </c>
      <c r="B1129" s="16"/>
      <c r="C1129" s="16"/>
      <c r="D1129" s="17"/>
      <c r="E1129" s="17"/>
      <c r="F1129" s="17"/>
      <c r="G1129" s="17"/>
      <c r="H1129" s="17"/>
      <c r="I1129" s="17"/>
      <c r="L1129" s="5"/>
      <c r="M1129" s="5"/>
      <c r="N1129" s="5"/>
      <c r="O1129" s="5"/>
    </row>
    <row r="1130" spans="1:15">
      <c r="A1130" s="18" t="s">
        <v>145</v>
      </c>
      <c r="B1130" s="18"/>
      <c r="C1130" s="18"/>
      <c r="D1130" s="18"/>
      <c r="E1130" s="18"/>
      <c r="F1130" s="18"/>
      <c r="G1130" s="18"/>
      <c r="H1130" s="18"/>
      <c r="I1130" s="18"/>
      <c r="J1130" s="18"/>
      <c r="L1130" s="5"/>
      <c r="M1130" s="5"/>
      <c r="N1130" s="5"/>
      <c r="O1130" s="5"/>
    </row>
    <row r="1131" spans="1:15">
      <c r="A1131" s="19"/>
      <c r="B1131" s="17"/>
      <c r="C1131" s="20"/>
      <c r="D1131" s="20"/>
      <c r="E1131" s="20"/>
      <c r="F1131" s="20"/>
      <c r="G1131" s="20"/>
      <c r="H1131" s="17"/>
      <c r="I1131" s="17"/>
      <c r="L1131" s="5"/>
      <c r="M1131" s="5"/>
      <c r="N1131" s="5"/>
      <c r="O1131" s="5"/>
    </row>
    <row r="1132" spans="1:15">
      <c r="A1132" s="242" t="s">
        <v>53</v>
      </c>
      <c r="B1132" s="244" t="s">
        <v>54</v>
      </c>
      <c r="C1132" s="246" t="s">
        <v>146</v>
      </c>
      <c r="D1132" s="248" t="s">
        <v>55</v>
      </c>
      <c r="E1132" s="249"/>
      <c r="F1132" s="249"/>
      <c r="G1132" s="250"/>
      <c r="H1132" s="251" t="s">
        <v>56</v>
      </c>
      <c r="I1132" s="238" t="s">
        <v>57</v>
      </c>
      <c r="J1132" s="17"/>
      <c r="L1132" s="5"/>
      <c r="M1132" s="5"/>
      <c r="N1132" s="5"/>
      <c r="O1132" s="5"/>
    </row>
    <row r="1133" spans="1:15">
      <c r="A1133" s="243"/>
      <c r="B1133" s="245"/>
      <c r="C1133" s="247"/>
      <c r="D1133" s="21" t="s">
        <v>24</v>
      </c>
      <c r="E1133" s="21" t="s">
        <v>25</v>
      </c>
      <c r="F1133" s="22" t="s">
        <v>123</v>
      </c>
      <c r="G1133" s="21" t="s">
        <v>58</v>
      </c>
      <c r="H1133" s="252"/>
      <c r="I1133" s="239"/>
      <c r="J1133" s="240" t="s">
        <v>151</v>
      </c>
      <c r="K1133" s="143"/>
      <c r="L1133" s="5"/>
      <c r="M1133" s="5"/>
      <c r="N1133" s="5"/>
      <c r="O1133" s="5"/>
    </row>
    <row r="1134" spans="1:15">
      <c r="A1134" s="23"/>
      <c r="B1134" s="24" t="s">
        <v>59</v>
      </c>
      <c r="C1134" s="25"/>
      <c r="D1134" s="25"/>
      <c r="E1134" s="25"/>
      <c r="F1134" s="25"/>
      <c r="G1134" s="25"/>
      <c r="H1134" s="25"/>
      <c r="I1134" s="26"/>
      <c r="J1134" s="241"/>
      <c r="K1134" s="143"/>
      <c r="L1134" s="5"/>
      <c r="M1134" s="5"/>
      <c r="N1134" s="5"/>
      <c r="O1134" s="5"/>
    </row>
    <row r="1135" spans="1:15">
      <c r="A1135" s="122" t="s">
        <v>79</v>
      </c>
      <c r="B1135" s="127" t="s">
        <v>47</v>
      </c>
      <c r="C1135" s="32" t="e">
        <f>#REF!</f>
        <v>#REF!</v>
      </c>
      <c r="D1135" s="31"/>
      <c r="E1135" s="32" t="e">
        <f>+#REF!</f>
        <v>#REF!</v>
      </c>
      <c r="F1135" s="32"/>
      <c r="G1135" s="32"/>
      <c r="H1135" s="55" t="e">
        <f>+#REF!</f>
        <v>#REF!</v>
      </c>
      <c r="I1135" s="32" t="e">
        <f>+#REF!</f>
        <v>#REF!</v>
      </c>
      <c r="J1135" s="30" t="e">
        <f t="shared" ref="J1135:J1136" si="635">+SUM(C1135:G1135)-(H1135+I1135)</f>
        <v>#REF!</v>
      </c>
      <c r="K1135" s="144" t="e">
        <f>J1135=#REF!</f>
        <v>#REF!</v>
      </c>
      <c r="L1135" s="5"/>
      <c r="M1135" s="5"/>
      <c r="N1135" s="5"/>
      <c r="O1135" s="5"/>
    </row>
    <row r="1136" spans="1:15">
      <c r="A1136" s="122" t="str">
        <f>+A1135</f>
        <v>SEPTEMBRE</v>
      </c>
      <c r="B1136" s="127" t="s">
        <v>31</v>
      </c>
      <c r="C1136" s="32" t="e">
        <f>#REF!</f>
        <v>#REF!</v>
      </c>
      <c r="D1136" s="31"/>
      <c r="E1136" s="32" t="e">
        <f>+#REF!</f>
        <v>#REF!</v>
      </c>
      <c r="F1136" s="32"/>
      <c r="G1136" s="32"/>
      <c r="H1136" s="55" t="e">
        <f>+#REF!</f>
        <v>#REF!</v>
      </c>
      <c r="I1136" s="32" t="e">
        <f>+#REF!</f>
        <v>#REF!</v>
      </c>
      <c r="J1136" s="101" t="e">
        <f t="shared" si="635"/>
        <v>#REF!</v>
      </c>
      <c r="K1136" s="144" t="e">
        <f>J1136=#REF!</f>
        <v>#REF!</v>
      </c>
      <c r="L1136" s="5"/>
      <c r="M1136" s="5"/>
      <c r="N1136" s="5"/>
      <c r="O1136" s="5"/>
    </row>
    <row r="1137" spans="1:15">
      <c r="A1137" s="122" t="str">
        <f t="shared" ref="A1137:A1144" si="636">+A1136</f>
        <v>SEPTEMBRE</v>
      </c>
      <c r="B1137" s="128" t="s">
        <v>144</v>
      </c>
      <c r="C1137" s="32" t="e">
        <f>#REF!</f>
        <v>#REF!</v>
      </c>
      <c r="D1137" s="119"/>
      <c r="E1137" s="32" t="e">
        <f>#REF!</f>
        <v>#REF!</v>
      </c>
      <c r="F1137" s="51"/>
      <c r="G1137" s="51"/>
      <c r="H1137" s="55" t="e">
        <f>+#REF!</f>
        <v>#REF!</v>
      </c>
      <c r="I1137" s="32" t="e">
        <f>+#REF!</f>
        <v>#REF!</v>
      </c>
      <c r="J1137" s="124" t="e">
        <f>+SUM(C1137:G1137)-(H1137+I1137)</f>
        <v>#REF!</v>
      </c>
      <c r="K1137" s="144" t="e">
        <f>J1137=#REF!</f>
        <v>#REF!</v>
      </c>
      <c r="L1137" s="5"/>
      <c r="M1137" s="5"/>
      <c r="N1137" s="5"/>
      <c r="O1137" s="5"/>
    </row>
    <row r="1138" spans="1:15">
      <c r="A1138" s="122" t="str">
        <f t="shared" si="636"/>
        <v>SEPTEMBRE</v>
      </c>
      <c r="B1138" s="129" t="s">
        <v>84</v>
      </c>
      <c r="C1138" s="120" t="e">
        <f>#REF!</f>
        <v>#REF!</v>
      </c>
      <c r="D1138" s="123"/>
      <c r="E1138" s="120" t="e">
        <f>+#REF!</f>
        <v>#REF!</v>
      </c>
      <c r="F1138" s="137"/>
      <c r="G1138" s="137"/>
      <c r="H1138" s="155" t="e">
        <f>+#REF!</f>
        <v>#REF!</v>
      </c>
      <c r="I1138" s="120" t="e">
        <f>+#REF!</f>
        <v>#REF!</v>
      </c>
      <c r="J1138" s="121" t="e">
        <f>+SUM(C1138:G1138)-(H1138+I1138)</f>
        <v>#REF!</v>
      </c>
      <c r="K1138" s="144" t="e">
        <f>J1138=#REF!</f>
        <v>#REF!</v>
      </c>
      <c r="L1138" s="5"/>
      <c r="M1138" s="5"/>
      <c r="N1138" s="5"/>
      <c r="O1138" s="5"/>
    </row>
    <row r="1139" spans="1:15">
      <c r="A1139" s="122" t="str">
        <f t="shared" si="636"/>
        <v>SEPTEMBRE</v>
      </c>
      <c r="B1139" s="129" t="s">
        <v>83</v>
      </c>
      <c r="C1139" s="120" t="e">
        <f>#REF!</f>
        <v>#REF!</v>
      </c>
      <c r="D1139" s="123"/>
      <c r="E1139" s="120" t="e">
        <f>+#REF!</f>
        <v>#REF!</v>
      </c>
      <c r="F1139" s="137"/>
      <c r="G1139" s="137"/>
      <c r="H1139" s="155" t="e">
        <f>+#REF!</f>
        <v>#REF!</v>
      </c>
      <c r="I1139" s="120" t="e">
        <f>+#REF!</f>
        <v>#REF!</v>
      </c>
      <c r="J1139" s="121" t="e">
        <f t="shared" ref="J1139:J1144" si="637">+SUM(C1139:G1139)-(H1139+I1139)</f>
        <v>#REF!</v>
      </c>
      <c r="K1139" s="144" t="e">
        <f>J1139=#REF!</f>
        <v>#REF!</v>
      </c>
      <c r="L1139" s="5"/>
      <c r="M1139" s="5"/>
      <c r="N1139" s="5"/>
      <c r="O1139" s="5"/>
    </row>
    <row r="1140" spans="1:15">
      <c r="A1140" s="122" t="str">
        <f t="shared" si="636"/>
        <v>SEPTEMBRE</v>
      </c>
      <c r="B1140" s="127" t="s">
        <v>143</v>
      </c>
      <c r="C1140" s="32" t="e">
        <f>#REF!</f>
        <v>#REF!</v>
      </c>
      <c r="D1140" s="31"/>
      <c r="E1140" s="32" t="e">
        <f>+#REF!</f>
        <v>#REF!</v>
      </c>
      <c r="F1140" s="32"/>
      <c r="G1140" s="104"/>
      <c r="H1140" s="55" t="e">
        <f>+#REF!</f>
        <v>#REF!</v>
      </c>
      <c r="I1140" s="32" t="e">
        <f>+#REF!</f>
        <v>#REF!</v>
      </c>
      <c r="J1140" s="30" t="e">
        <f t="shared" si="637"/>
        <v>#REF!</v>
      </c>
      <c r="K1140" s="144" t="e">
        <f>J1140=#REF!</f>
        <v>#REF!</v>
      </c>
      <c r="L1140" s="5"/>
      <c r="M1140" s="5"/>
      <c r="N1140" s="5"/>
      <c r="O1140" s="5"/>
    </row>
    <row r="1141" spans="1:15">
      <c r="A1141" s="122" t="str">
        <f t="shared" si="636"/>
        <v>SEPTEMBRE</v>
      </c>
      <c r="B1141" s="127" t="s">
        <v>30</v>
      </c>
      <c r="C1141" s="32" t="e">
        <f>#REF!</f>
        <v>#REF!</v>
      </c>
      <c r="D1141" s="31"/>
      <c r="E1141" s="32" t="e">
        <f>+#REF!</f>
        <v>#REF!</v>
      </c>
      <c r="F1141" s="32"/>
      <c r="G1141" s="104"/>
      <c r="H1141" s="55" t="e">
        <f>+#REF!</f>
        <v>#REF!</v>
      </c>
      <c r="I1141" s="32" t="e">
        <f>+#REF!</f>
        <v>#REF!</v>
      </c>
      <c r="J1141" s="30" t="e">
        <f t="shared" si="637"/>
        <v>#REF!</v>
      </c>
      <c r="K1141" s="144" t="e">
        <f>J1141=#REF!</f>
        <v>#REF!</v>
      </c>
      <c r="L1141" s="5"/>
      <c r="M1141" s="5"/>
      <c r="N1141" s="5"/>
      <c r="O1141" s="5"/>
    </row>
    <row r="1142" spans="1:15">
      <c r="A1142" s="122" t="str">
        <f t="shared" si="636"/>
        <v>SEPTEMBRE</v>
      </c>
      <c r="B1142" s="127" t="s">
        <v>93</v>
      </c>
      <c r="C1142" s="32" t="e">
        <f>#REF!</f>
        <v>#REF!</v>
      </c>
      <c r="D1142" s="31"/>
      <c r="E1142" s="32" t="e">
        <f>+#REF!</f>
        <v>#REF!</v>
      </c>
      <c r="F1142" s="32"/>
      <c r="G1142" s="104"/>
      <c r="H1142" s="55" t="e">
        <f>+#REF!</f>
        <v>#REF!</v>
      </c>
      <c r="I1142" s="32" t="e">
        <f>+#REF!</f>
        <v>#REF!</v>
      </c>
      <c r="J1142" s="30" t="e">
        <f t="shared" si="637"/>
        <v>#REF!</v>
      </c>
      <c r="K1142" s="144" t="e">
        <f>J1142=#REF!</f>
        <v>#REF!</v>
      </c>
      <c r="L1142" s="5"/>
      <c r="M1142" s="5"/>
      <c r="N1142" s="5"/>
      <c r="O1142" s="5"/>
    </row>
    <row r="1143" spans="1:15">
      <c r="A1143" s="122" t="str">
        <f t="shared" si="636"/>
        <v>SEPTEMBRE</v>
      </c>
      <c r="B1143" s="127" t="s">
        <v>147</v>
      </c>
      <c r="C1143" s="32" t="e">
        <f>#REF!</f>
        <v>#REF!</v>
      </c>
      <c r="D1143" s="31"/>
      <c r="E1143" s="32" t="e">
        <f>+#REF!</f>
        <v>#REF!</v>
      </c>
      <c r="F1143" s="32"/>
      <c r="G1143" s="104"/>
      <c r="H1143" s="55" t="e">
        <f>+#REF!</f>
        <v>#REF!</v>
      </c>
      <c r="I1143" s="32" t="e">
        <f>+#REF!</f>
        <v>#REF!</v>
      </c>
      <c r="J1143" s="30" t="e">
        <f t="shared" si="637"/>
        <v>#REF!</v>
      </c>
      <c r="K1143" s="144" t="e">
        <f>J1143=#REF!</f>
        <v>#REF!</v>
      </c>
      <c r="L1143" s="5"/>
      <c r="M1143" s="5"/>
      <c r="N1143" s="5"/>
      <c r="O1143" s="5"/>
    </row>
    <row r="1144" spans="1:15">
      <c r="A1144" s="122" t="str">
        <f t="shared" si="636"/>
        <v>SEPTEMBRE</v>
      </c>
      <c r="B1144" s="128" t="s">
        <v>113</v>
      </c>
      <c r="C1144" s="32" t="e">
        <f>#REF!</f>
        <v>#REF!</v>
      </c>
      <c r="D1144" s="119"/>
      <c r="E1144" s="32" t="e">
        <f>+#REF!</f>
        <v>#REF!</v>
      </c>
      <c r="F1144" s="51"/>
      <c r="G1144" s="138"/>
      <c r="H1144" s="55" t="e">
        <f>+#REF!</f>
        <v>#REF!</v>
      </c>
      <c r="I1144" s="32" t="e">
        <f>+#REF!</f>
        <v>#REF!</v>
      </c>
      <c r="J1144" s="30" t="e">
        <f t="shared" si="637"/>
        <v>#REF!</v>
      </c>
      <c r="K1144" s="144" t="e">
        <f>J1144=#REF!</f>
        <v>#REF!</v>
      </c>
      <c r="L1144" s="5"/>
      <c r="M1144" s="5"/>
      <c r="N1144" s="5"/>
      <c r="O1144" s="5"/>
    </row>
    <row r="1145" spans="1:15">
      <c r="A1145" s="34" t="s">
        <v>60</v>
      </c>
      <c r="B1145" s="35"/>
      <c r="C1145" s="35"/>
      <c r="D1145" s="35"/>
      <c r="E1145" s="35"/>
      <c r="F1145" s="35"/>
      <c r="G1145" s="35"/>
      <c r="H1145" s="35"/>
      <c r="I1145" s="35"/>
      <c r="J1145" s="36"/>
      <c r="K1145" s="143"/>
      <c r="L1145" s="5"/>
      <c r="M1145" s="5"/>
      <c r="N1145" s="5"/>
      <c r="O1145" s="5"/>
    </row>
    <row r="1146" spans="1:15">
      <c r="A1146" s="122" t="str">
        <f>+A1144</f>
        <v>SEPTEMBRE</v>
      </c>
      <c r="B1146" s="37" t="s">
        <v>61</v>
      </c>
      <c r="C1146" s="38" t="e">
        <f>#REF!</f>
        <v>#REF!</v>
      </c>
      <c r="D1146" s="49"/>
      <c r="E1146" s="49" t="e">
        <f>#REF!</f>
        <v>#REF!</v>
      </c>
      <c r="F1146" s="49"/>
      <c r="G1146" s="125"/>
      <c r="H1146" s="51" t="e">
        <f>+#REF!</f>
        <v>#REF!</v>
      </c>
      <c r="I1146" s="126" t="e">
        <f>+#REF!</f>
        <v>#REF!</v>
      </c>
      <c r="J1146" s="30" t="e">
        <f>+SUM(C1146:G1146)-(H1146+I1146)</f>
        <v>#REF!</v>
      </c>
      <c r="K1146" s="144" t="e">
        <f>J1146=#REF!</f>
        <v>#REF!</v>
      </c>
      <c r="L1146" s="5"/>
      <c r="M1146" s="5"/>
      <c r="N1146" s="5"/>
      <c r="O1146" s="5"/>
    </row>
    <row r="1147" spans="1:15">
      <c r="A1147" s="43" t="s">
        <v>62</v>
      </c>
      <c r="B1147" s="24"/>
      <c r="C1147" s="35"/>
      <c r="D1147" s="24"/>
      <c r="E1147" s="24"/>
      <c r="F1147" s="24"/>
      <c r="G1147" s="24"/>
      <c r="H1147" s="24"/>
      <c r="I1147" s="24"/>
      <c r="J1147" s="36"/>
      <c r="K1147" s="143"/>
      <c r="L1147" s="5"/>
      <c r="M1147" s="5"/>
      <c r="N1147" s="5"/>
      <c r="O1147" s="5"/>
    </row>
    <row r="1148" spans="1:15">
      <c r="A1148" s="122" t="str">
        <f>+A1146</f>
        <v>SEPTEMBRE</v>
      </c>
      <c r="B1148" s="37" t="s">
        <v>63</v>
      </c>
      <c r="C1148" s="125" t="e">
        <f>#REF!</f>
        <v>#REF!</v>
      </c>
      <c r="D1148" s="132"/>
      <c r="E1148" s="49"/>
      <c r="F1148" s="49"/>
      <c r="G1148" s="49"/>
      <c r="H1148" s="51" t="e">
        <f>+#REF!</f>
        <v>#REF!</v>
      </c>
      <c r="I1148" s="53" t="e">
        <f>+#REF!</f>
        <v>#REF!</v>
      </c>
      <c r="J1148" s="30" t="e">
        <f>+SUM(C1148:G1148)-(H1148+I1148)</f>
        <v>#REF!</v>
      </c>
      <c r="K1148" s="144" t="e">
        <f>+J1148=#REF!</f>
        <v>#REF!</v>
      </c>
      <c r="L1148" s="5"/>
      <c r="M1148" s="5"/>
      <c r="N1148" s="5"/>
      <c r="O1148" s="5"/>
    </row>
    <row r="1149" spans="1:15">
      <c r="A1149" s="122" t="str">
        <f t="shared" ref="A1149" si="638">+A1148</f>
        <v>SEPTEMBRE</v>
      </c>
      <c r="B1149" s="37" t="s">
        <v>64</v>
      </c>
      <c r="C1149" s="125" t="e">
        <f>#REF!</f>
        <v>#REF!</v>
      </c>
      <c r="D1149" s="49"/>
      <c r="E1149" s="48"/>
      <c r="F1149" s="48"/>
      <c r="G1149" s="48"/>
      <c r="H1149" s="32" t="e">
        <f>+#REF!</f>
        <v>#REF!</v>
      </c>
      <c r="I1149" s="50" t="e">
        <f>+#REF!</f>
        <v>#REF!</v>
      </c>
      <c r="J1149" s="30" t="e">
        <f>SUM(C1149:G1149)-(H1149+I1149)</f>
        <v>#REF!</v>
      </c>
      <c r="K1149" s="144" t="e">
        <f>+J1149=#REF!</f>
        <v>#REF!</v>
      </c>
      <c r="L1149" s="5"/>
      <c r="M1149" s="5"/>
      <c r="N1149" s="5"/>
      <c r="O1149" s="5"/>
    </row>
    <row r="1150" spans="1:15" ht="15.75">
      <c r="C1150" s="141" t="e">
        <f>SUM(C1135:C1149)</f>
        <v>#REF!</v>
      </c>
      <c r="I1150" s="140" t="e">
        <f>SUM(I1135:I1149)</f>
        <v>#REF!</v>
      </c>
      <c r="J1150" s="105" t="e">
        <f>+SUM(J1135:J1149)</f>
        <v>#REF!</v>
      </c>
      <c r="K1150" s="5" t="e">
        <f>J1150=#REF!</f>
        <v>#REF!</v>
      </c>
      <c r="L1150" s="5"/>
      <c r="M1150" s="5"/>
      <c r="N1150" s="5"/>
      <c r="O1150" s="5"/>
    </row>
    <row r="1151" spans="1:15">
      <c r="G1151" s="9"/>
      <c r="L1151" s="5"/>
      <c r="M1151" s="5"/>
      <c r="N1151" s="5"/>
      <c r="O1151" s="5"/>
    </row>
    <row r="1152" spans="1:15">
      <c r="A1152" s="16" t="s">
        <v>52</v>
      </c>
      <c r="B1152" s="16"/>
      <c r="C1152" s="16"/>
      <c r="D1152" s="17"/>
      <c r="E1152" s="17"/>
      <c r="F1152" s="17"/>
      <c r="G1152" s="17"/>
      <c r="H1152" s="17"/>
      <c r="I1152" s="17"/>
      <c r="L1152" s="5"/>
      <c r="M1152" s="5"/>
      <c r="N1152" s="5"/>
      <c r="O1152" s="5"/>
    </row>
    <row r="1153" spans="1:15">
      <c r="A1153" s="18" t="s">
        <v>141</v>
      </c>
      <c r="B1153" s="18"/>
      <c r="C1153" s="18"/>
      <c r="D1153" s="18"/>
      <c r="E1153" s="18"/>
      <c r="F1153" s="18"/>
      <c r="G1153" s="18"/>
      <c r="H1153" s="18"/>
      <c r="I1153" s="18"/>
      <c r="J1153" s="17"/>
      <c r="L1153" s="5"/>
      <c r="M1153" s="5"/>
      <c r="N1153" s="5"/>
      <c r="O1153" s="5"/>
    </row>
    <row r="1154" spans="1:15">
      <c r="A1154" s="19"/>
      <c r="B1154" s="17"/>
      <c r="C1154" s="20"/>
      <c r="D1154" s="20"/>
      <c r="E1154" s="20"/>
      <c r="F1154" s="20"/>
      <c r="G1154" s="20"/>
      <c r="H1154" s="17"/>
      <c r="I1154" s="17"/>
      <c r="J1154" s="18"/>
      <c r="L1154" s="5"/>
      <c r="M1154" s="5"/>
      <c r="N1154" s="5"/>
      <c r="O1154" s="5"/>
    </row>
    <row r="1155" spans="1:15">
      <c r="A1155" s="242" t="s">
        <v>53</v>
      </c>
      <c r="B1155" s="244" t="s">
        <v>54</v>
      </c>
      <c r="C1155" s="246" t="s">
        <v>140</v>
      </c>
      <c r="D1155" s="248" t="s">
        <v>55</v>
      </c>
      <c r="E1155" s="249"/>
      <c r="F1155" s="249"/>
      <c r="G1155" s="250"/>
      <c r="H1155" s="251" t="s">
        <v>56</v>
      </c>
      <c r="I1155" s="238" t="s">
        <v>57</v>
      </c>
      <c r="J1155" s="17"/>
      <c r="L1155" s="5"/>
      <c r="M1155" s="5"/>
      <c r="N1155" s="5"/>
      <c r="O1155" s="5"/>
    </row>
    <row r="1156" spans="1:15">
      <c r="A1156" s="243"/>
      <c r="B1156" s="245"/>
      <c r="C1156" s="247"/>
      <c r="D1156" s="21" t="s">
        <v>24</v>
      </c>
      <c r="E1156" s="21" t="s">
        <v>25</v>
      </c>
      <c r="F1156" s="22" t="s">
        <v>123</v>
      </c>
      <c r="G1156" s="21" t="s">
        <v>58</v>
      </c>
      <c r="H1156" s="252"/>
      <c r="I1156" s="239"/>
      <c r="J1156" s="240" t="s">
        <v>142</v>
      </c>
      <c r="K1156" s="143"/>
      <c r="L1156" s="5"/>
      <c r="M1156" s="5"/>
      <c r="N1156" s="5"/>
      <c r="O1156" s="5"/>
    </row>
    <row r="1157" spans="1:15">
      <c r="A1157" s="23"/>
      <c r="B1157" s="24" t="s">
        <v>59</v>
      </c>
      <c r="C1157" s="25"/>
      <c r="D1157" s="25"/>
      <c r="E1157" s="25"/>
      <c r="F1157" s="25"/>
      <c r="G1157" s="25"/>
      <c r="H1157" s="25"/>
      <c r="I1157" s="26"/>
      <c r="J1157" s="241"/>
      <c r="K1157" s="143"/>
      <c r="L1157" s="5"/>
      <c r="M1157" s="5"/>
      <c r="N1157" s="5"/>
      <c r="O1157" s="5"/>
    </row>
    <row r="1158" spans="1:15">
      <c r="A1158" s="122" t="s">
        <v>139</v>
      </c>
      <c r="B1158" s="127" t="s">
        <v>47</v>
      </c>
      <c r="C1158" s="32" t="e">
        <f>#REF!</f>
        <v>#REF!</v>
      </c>
      <c r="D1158" s="31"/>
      <c r="E1158" s="32" t="e">
        <f>+#REF!</f>
        <v>#REF!</v>
      </c>
      <c r="F1158" s="32"/>
      <c r="G1158" s="32"/>
      <c r="H1158" s="55" t="e">
        <f>+#REF!</f>
        <v>#REF!</v>
      </c>
      <c r="I1158" s="32" t="e">
        <f>+#REF!</f>
        <v>#REF!</v>
      </c>
      <c r="J1158" s="30" t="e">
        <f t="shared" ref="J1158:J1159" si="639">+SUM(C1158:G1158)-(H1158+I1158)</f>
        <v>#REF!</v>
      </c>
      <c r="K1158" s="144" t="e">
        <f>J1158=#REF!</f>
        <v>#REF!</v>
      </c>
      <c r="L1158" s="5"/>
      <c r="M1158" s="5"/>
      <c r="N1158" s="5"/>
      <c r="O1158" s="5"/>
    </row>
    <row r="1159" spans="1:15">
      <c r="A1159" s="122" t="s">
        <v>139</v>
      </c>
      <c r="B1159" s="127" t="s">
        <v>31</v>
      </c>
      <c r="C1159" s="32" t="e">
        <f>#REF!</f>
        <v>#REF!</v>
      </c>
      <c r="D1159" s="31"/>
      <c r="E1159" s="32" t="e">
        <f>+#REF!</f>
        <v>#REF!</v>
      </c>
      <c r="F1159" s="32"/>
      <c r="G1159" s="32"/>
      <c r="H1159" s="55" t="e">
        <f>+#REF!</f>
        <v>#REF!</v>
      </c>
      <c r="I1159" s="32" t="e">
        <f>+#REF!</f>
        <v>#REF!</v>
      </c>
      <c r="J1159" s="101" t="e">
        <f t="shared" si="639"/>
        <v>#REF!</v>
      </c>
      <c r="K1159" s="144" t="e">
        <f>J1159=#REF!</f>
        <v>#REF!</v>
      </c>
      <c r="L1159" s="5"/>
      <c r="M1159" s="5"/>
      <c r="N1159" s="5"/>
      <c r="O1159" s="5"/>
    </row>
    <row r="1160" spans="1:15">
      <c r="A1160" s="122" t="s">
        <v>139</v>
      </c>
      <c r="B1160" s="128" t="s">
        <v>144</v>
      </c>
      <c r="C1160" s="32" t="e">
        <f>#REF!</f>
        <v>#REF!</v>
      </c>
      <c r="D1160" s="119"/>
      <c r="E1160" s="32">
        <v>30000</v>
      </c>
      <c r="F1160" s="51">
        <v>240000</v>
      </c>
      <c r="G1160" s="51"/>
      <c r="H1160" s="55" t="e">
        <f>+#REF!</f>
        <v>#REF!</v>
      </c>
      <c r="I1160" s="32" t="e">
        <f>+#REF!</f>
        <v>#REF!</v>
      </c>
      <c r="J1160" s="124" t="e">
        <f>+SUM(C1160:G1160)-(H1160+I1160)</f>
        <v>#REF!</v>
      </c>
      <c r="K1160" s="144" t="e">
        <f>J1160=#REF!</f>
        <v>#REF!</v>
      </c>
      <c r="L1160" s="5"/>
      <c r="M1160" s="5"/>
      <c r="N1160" s="5"/>
      <c r="O1160" s="5"/>
    </row>
    <row r="1161" spans="1:15">
      <c r="A1161" s="122" t="s">
        <v>139</v>
      </c>
      <c r="B1161" s="129" t="s">
        <v>84</v>
      </c>
      <c r="C1161" s="120" t="e">
        <f>#REF!</f>
        <v>#REF!</v>
      </c>
      <c r="D1161" s="123"/>
      <c r="E1161" s="120" t="e">
        <f>+#REF!</f>
        <v>#REF!</v>
      </c>
      <c r="F1161" s="137"/>
      <c r="G1161" s="137"/>
      <c r="H1161" s="155" t="e">
        <f>+#REF!</f>
        <v>#REF!</v>
      </c>
      <c r="I1161" s="120" t="e">
        <f>+#REF!</f>
        <v>#REF!</v>
      </c>
      <c r="J1161" s="121" t="e">
        <f>+SUM(C1161:G1161)-(H1161+I1161)</f>
        <v>#REF!</v>
      </c>
      <c r="K1161" s="144" t="e">
        <f>J1161=#REF!</f>
        <v>#REF!</v>
      </c>
      <c r="L1161" s="5"/>
      <c r="M1161" s="5"/>
      <c r="N1161" s="5"/>
      <c r="O1161" s="5"/>
    </row>
    <row r="1162" spans="1:15">
      <c r="A1162" s="122" t="s">
        <v>139</v>
      </c>
      <c r="B1162" s="129" t="s">
        <v>83</v>
      </c>
      <c r="C1162" s="120" t="e">
        <f>#REF!</f>
        <v>#REF!</v>
      </c>
      <c r="D1162" s="123"/>
      <c r="E1162" s="120" t="e">
        <f>+#REF!</f>
        <v>#REF!</v>
      </c>
      <c r="F1162" s="137"/>
      <c r="G1162" s="137"/>
      <c r="H1162" s="155" t="e">
        <f>+#REF!</f>
        <v>#REF!</v>
      </c>
      <c r="I1162" s="120" t="e">
        <f>+#REF!</f>
        <v>#REF!</v>
      </c>
      <c r="J1162" s="121" t="e">
        <f t="shared" ref="J1162:J1168" si="640">+SUM(C1162:G1162)-(H1162+I1162)</f>
        <v>#REF!</v>
      </c>
      <c r="K1162" s="144" t="e">
        <f>J1162=#REF!</f>
        <v>#REF!</v>
      </c>
      <c r="L1162" s="5"/>
      <c r="M1162" s="5"/>
      <c r="N1162" s="5"/>
      <c r="O1162" s="5"/>
    </row>
    <row r="1163" spans="1:15">
      <c r="A1163" s="122" t="s">
        <v>139</v>
      </c>
      <c r="B1163" s="127" t="s">
        <v>143</v>
      </c>
      <c r="C1163" s="32" t="e">
        <f>#REF!</f>
        <v>#REF!</v>
      </c>
      <c r="D1163" s="31"/>
      <c r="E1163" s="32" t="e">
        <f>+#REF!</f>
        <v>#REF!</v>
      </c>
      <c r="F1163" s="32"/>
      <c r="G1163" s="104"/>
      <c r="H1163" s="55" t="e">
        <f>+#REF!</f>
        <v>#REF!</v>
      </c>
      <c r="I1163" s="32" t="e">
        <f>+#REF!</f>
        <v>#REF!</v>
      </c>
      <c r="J1163" s="30" t="e">
        <f t="shared" si="640"/>
        <v>#REF!</v>
      </c>
      <c r="K1163" s="144" t="e">
        <f>J1163=#REF!</f>
        <v>#REF!</v>
      </c>
      <c r="L1163" s="5"/>
      <c r="M1163" s="5"/>
      <c r="N1163" s="5"/>
      <c r="O1163" s="5"/>
    </row>
    <row r="1164" spans="1:15">
      <c r="A1164" s="122" t="s">
        <v>139</v>
      </c>
      <c r="B1164" s="127" t="s">
        <v>30</v>
      </c>
      <c r="C1164" s="32" t="e">
        <f>#REF!</f>
        <v>#REF!</v>
      </c>
      <c r="D1164" s="31"/>
      <c r="E1164" s="32" t="e">
        <f>+#REF!</f>
        <v>#REF!</v>
      </c>
      <c r="F1164" s="32"/>
      <c r="G1164" s="104"/>
      <c r="H1164" s="55" t="e">
        <f>+#REF!</f>
        <v>#REF!</v>
      </c>
      <c r="I1164" s="32" t="e">
        <f>+#REF!</f>
        <v>#REF!</v>
      </c>
      <c r="J1164" s="30" t="e">
        <f t="shared" si="640"/>
        <v>#REF!</v>
      </c>
      <c r="K1164" s="144" t="e">
        <f>J1164=#REF!</f>
        <v>#REF!</v>
      </c>
      <c r="L1164" s="5"/>
      <c r="M1164" s="5"/>
      <c r="N1164" s="5"/>
      <c r="O1164" s="5"/>
    </row>
    <row r="1165" spans="1:15">
      <c r="A1165" s="122" t="s">
        <v>139</v>
      </c>
      <c r="B1165" s="127" t="s">
        <v>35</v>
      </c>
      <c r="C1165" s="32" t="e">
        <f>#REF!</f>
        <v>#REF!</v>
      </c>
      <c r="D1165" s="31"/>
      <c r="E1165" s="32">
        <v>15000</v>
      </c>
      <c r="F1165" s="32">
        <v>496625</v>
      </c>
      <c r="G1165" s="104"/>
      <c r="H1165" s="55" t="e">
        <f>+#REF!</f>
        <v>#REF!</v>
      </c>
      <c r="I1165" s="32" t="e">
        <f>+#REF!</f>
        <v>#REF!</v>
      </c>
      <c r="J1165" s="30" t="e">
        <f t="shared" si="640"/>
        <v>#REF!</v>
      </c>
      <c r="K1165" s="144" t="e">
        <f>J1165=#REF!</f>
        <v>#REF!</v>
      </c>
      <c r="L1165" s="5"/>
      <c r="M1165" s="5"/>
      <c r="N1165" s="5"/>
      <c r="O1165" s="5"/>
    </row>
    <row r="1166" spans="1:15">
      <c r="A1166" s="122" t="s">
        <v>139</v>
      </c>
      <c r="B1166" s="127" t="s">
        <v>93</v>
      </c>
      <c r="C1166" s="32" t="e">
        <f>#REF!</f>
        <v>#REF!</v>
      </c>
      <c r="D1166" s="31"/>
      <c r="E1166" s="32" t="e">
        <f>+#REF!</f>
        <v>#REF!</v>
      </c>
      <c r="F1166" s="32"/>
      <c r="G1166" s="104"/>
      <c r="H1166" s="55" t="e">
        <f>+#REF!</f>
        <v>#REF!</v>
      </c>
      <c r="I1166" s="32" t="e">
        <f>+#REF!</f>
        <v>#REF!</v>
      </c>
      <c r="J1166" s="30" t="e">
        <f t="shared" si="640"/>
        <v>#REF!</v>
      </c>
      <c r="K1166" s="144" t="e">
        <f>J1166=#REF!</f>
        <v>#REF!</v>
      </c>
      <c r="L1166" s="5"/>
      <c r="M1166" s="5"/>
      <c r="N1166" s="5"/>
      <c r="O1166" s="5"/>
    </row>
    <row r="1167" spans="1:15">
      <c r="A1167" s="122" t="s">
        <v>139</v>
      </c>
      <c r="B1167" s="127" t="s">
        <v>29</v>
      </c>
      <c r="C1167" s="32" t="e">
        <f>#REF!</f>
        <v>#REF!</v>
      </c>
      <c r="D1167" s="31"/>
      <c r="E1167" s="32" t="e">
        <f>+#REF!</f>
        <v>#REF!</v>
      </c>
      <c r="F1167" s="32"/>
      <c r="G1167" s="104"/>
      <c r="H1167" s="55" t="e">
        <f>+#REF!</f>
        <v>#REF!</v>
      </c>
      <c r="I1167" s="32" t="e">
        <f>+#REF!</f>
        <v>#REF!</v>
      </c>
      <c r="J1167" s="30" t="e">
        <f t="shared" ref="J1167" si="641">+SUM(C1167:G1167)-(H1167+I1167)</f>
        <v>#REF!</v>
      </c>
      <c r="K1167" s="144" t="e">
        <f>J1167=#REF!</f>
        <v>#REF!</v>
      </c>
      <c r="L1167" s="5"/>
      <c r="M1167" s="5"/>
      <c r="N1167" s="5"/>
      <c r="O1167" s="5"/>
    </row>
    <row r="1168" spans="1:15">
      <c r="A1168" s="122" t="s">
        <v>139</v>
      </c>
      <c r="B1168" s="128" t="s">
        <v>113</v>
      </c>
      <c r="C1168" s="32" t="e">
        <f>#REF!</f>
        <v>#REF!</v>
      </c>
      <c r="D1168" s="119"/>
      <c r="E1168" s="32" t="e">
        <f>+#REF!</f>
        <v>#REF!</v>
      </c>
      <c r="F1168" s="51"/>
      <c r="G1168" s="138"/>
      <c r="H1168" s="55" t="e">
        <f>+#REF!</f>
        <v>#REF!</v>
      </c>
      <c r="I1168" s="32" t="e">
        <f>+#REF!</f>
        <v>#REF!</v>
      </c>
      <c r="J1168" s="30" t="e">
        <f t="shared" si="640"/>
        <v>#REF!</v>
      </c>
      <c r="K1168" s="144" t="e">
        <f>J1168=#REF!</f>
        <v>#REF!</v>
      </c>
      <c r="L1168" s="5"/>
      <c r="M1168" s="5"/>
      <c r="N1168" s="5"/>
      <c r="O1168" s="5"/>
    </row>
    <row r="1169" spans="1:15">
      <c r="A1169" s="34" t="s">
        <v>60</v>
      </c>
      <c r="B1169" s="35"/>
      <c r="C1169" s="35"/>
      <c r="D1169" s="35"/>
      <c r="E1169" s="35"/>
      <c r="F1169" s="35"/>
      <c r="G1169" s="35"/>
      <c r="H1169" s="35"/>
      <c r="I1169" s="35"/>
      <c r="J1169" s="36"/>
      <c r="K1169" s="143"/>
      <c r="L1169" s="5"/>
      <c r="M1169" s="5"/>
      <c r="N1169" s="5"/>
      <c r="O1169" s="5"/>
    </row>
    <row r="1170" spans="1:15">
      <c r="A1170" s="122" t="s">
        <v>139</v>
      </c>
      <c r="B1170" s="37" t="s">
        <v>61</v>
      </c>
      <c r="C1170" s="38" t="e">
        <f>#REF!</f>
        <v>#REF!</v>
      </c>
      <c r="D1170" s="49">
        <v>4000000</v>
      </c>
      <c r="E1170" s="103"/>
      <c r="F1170" s="49"/>
      <c r="G1170" s="125">
        <v>15000</v>
      </c>
      <c r="H1170" s="51" t="e">
        <f>+#REF!</f>
        <v>#REF!</v>
      </c>
      <c r="I1170" s="126" t="e">
        <f>+#REF!</f>
        <v>#REF!</v>
      </c>
      <c r="J1170" s="30" t="e">
        <f>+SUM(C1170:G1170)-(H1170+I1170)</f>
        <v>#REF!</v>
      </c>
      <c r="K1170" s="144" t="e">
        <f>J1170=#REF!</f>
        <v>#REF!</v>
      </c>
      <c r="L1170" s="5"/>
      <c r="M1170" s="5"/>
      <c r="N1170" s="5"/>
      <c r="O1170" s="5"/>
    </row>
    <row r="1171" spans="1:15">
      <c r="A1171" s="43" t="s">
        <v>62</v>
      </c>
      <c r="B1171" s="24"/>
      <c r="C1171" s="35"/>
      <c r="D1171" s="24"/>
      <c r="E1171" s="24"/>
      <c r="F1171" s="24"/>
      <c r="G1171" s="24"/>
      <c r="H1171" s="24"/>
      <c r="I1171" s="24"/>
      <c r="J1171" s="36"/>
      <c r="K1171" s="143"/>
      <c r="L1171" s="5"/>
      <c r="M1171" s="5"/>
      <c r="N1171" s="5"/>
      <c r="O1171" s="5"/>
    </row>
    <row r="1172" spans="1:15">
      <c r="A1172" s="122" t="s">
        <v>139</v>
      </c>
      <c r="B1172" s="37" t="s">
        <v>63</v>
      </c>
      <c r="C1172" s="125" t="e">
        <f>#REF!</f>
        <v>#REF!</v>
      </c>
      <c r="D1172" s="132"/>
      <c r="E1172" s="49"/>
      <c r="F1172" s="49"/>
      <c r="G1172" s="49"/>
      <c r="H1172" s="51" t="e">
        <f>+#REF!</f>
        <v>#REF!</v>
      </c>
      <c r="I1172" s="53" t="e">
        <f>+#REF!</f>
        <v>#REF!</v>
      </c>
      <c r="J1172" s="30" t="e">
        <f>+SUM(C1172:G1172)-(H1172+I1172)</f>
        <v>#REF!</v>
      </c>
      <c r="K1172" s="144" t="e">
        <f>+J1172=#REF!</f>
        <v>#REF!</v>
      </c>
      <c r="L1172" s="5"/>
      <c r="M1172" s="5"/>
      <c r="N1172" s="5"/>
      <c r="O1172" s="5"/>
    </row>
    <row r="1173" spans="1:15">
      <c r="A1173" s="122" t="s">
        <v>139</v>
      </c>
      <c r="B1173" s="37" t="s">
        <v>64</v>
      </c>
      <c r="C1173" s="125" t="e">
        <f>#REF!</f>
        <v>#REF!</v>
      </c>
      <c r="D1173" s="49"/>
      <c r="E1173" s="48"/>
      <c r="F1173" s="48"/>
      <c r="G1173" s="48"/>
      <c r="H1173" s="32" t="e">
        <f>+#REF!</f>
        <v>#REF!</v>
      </c>
      <c r="I1173" s="50" t="e">
        <f>+#REF!</f>
        <v>#REF!</v>
      </c>
      <c r="J1173" s="30" t="e">
        <f>SUM(C1173:G1173)-(H1173+I1173)</f>
        <v>#REF!</v>
      </c>
      <c r="K1173" s="144" t="e">
        <f>+J1173=#REF!</f>
        <v>#REF!</v>
      </c>
    </row>
    <row r="1174" spans="1:15" ht="15.75">
      <c r="C1174" s="141" t="e">
        <f>SUM(C1158:C1173)</f>
        <v>#REF!</v>
      </c>
      <c r="I1174" s="140" t="e">
        <f>SUM(I1158:I1173)</f>
        <v>#REF!</v>
      </c>
      <c r="J1174" s="105" t="e">
        <f>+SUM(J1158:J1173)</f>
        <v>#REF!</v>
      </c>
      <c r="K1174" s="5" t="e">
        <f>J1174=#REF!</f>
        <v>#REF!</v>
      </c>
    </row>
    <row r="1175" spans="1:15" ht="16.5">
      <c r="A1175" s="14"/>
      <c r="B1175" s="15"/>
      <c r="C1175" s="153"/>
      <c r="D1175" s="153"/>
      <c r="E1175" s="152"/>
      <c r="F1175" s="153"/>
      <c r="G1175" s="153" t="e">
        <f>+#REF!-J1174</f>
        <v>#REF!</v>
      </c>
      <c r="H1175" s="153"/>
      <c r="I1175" s="153"/>
    </row>
    <row r="1176" spans="1:15">
      <c r="A1176" s="16" t="s">
        <v>52</v>
      </c>
      <c r="B1176" s="16"/>
      <c r="C1176" s="16"/>
      <c r="D1176" s="17"/>
      <c r="E1176" s="17"/>
      <c r="F1176" s="17"/>
      <c r="G1176" s="17"/>
      <c r="H1176" s="17"/>
      <c r="I1176" s="17"/>
    </row>
    <row r="1177" spans="1:15">
      <c r="A1177" s="18" t="s">
        <v>136</v>
      </c>
      <c r="B1177" s="18"/>
      <c r="C1177" s="18"/>
      <c r="D1177" s="18"/>
      <c r="E1177" s="18"/>
      <c r="F1177" s="18"/>
      <c r="G1177" s="18"/>
      <c r="H1177" s="18"/>
      <c r="I1177" s="18"/>
      <c r="J1177" s="17"/>
    </row>
    <row r="1178" spans="1:15">
      <c r="A1178" s="19"/>
      <c r="B1178" s="17"/>
      <c r="C1178" s="20"/>
      <c r="D1178" s="20"/>
      <c r="E1178" s="20"/>
      <c r="F1178" s="20"/>
      <c r="G1178" s="20"/>
      <c r="H1178" s="17"/>
      <c r="I1178" s="17"/>
      <c r="J1178" s="18"/>
    </row>
    <row r="1179" spans="1:15">
      <c r="A1179" s="242" t="s">
        <v>53</v>
      </c>
      <c r="B1179" s="244" t="s">
        <v>54</v>
      </c>
      <c r="C1179" s="246" t="s">
        <v>137</v>
      </c>
      <c r="D1179" s="248" t="s">
        <v>55</v>
      </c>
      <c r="E1179" s="249"/>
      <c r="F1179" s="249"/>
      <c r="G1179" s="250"/>
      <c r="H1179" s="251" t="s">
        <v>56</v>
      </c>
      <c r="I1179" s="238" t="s">
        <v>57</v>
      </c>
      <c r="J1179" s="17"/>
    </row>
    <row r="1180" spans="1:15">
      <c r="A1180" s="243"/>
      <c r="B1180" s="245"/>
      <c r="C1180" s="247"/>
      <c r="D1180" s="21" t="s">
        <v>24</v>
      </c>
      <c r="E1180" s="21" t="s">
        <v>25</v>
      </c>
      <c r="F1180" s="22" t="s">
        <v>123</v>
      </c>
      <c r="G1180" s="21" t="s">
        <v>58</v>
      </c>
      <c r="H1180" s="252"/>
      <c r="I1180" s="239"/>
      <c r="J1180" s="240" t="s">
        <v>138</v>
      </c>
      <c r="K1180" s="143"/>
    </row>
    <row r="1181" spans="1:15">
      <c r="A1181" s="23"/>
      <c r="B1181" s="24" t="s">
        <v>59</v>
      </c>
      <c r="C1181" s="25"/>
      <c r="D1181" s="25"/>
      <c r="E1181" s="25"/>
      <c r="F1181" s="25"/>
      <c r="G1181" s="25"/>
      <c r="H1181" s="25"/>
      <c r="I1181" s="26"/>
      <c r="J1181" s="241"/>
      <c r="K1181" s="143"/>
    </row>
    <row r="1182" spans="1:15">
      <c r="A1182" s="122" t="s">
        <v>72</v>
      </c>
      <c r="B1182" s="127" t="s">
        <v>47</v>
      </c>
      <c r="C1182" s="32" t="e">
        <f>#REF!</f>
        <v>#REF!</v>
      </c>
      <c r="D1182" s="31"/>
      <c r="E1182" s="32">
        <v>970765</v>
      </c>
      <c r="F1182" s="32"/>
      <c r="G1182" s="32"/>
      <c r="H1182" s="55">
        <v>0</v>
      </c>
      <c r="I1182" s="32">
        <v>980165</v>
      </c>
      <c r="J1182" s="30" t="e">
        <f t="shared" ref="J1182:J1183" si="642">+SUM(C1182:G1182)-(H1182+I1182)</f>
        <v>#REF!</v>
      </c>
      <c r="K1182" s="144" t="e">
        <f>J1182=#REF!</f>
        <v>#REF!</v>
      </c>
    </row>
    <row r="1183" spans="1:15">
      <c r="A1183" s="122" t="s">
        <v>72</v>
      </c>
      <c r="B1183" s="127" t="s">
        <v>31</v>
      </c>
      <c r="C1183" s="32" t="e">
        <f>#REF!</f>
        <v>#REF!</v>
      </c>
      <c r="D1183" s="31"/>
      <c r="E1183" s="32">
        <v>58000</v>
      </c>
      <c r="F1183" s="32"/>
      <c r="G1183" s="32"/>
      <c r="H1183" s="32">
        <v>0</v>
      </c>
      <c r="I1183" s="32">
        <v>59500</v>
      </c>
      <c r="J1183" s="101" t="e">
        <f t="shared" si="642"/>
        <v>#REF!</v>
      </c>
      <c r="K1183" s="144" t="e">
        <f>J1183=#REF!</f>
        <v>#REF!</v>
      </c>
    </row>
    <row r="1184" spans="1:15">
      <c r="A1184" s="122" t="s">
        <v>72</v>
      </c>
      <c r="B1184" s="128" t="s">
        <v>30</v>
      </c>
      <c r="C1184" s="32" t="e">
        <f>#REF!</f>
        <v>#REF!</v>
      </c>
      <c r="D1184" s="119"/>
      <c r="E1184" s="51">
        <v>557150</v>
      </c>
      <c r="F1184" s="51"/>
      <c r="G1184" s="51"/>
      <c r="H1184" s="51">
        <v>0</v>
      </c>
      <c r="I1184" s="51">
        <v>556650</v>
      </c>
      <c r="J1184" s="124" t="e">
        <f>+SUM(C1184:G1184)-(H1184+I1184)</f>
        <v>#REF!</v>
      </c>
      <c r="K1184" s="144" t="e">
        <f>J1184=#REF!</f>
        <v>#REF!</v>
      </c>
    </row>
    <row r="1185" spans="1:11">
      <c r="A1185" s="122" t="s">
        <v>72</v>
      </c>
      <c r="B1185" s="129" t="s">
        <v>84</v>
      </c>
      <c r="C1185" s="120" t="e">
        <f>#REF!</f>
        <v>#REF!</v>
      </c>
      <c r="D1185" s="123"/>
      <c r="E1185" s="137"/>
      <c r="F1185" s="137"/>
      <c r="G1185" s="137"/>
      <c r="H1185" s="137">
        <v>0</v>
      </c>
      <c r="I1185" s="137">
        <v>0</v>
      </c>
      <c r="J1185" s="121" t="e">
        <f>+SUM(C1185:G1185)-(H1185+I1185)</f>
        <v>#REF!</v>
      </c>
      <c r="K1185" s="144" t="e">
        <f>J1185=#REF!</f>
        <v>#REF!</v>
      </c>
    </row>
    <row r="1186" spans="1:11">
      <c r="A1186" s="122" t="s">
        <v>72</v>
      </c>
      <c r="B1186" s="129" t="s">
        <v>83</v>
      </c>
      <c r="C1186" s="120" t="e">
        <f>#REF!</f>
        <v>#REF!</v>
      </c>
      <c r="D1186" s="123"/>
      <c r="E1186" s="137"/>
      <c r="F1186" s="137"/>
      <c r="G1186" s="137"/>
      <c r="H1186" s="137">
        <v>0</v>
      </c>
      <c r="I1186" s="137">
        <v>0</v>
      </c>
      <c r="J1186" s="121" t="e">
        <f t="shared" ref="J1186:J1191" si="643">+SUM(C1186:G1186)-(H1186+I1186)</f>
        <v>#REF!</v>
      </c>
      <c r="K1186" s="144" t="e">
        <f>J1186=#REF!</f>
        <v>#REF!</v>
      </c>
    </row>
    <row r="1187" spans="1:11">
      <c r="A1187" s="122" t="s">
        <v>72</v>
      </c>
      <c r="B1187" s="127" t="s">
        <v>35</v>
      </c>
      <c r="C1187" s="32" t="e">
        <f>#REF!</f>
        <v>#REF!</v>
      </c>
      <c r="D1187" s="31"/>
      <c r="E1187" s="32">
        <v>941000</v>
      </c>
      <c r="F1187" s="32"/>
      <c r="G1187" s="104"/>
      <c r="H1187" s="104">
        <v>0</v>
      </c>
      <c r="I1187" s="32">
        <v>1084725</v>
      </c>
      <c r="J1187" s="30" t="e">
        <f t="shared" si="643"/>
        <v>#REF!</v>
      </c>
      <c r="K1187" s="144" t="e">
        <f>J1187=#REF!</f>
        <v>#REF!</v>
      </c>
    </row>
    <row r="1188" spans="1:11">
      <c r="A1188" s="122" t="s">
        <v>72</v>
      </c>
      <c r="B1188" s="127" t="s">
        <v>93</v>
      </c>
      <c r="C1188" s="32" t="e">
        <f>#REF!</f>
        <v>#REF!</v>
      </c>
      <c r="D1188" s="31"/>
      <c r="E1188" s="32">
        <v>52000</v>
      </c>
      <c r="F1188" s="104"/>
      <c r="G1188" s="104"/>
      <c r="H1188" s="104">
        <v>0</v>
      </c>
      <c r="I1188" s="32">
        <v>67000</v>
      </c>
      <c r="J1188" s="30" t="e">
        <f t="shared" si="643"/>
        <v>#REF!</v>
      </c>
      <c r="K1188" s="144" t="e">
        <f>J1188=#REF!</f>
        <v>#REF!</v>
      </c>
    </row>
    <row r="1189" spans="1:11">
      <c r="A1189" s="122" t="s">
        <v>72</v>
      </c>
      <c r="B1189" s="127" t="s">
        <v>29</v>
      </c>
      <c r="C1189" s="32" t="e">
        <f>#REF!</f>
        <v>#REF!</v>
      </c>
      <c r="D1189" s="31"/>
      <c r="E1189" s="32">
        <v>515000</v>
      </c>
      <c r="F1189" s="104"/>
      <c r="G1189" s="104"/>
      <c r="H1189" s="104">
        <v>0</v>
      </c>
      <c r="I1189" s="32">
        <v>655500</v>
      </c>
      <c r="J1189" s="30" t="e">
        <f t="shared" si="643"/>
        <v>#REF!</v>
      </c>
      <c r="K1189" s="144" t="e">
        <f>J1189=#REF!</f>
        <v>#REF!</v>
      </c>
    </row>
    <row r="1190" spans="1:11">
      <c r="A1190" s="122" t="s">
        <v>72</v>
      </c>
      <c r="B1190" s="127" t="s">
        <v>32</v>
      </c>
      <c r="C1190" s="32" t="e">
        <f>#REF!</f>
        <v>#REF!</v>
      </c>
      <c r="D1190" s="31"/>
      <c r="E1190" s="32">
        <v>10000</v>
      </c>
      <c r="F1190" s="104"/>
      <c r="G1190" s="104"/>
      <c r="H1190" s="32">
        <v>500</v>
      </c>
      <c r="I1190" s="32">
        <v>15300</v>
      </c>
      <c r="J1190" s="30" t="e">
        <f t="shared" si="643"/>
        <v>#REF!</v>
      </c>
      <c r="K1190" s="144" t="e">
        <f>J1190=#REF!</f>
        <v>#REF!</v>
      </c>
    </row>
    <row r="1191" spans="1:11">
      <c r="A1191" s="122" t="s">
        <v>72</v>
      </c>
      <c r="B1191" s="128" t="s">
        <v>113</v>
      </c>
      <c r="C1191" s="32" t="e">
        <f>#REF!</f>
        <v>#REF!</v>
      </c>
      <c r="D1191" s="119"/>
      <c r="E1191" s="51">
        <v>20000</v>
      </c>
      <c r="F1191" s="51"/>
      <c r="G1191" s="138"/>
      <c r="H1191" s="51">
        <v>0</v>
      </c>
      <c r="I1191" s="51">
        <v>28000</v>
      </c>
      <c r="J1191" s="30" t="e">
        <f t="shared" si="643"/>
        <v>#REF!</v>
      </c>
      <c r="K1191" s="144" t="e">
        <f>J1191=#REF!</f>
        <v>#REF!</v>
      </c>
    </row>
    <row r="1192" spans="1:11">
      <c r="A1192" s="34" t="s">
        <v>60</v>
      </c>
      <c r="B1192" s="35"/>
      <c r="C1192" s="35"/>
      <c r="D1192" s="35"/>
      <c r="E1192" s="35"/>
      <c r="F1192" s="35"/>
      <c r="G1192" s="35"/>
      <c r="H1192" s="35"/>
      <c r="I1192" s="35"/>
      <c r="J1192" s="36"/>
      <c r="K1192" s="143"/>
    </row>
    <row r="1193" spans="1:11">
      <c r="A1193" s="122" t="s">
        <v>72</v>
      </c>
      <c r="B1193" s="37" t="s">
        <v>61</v>
      </c>
      <c r="C1193" s="38" t="e">
        <f>#REF!</f>
        <v>#REF!</v>
      </c>
      <c r="D1193" s="49">
        <v>6000500</v>
      </c>
      <c r="E1193" s="103"/>
      <c r="F1193" s="49"/>
      <c r="G1193" s="139"/>
      <c r="H1193" s="51">
        <v>3123915</v>
      </c>
      <c r="I1193" s="126">
        <v>3367697</v>
      </c>
      <c r="J1193" s="30" t="e">
        <f>+SUM(C1193:G1193)-(H1193+I1193)</f>
        <v>#REF!</v>
      </c>
      <c r="K1193" s="144" t="e">
        <f>J1193=#REF!</f>
        <v>#REF!</v>
      </c>
    </row>
    <row r="1194" spans="1:11">
      <c r="A1194" s="43" t="s">
        <v>62</v>
      </c>
      <c r="B1194" s="24"/>
      <c r="C1194" s="35"/>
      <c r="D1194" s="24"/>
      <c r="E1194" s="24"/>
      <c r="F1194" s="24"/>
      <c r="G1194" s="24"/>
      <c r="H1194" s="24"/>
      <c r="I1194" s="24"/>
      <c r="J1194" s="36"/>
      <c r="K1194" s="143"/>
    </row>
    <row r="1195" spans="1:11">
      <c r="A1195" s="122" t="s">
        <v>72</v>
      </c>
      <c r="B1195" s="37" t="s">
        <v>63</v>
      </c>
      <c r="C1195" s="125" t="e">
        <f>#REF!</f>
        <v>#REF!</v>
      </c>
      <c r="D1195" s="132"/>
      <c r="E1195" s="49"/>
      <c r="F1195" s="49"/>
      <c r="G1195" s="49"/>
      <c r="H1195" s="51">
        <v>2000000</v>
      </c>
      <c r="I1195" s="53">
        <v>271244</v>
      </c>
      <c r="J1195" s="30" t="e">
        <f>+SUM(C1195:G1195)-(H1195+I1195)</f>
        <v>#REF!</v>
      </c>
      <c r="K1195" s="144" t="e">
        <f>+J1195=#REF!</f>
        <v>#REF!</v>
      </c>
    </row>
    <row r="1196" spans="1:11">
      <c r="A1196" s="122" t="s">
        <v>72</v>
      </c>
      <c r="B1196" s="37" t="s">
        <v>64</v>
      </c>
      <c r="C1196" s="125" t="e">
        <f>#REF!</f>
        <v>#REF!</v>
      </c>
      <c r="D1196" s="49">
        <v>31201251</v>
      </c>
      <c r="E1196" s="48"/>
      <c r="F1196" s="48"/>
      <c r="G1196" s="48"/>
      <c r="H1196" s="32">
        <v>4000000</v>
      </c>
      <c r="I1196" s="50">
        <v>6204544</v>
      </c>
      <c r="J1196" s="30" t="e">
        <f>SUM(C1196:G1196)-(H1196+I1196)</f>
        <v>#REF!</v>
      </c>
      <c r="K1196" s="144" t="e">
        <f>+J1196=#REF!</f>
        <v>#REF!</v>
      </c>
    </row>
    <row r="1197" spans="1:11" ht="15.75">
      <c r="C1197" s="141" t="e">
        <f>SUM(C1182:C1196)</f>
        <v>#REF!</v>
      </c>
      <c r="I1197" s="140">
        <f>SUM(I1182:I1196)</f>
        <v>13290325</v>
      </c>
      <c r="J1197" s="105" t="e">
        <f>+SUM(J1182:J1196)</f>
        <v>#REF!</v>
      </c>
      <c r="K1197" s="5" t="e">
        <f>J1197=#REF!</f>
        <v>#REF!</v>
      </c>
    </row>
    <row r="1198" spans="1:11" ht="16.5">
      <c r="A1198" s="14"/>
      <c r="B1198" s="15"/>
      <c r="C1198" s="153"/>
      <c r="D1198" s="153"/>
      <c r="E1198" s="152"/>
      <c r="F1198" s="153"/>
      <c r="G1198" s="153" t="e">
        <f>+#REF!-J1197</f>
        <v>#REF!</v>
      </c>
      <c r="H1198" s="153"/>
      <c r="I1198" s="153"/>
    </row>
    <row r="1199" spans="1:11" ht="16.5">
      <c r="A1199" s="14"/>
      <c r="B1199" s="15"/>
      <c r="C1199" s="12"/>
      <c r="D1199" s="12"/>
      <c r="E1199" s="13"/>
      <c r="F1199" s="12"/>
      <c r="G1199" s="12"/>
      <c r="H1199" s="12"/>
      <c r="I1199" s="12"/>
    </row>
    <row r="1200" spans="1:11">
      <c r="A1200" s="16" t="s">
        <v>52</v>
      </c>
      <c r="B1200" s="16"/>
      <c r="C1200" s="16"/>
      <c r="D1200" s="17"/>
      <c r="E1200" s="17"/>
      <c r="F1200" s="17"/>
      <c r="G1200" s="17"/>
      <c r="H1200" s="17"/>
      <c r="I1200" s="17"/>
    </row>
    <row r="1201" spans="1:15">
      <c r="A1201" s="18" t="s">
        <v>132</v>
      </c>
      <c r="B1201" s="18"/>
      <c r="C1201" s="18"/>
      <c r="D1201" s="18"/>
      <c r="E1201" s="18"/>
      <c r="F1201" s="18"/>
      <c r="G1201" s="18"/>
      <c r="H1201" s="18"/>
      <c r="I1201" s="18"/>
      <c r="J1201" s="17"/>
    </row>
    <row r="1202" spans="1:15">
      <c r="A1202" s="19"/>
      <c r="B1202" s="17"/>
      <c r="C1202" s="20"/>
      <c r="D1202" s="20"/>
      <c r="E1202" s="20"/>
      <c r="F1202" s="20"/>
      <c r="G1202" s="20"/>
      <c r="H1202" s="17"/>
      <c r="I1202" s="17"/>
      <c r="J1202" s="18"/>
    </row>
    <row r="1203" spans="1:15">
      <c r="A1203" s="242" t="s">
        <v>53</v>
      </c>
      <c r="B1203" s="244" t="s">
        <v>54</v>
      </c>
      <c r="C1203" s="246" t="s">
        <v>134</v>
      </c>
      <c r="D1203" s="248" t="s">
        <v>55</v>
      </c>
      <c r="E1203" s="249"/>
      <c r="F1203" s="249"/>
      <c r="G1203" s="250"/>
      <c r="H1203" s="251" t="s">
        <v>56</v>
      </c>
      <c r="I1203" s="238" t="s">
        <v>57</v>
      </c>
      <c r="J1203" s="17"/>
    </row>
    <row r="1204" spans="1:15">
      <c r="A1204" s="243"/>
      <c r="B1204" s="245"/>
      <c r="C1204" s="247"/>
      <c r="D1204" s="21" t="s">
        <v>24</v>
      </c>
      <c r="E1204" s="21" t="s">
        <v>25</v>
      </c>
      <c r="F1204" s="22" t="s">
        <v>123</v>
      </c>
      <c r="G1204" s="21" t="s">
        <v>58</v>
      </c>
      <c r="H1204" s="252"/>
      <c r="I1204" s="239"/>
      <c r="J1204" s="240" t="s">
        <v>133</v>
      </c>
      <c r="K1204" s="143"/>
    </row>
    <row r="1205" spans="1:15">
      <c r="A1205" s="23"/>
      <c r="B1205" s="24" t="s">
        <v>59</v>
      </c>
      <c r="C1205" s="25"/>
      <c r="D1205" s="25"/>
      <c r="E1205" s="25"/>
      <c r="F1205" s="25"/>
      <c r="G1205" s="25"/>
      <c r="H1205" s="25"/>
      <c r="I1205" s="26"/>
      <c r="J1205" s="241"/>
      <c r="K1205" s="143"/>
      <c r="L1205" s="5"/>
      <c r="M1205" s="5"/>
      <c r="N1205" s="5"/>
      <c r="O1205" s="5"/>
    </row>
    <row r="1206" spans="1:15">
      <c r="A1206" s="122" t="s">
        <v>135</v>
      </c>
      <c r="B1206" s="127" t="s">
        <v>76</v>
      </c>
      <c r="C1206" s="32" t="e">
        <f>+#REF!</f>
        <v>#REF!</v>
      </c>
      <c r="D1206" s="31"/>
      <c r="E1206" s="32">
        <v>114000</v>
      </c>
      <c r="F1206" s="32"/>
      <c r="G1206" s="32"/>
      <c r="H1206" s="55">
        <v>11050</v>
      </c>
      <c r="I1206" s="32">
        <v>112000</v>
      </c>
      <c r="J1206" s="30" t="e">
        <f>+SUM(C1206:G1206)-(H1206+I1206)</f>
        <v>#REF!</v>
      </c>
      <c r="K1206" s="144" t="e">
        <f>J1206=#REF!</f>
        <v>#REF!</v>
      </c>
      <c r="L1206" s="5"/>
      <c r="M1206" s="5"/>
      <c r="N1206" s="5"/>
      <c r="O1206" s="5"/>
    </row>
    <row r="1207" spans="1:15">
      <c r="A1207" s="122" t="s">
        <v>135</v>
      </c>
      <c r="B1207" s="127" t="s">
        <v>47</v>
      </c>
      <c r="C1207" s="32" t="e">
        <f t="shared" ref="C1207:C1217" si="644">+C1184</f>
        <v>#REF!</v>
      </c>
      <c r="D1207" s="31"/>
      <c r="E1207" s="32">
        <v>87350</v>
      </c>
      <c r="F1207" s="32">
        <f>60000+62000</f>
        <v>122000</v>
      </c>
      <c r="G1207" s="32"/>
      <c r="H1207" s="55">
        <v>161395</v>
      </c>
      <c r="I1207" s="32">
        <v>281200</v>
      </c>
      <c r="J1207" s="30" t="e">
        <f t="shared" ref="J1207:J1208" si="645">+SUM(C1207:G1207)-(H1207+I1207)</f>
        <v>#REF!</v>
      </c>
      <c r="K1207" s="144" t="e">
        <f t="shared" ref="K1207:K1217" si="646">J1207=I1184</f>
        <v>#REF!</v>
      </c>
      <c r="L1207" s="5"/>
      <c r="M1207" s="5"/>
      <c r="N1207" s="5"/>
      <c r="O1207" s="5"/>
    </row>
    <row r="1208" spans="1:15">
      <c r="A1208" s="122" t="s">
        <v>135</v>
      </c>
      <c r="B1208" s="127" t="s">
        <v>31</v>
      </c>
      <c r="C1208" s="32" t="e">
        <f t="shared" si="644"/>
        <v>#REF!</v>
      </c>
      <c r="D1208" s="31"/>
      <c r="E1208" s="32">
        <v>371500</v>
      </c>
      <c r="F1208" s="32"/>
      <c r="G1208" s="32"/>
      <c r="H1208" s="32">
        <f>62000+81500+137000</f>
        <v>280500</v>
      </c>
      <c r="I1208" s="32">
        <v>177000</v>
      </c>
      <c r="J1208" s="101" t="e">
        <f t="shared" si="645"/>
        <v>#REF!</v>
      </c>
      <c r="K1208" s="144" t="e">
        <f t="shared" si="646"/>
        <v>#REF!</v>
      </c>
      <c r="L1208" s="5"/>
      <c r="M1208" s="5"/>
      <c r="N1208" s="5"/>
      <c r="O1208" s="5"/>
    </row>
    <row r="1209" spans="1:15">
      <c r="A1209" s="122" t="s">
        <v>135</v>
      </c>
      <c r="B1209" s="127" t="s">
        <v>77</v>
      </c>
      <c r="C1209" s="32" t="e">
        <f t="shared" si="644"/>
        <v>#REF!</v>
      </c>
      <c r="D1209" s="104"/>
      <c r="E1209" s="32">
        <v>35560</v>
      </c>
      <c r="F1209" s="32">
        <f>10000+81500</f>
        <v>91500</v>
      </c>
      <c r="G1209" s="32"/>
      <c r="H1209" s="32">
        <v>35000</v>
      </c>
      <c r="I1209" s="32">
        <v>159750</v>
      </c>
      <c r="J1209" s="101" t="e">
        <f>+SUM(C1209:G1209)-(H1209+I1209)</f>
        <v>#REF!</v>
      </c>
      <c r="K1209" s="144" t="e">
        <f t="shared" si="646"/>
        <v>#REF!</v>
      </c>
      <c r="L1209" s="5"/>
      <c r="M1209" s="5"/>
      <c r="N1209" s="5"/>
      <c r="O1209" s="5"/>
    </row>
    <row r="1210" spans="1:15">
      <c r="A1210" s="122" t="s">
        <v>135</v>
      </c>
      <c r="B1210" s="128" t="s">
        <v>30</v>
      </c>
      <c r="C1210" s="32" t="e">
        <f t="shared" si="644"/>
        <v>#REF!</v>
      </c>
      <c r="D1210" s="119"/>
      <c r="E1210" s="51">
        <v>372085</v>
      </c>
      <c r="F1210" s="51"/>
      <c r="G1210" s="51"/>
      <c r="H1210" s="51"/>
      <c r="I1210" s="51">
        <v>336400</v>
      </c>
      <c r="J1210" s="124" t="e">
        <f>+SUM(C1210:G1210)-(H1210+I1210)</f>
        <v>#REF!</v>
      </c>
      <c r="K1210" s="144" t="e">
        <f t="shared" si="646"/>
        <v>#REF!</v>
      </c>
      <c r="L1210" s="5"/>
      <c r="M1210" s="5"/>
      <c r="N1210" s="5"/>
      <c r="O1210" s="5"/>
    </row>
    <row r="1211" spans="1:15">
      <c r="A1211" s="122" t="s">
        <v>135</v>
      </c>
      <c r="B1211" s="129" t="s">
        <v>84</v>
      </c>
      <c r="C1211" s="120" t="e">
        <f t="shared" si="644"/>
        <v>#REF!</v>
      </c>
      <c r="D1211" s="123"/>
      <c r="E1211" s="137"/>
      <c r="F1211" s="137"/>
      <c r="G1211" s="137"/>
      <c r="H1211" s="137"/>
      <c r="I1211" s="137"/>
      <c r="J1211" s="121" t="e">
        <f>+SUM(C1211:G1211)-(H1211+I1211)</f>
        <v>#REF!</v>
      </c>
      <c r="K1211" s="144" t="e">
        <f t="shared" si="646"/>
        <v>#REF!</v>
      </c>
      <c r="L1211" s="5"/>
      <c r="M1211" s="5"/>
      <c r="N1211" s="5"/>
      <c r="O1211" s="5"/>
    </row>
    <row r="1212" spans="1:15">
      <c r="A1212" s="122" t="s">
        <v>135</v>
      </c>
      <c r="B1212" s="129" t="s">
        <v>83</v>
      </c>
      <c r="C1212" s="120" t="e">
        <f t="shared" si="644"/>
        <v>#REF!</v>
      </c>
      <c r="D1212" s="123"/>
      <c r="E1212" s="137"/>
      <c r="F1212" s="137"/>
      <c r="G1212" s="137"/>
      <c r="H1212" s="137"/>
      <c r="I1212" s="137"/>
      <c r="J1212" s="121" t="e">
        <f t="shared" ref="J1212:J1217" si="647">+SUM(C1212:G1212)-(H1212+I1212)</f>
        <v>#REF!</v>
      </c>
      <c r="K1212" s="144" t="e">
        <f t="shared" si="646"/>
        <v>#REF!</v>
      </c>
      <c r="L1212" s="5"/>
      <c r="M1212" s="5"/>
      <c r="N1212" s="5"/>
      <c r="O1212" s="5"/>
    </row>
    <row r="1213" spans="1:15">
      <c r="A1213" s="122" t="s">
        <v>135</v>
      </c>
      <c r="B1213" s="127" t="s">
        <v>35</v>
      </c>
      <c r="C1213" s="32" t="e">
        <f t="shared" si="644"/>
        <v>#REF!</v>
      </c>
      <c r="D1213" s="31"/>
      <c r="E1213" s="32">
        <v>400000</v>
      </c>
      <c r="F1213" s="32">
        <v>137000</v>
      </c>
      <c r="G1213" s="104"/>
      <c r="H1213" s="104"/>
      <c r="I1213" s="32">
        <v>563500</v>
      </c>
      <c r="J1213" s="30" t="e">
        <f t="shared" si="647"/>
        <v>#REF!</v>
      </c>
      <c r="K1213" s="144" t="e">
        <f t="shared" si="646"/>
        <v>#REF!</v>
      </c>
      <c r="L1213" s="5"/>
      <c r="M1213" s="5"/>
      <c r="N1213" s="5"/>
      <c r="O1213" s="5"/>
    </row>
    <row r="1214" spans="1:15">
      <c r="A1214" s="122" t="s">
        <v>135</v>
      </c>
      <c r="B1214" s="127" t="s">
        <v>93</v>
      </c>
      <c r="C1214" s="32" t="e">
        <f t="shared" si="644"/>
        <v>#REF!</v>
      </c>
      <c r="D1214" s="31"/>
      <c r="E1214" s="32">
        <v>35000</v>
      </c>
      <c r="F1214" s="104"/>
      <c r="G1214" s="104"/>
      <c r="H1214" s="104"/>
      <c r="I1214" s="32">
        <v>23500</v>
      </c>
      <c r="J1214" s="30" t="e">
        <f t="shared" si="647"/>
        <v>#REF!</v>
      </c>
      <c r="K1214" s="144" t="e">
        <f t="shared" si="646"/>
        <v>#REF!</v>
      </c>
      <c r="L1214" s="5"/>
      <c r="M1214" s="5"/>
      <c r="N1214" s="5"/>
      <c r="O1214" s="5"/>
    </row>
    <row r="1215" spans="1:15">
      <c r="A1215" s="122" t="s">
        <v>135</v>
      </c>
      <c r="B1215" s="127" t="s">
        <v>29</v>
      </c>
      <c r="C1215" s="32">
        <f t="shared" si="644"/>
        <v>0</v>
      </c>
      <c r="D1215" s="31"/>
      <c r="E1215" s="32">
        <v>454000</v>
      </c>
      <c r="F1215" s="104"/>
      <c r="G1215" s="104"/>
      <c r="H1215" s="104"/>
      <c r="I1215" s="32">
        <v>329100</v>
      </c>
      <c r="J1215" s="30">
        <f t="shared" si="647"/>
        <v>124900</v>
      </c>
      <c r="K1215" s="144" t="b">
        <f t="shared" si="646"/>
        <v>0</v>
      </c>
      <c r="L1215" s="5"/>
      <c r="M1215" s="5"/>
      <c r="N1215" s="5"/>
      <c r="O1215" s="5"/>
    </row>
    <row r="1216" spans="1:15">
      <c r="A1216" s="122" t="s">
        <v>135</v>
      </c>
      <c r="B1216" s="127" t="s">
        <v>32</v>
      </c>
      <c r="C1216" s="32" t="e">
        <f t="shared" si="644"/>
        <v>#REF!</v>
      </c>
      <c r="D1216" s="31"/>
      <c r="E1216" s="32"/>
      <c r="F1216" s="104"/>
      <c r="G1216" s="104"/>
      <c r="H1216" s="32">
        <v>20000</v>
      </c>
      <c r="I1216" s="32">
        <v>5000</v>
      </c>
      <c r="J1216" s="30" t="e">
        <f t="shared" si="647"/>
        <v>#REF!</v>
      </c>
      <c r="K1216" s="144" t="e">
        <f t="shared" si="646"/>
        <v>#REF!</v>
      </c>
      <c r="L1216" s="5"/>
      <c r="M1216" s="5"/>
      <c r="N1216" s="5"/>
      <c r="O1216" s="5"/>
    </row>
    <row r="1217" spans="1:15">
      <c r="A1217" s="122" t="s">
        <v>135</v>
      </c>
      <c r="B1217" s="128" t="s">
        <v>113</v>
      </c>
      <c r="C1217" s="32">
        <f t="shared" si="644"/>
        <v>0</v>
      </c>
      <c r="D1217" s="119"/>
      <c r="E1217" s="51">
        <v>231000</v>
      </c>
      <c r="F1217" s="51"/>
      <c r="G1217" s="138"/>
      <c r="H1217" s="51">
        <v>90000</v>
      </c>
      <c r="I1217" s="51">
        <v>180000</v>
      </c>
      <c r="J1217" s="30">
        <f t="shared" si="647"/>
        <v>-39000</v>
      </c>
      <c r="K1217" s="144" t="b">
        <f t="shared" si="646"/>
        <v>0</v>
      </c>
      <c r="L1217" s="5"/>
      <c r="M1217" s="5"/>
      <c r="N1217" s="5"/>
      <c r="O1217" s="5"/>
    </row>
    <row r="1218" spans="1:15">
      <c r="A1218" s="34" t="s">
        <v>60</v>
      </c>
      <c r="B1218" s="35"/>
      <c r="C1218" s="35"/>
      <c r="D1218" s="35"/>
      <c r="E1218" s="35"/>
      <c r="F1218" s="35"/>
      <c r="G1218" s="35"/>
      <c r="H1218" s="35"/>
      <c r="I1218" s="35"/>
      <c r="J1218" s="36"/>
      <c r="K1218" s="143"/>
      <c r="L1218" s="5"/>
      <c r="M1218" s="5"/>
      <c r="N1218" s="5"/>
      <c r="O1218" s="5"/>
    </row>
    <row r="1219" spans="1:15">
      <c r="A1219" s="122" t="s">
        <v>135</v>
      </c>
      <c r="B1219" s="37" t="s">
        <v>61</v>
      </c>
      <c r="C1219" s="38" t="e">
        <f>+C1183</f>
        <v>#REF!</v>
      </c>
      <c r="D1219" s="49">
        <v>5000000</v>
      </c>
      <c r="E1219" s="103"/>
      <c r="F1219" s="49">
        <v>217445</v>
      </c>
      <c r="G1219" s="139"/>
      <c r="H1219" s="131">
        <v>2070495</v>
      </c>
      <c r="I1219" s="126">
        <v>3286349</v>
      </c>
      <c r="J1219" s="30" t="e">
        <f>+SUM(C1219:G1219)-(H1219+I1219)</f>
        <v>#REF!</v>
      </c>
      <c r="K1219" s="144" t="e">
        <f>J1219=I1183</f>
        <v>#REF!</v>
      </c>
      <c r="L1219" s="5"/>
      <c r="M1219" s="5"/>
      <c r="N1219" s="5"/>
      <c r="O1219" s="5"/>
    </row>
    <row r="1220" spans="1:15">
      <c r="A1220" s="43" t="s">
        <v>62</v>
      </c>
      <c r="B1220" s="24"/>
      <c r="C1220" s="35"/>
      <c r="D1220" s="24"/>
      <c r="E1220" s="24"/>
      <c r="F1220" s="24"/>
      <c r="G1220" s="24"/>
      <c r="H1220" s="24"/>
      <c r="I1220" s="24"/>
      <c r="J1220" s="36"/>
      <c r="K1220" s="143"/>
      <c r="L1220" s="5"/>
      <c r="M1220" s="5"/>
      <c r="N1220" s="5"/>
      <c r="O1220" s="5"/>
    </row>
    <row r="1221" spans="1:15">
      <c r="A1221" s="122" t="s">
        <v>135</v>
      </c>
      <c r="B1221" s="37" t="s">
        <v>63</v>
      </c>
      <c r="C1221" s="125" t="e">
        <f>+#REF!</f>
        <v>#REF!</v>
      </c>
      <c r="D1221" s="132">
        <v>7900099</v>
      </c>
      <c r="E1221" s="49"/>
      <c r="F1221" s="49"/>
      <c r="G1221" s="49"/>
      <c r="H1221" s="51">
        <v>3000000</v>
      </c>
      <c r="I1221" s="53">
        <v>379529</v>
      </c>
      <c r="J1221" s="30" t="e">
        <f>+SUM(C1221:G1221)-(H1221+I1221)</f>
        <v>#REF!</v>
      </c>
      <c r="K1221" s="144" t="e">
        <f>+J1221=#REF!</f>
        <v>#REF!</v>
      </c>
      <c r="L1221" s="5"/>
      <c r="M1221" s="5"/>
      <c r="N1221" s="5"/>
      <c r="O1221" s="5"/>
    </row>
    <row r="1222" spans="1:15">
      <c r="A1222" s="122" t="s">
        <v>135</v>
      </c>
      <c r="B1222" s="37" t="s">
        <v>64</v>
      </c>
      <c r="C1222" s="125" t="e">
        <f>+C1182</f>
        <v>#REF!</v>
      </c>
      <c r="D1222" s="49"/>
      <c r="E1222" s="48"/>
      <c r="F1222" s="48"/>
      <c r="G1222" s="48"/>
      <c r="H1222" s="32">
        <v>2000000</v>
      </c>
      <c r="I1222" s="50">
        <v>5392233</v>
      </c>
      <c r="J1222" s="30" t="e">
        <f>SUM(C1222:G1222)-(H1222+I1222)</f>
        <v>#REF!</v>
      </c>
      <c r="K1222" s="144" t="e">
        <f>+J1222=I1182</f>
        <v>#REF!</v>
      </c>
      <c r="L1222" s="5"/>
      <c r="M1222" s="5"/>
      <c r="N1222" s="5"/>
      <c r="O1222" s="5"/>
    </row>
    <row r="1223" spans="1:15" ht="15.75">
      <c r="C1223" s="141" t="e">
        <f>SUM(C1206:C1222)</f>
        <v>#REF!</v>
      </c>
      <c r="I1223" s="140">
        <f>SUM(I1206:I1222)</f>
        <v>11225561</v>
      </c>
      <c r="J1223" s="105" t="e">
        <f>+SUM(J1206:J1222)</f>
        <v>#REF!</v>
      </c>
      <c r="K1223" s="5" t="e">
        <f>J1223=I1195</f>
        <v>#REF!</v>
      </c>
      <c r="L1223" s="5"/>
      <c r="M1223" s="5"/>
      <c r="N1223" s="5"/>
      <c r="O1223" s="5"/>
    </row>
    <row r="1224" spans="1:15" ht="16.5">
      <c r="A1224" s="14"/>
      <c r="B1224" s="15"/>
      <c r="C1224" s="12"/>
      <c r="D1224" s="12"/>
      <c r="E1224" s="13"/>
      <c r="F1224" s="12"/>
      <c r="G1224" s="12"/>
      <c r="H1224" s="12"/>
      <c r="I1224" s="12"/>
      <c r="L1224" s="5"/>
      <c r="M1224" s="5"/>
      <c r="N1224" s="5"/>
      <c r="O1224" s="5"/>
    </row>
    <row r="1225" spans="1:15">
      <c r="A1225" s="16" t="s">
        <v>52</v>
      </c>
      <c r="B1225" s="16"/>
      <c r="C1225" s="16"/>
      <c r="D1225" s="17"/>
      <c r="E1225" s="17"/>
      <c r="F1225" s="17"/>
      <c r="G1225" s="17"/>
      <c r="H1225" s="17"/>
      <c r="I1225" s="17"/>
      <c r="L1225" s="5"/>
      <c r="M1225" s="5"/>
      <c r="N1225" s="5"/>
      <c r="O1225" s="5"/>
    </row>
    <row r="1226" spans="1:15">
      <c r="A1226" s="18" t="s">
        <v>128</v>
      </c>
      <c r="B1226" s="18"/>
      <c r="C1226" s="18"/>
      <c r="D1226" s="18"/>
      <c r="E1226" s="18"/>
      <c r="F1226" s="18"/>
      <c r="G1226" s="18"/>
      <c r="H1226" s="18"/>
      <c r="I1226" s="18"/>
      <c r="J1226" s="17"/>
      <c r="L1226" s="5"/>
      <c r="M1226" s="5"/>
      <c r="N1226" s="5"/>
      <c r="O1226" s="5"/>
    </row>
    <row r="1227" spans="1:15">
      <c r="A1227" s="19"/>
      <c r="B1227" s="17"/>
      <c r="C1227" s="20"/>
      <c r="D1227" s="20"/>
      <c r="E1227" s="20"/>
      <c r="F1227" s="20"/>
      <c r="G1227" s="20"/>
      <c r="H1227" s="17"/>
      <c r="I1227" s="17"/>
      <c r="J1227" s="18"/>
      <c r="L1227" s="5"/>
      <c r="M1227" s="5"/>
      <c r="N1227" s="5"/>
      <c r="O1227" s="5"/>
    </row>
    <row r="1228" spans="1:15">
      <c r="A1228" s="242" t="s">
        <v>53</v>
      </c>
      <c r="B1228" s="244" t="s">
        <v>54</v>
      </c>
      <c r="C1228" s="246" t="s">
        <v>129</v>
      </c>
      <c r="D1228" s="248" t="s">
        <v>55</v>
      </c>
      <c r="E1228" s="249"/>
      <c r="F1228" s="249"/>
      <c r="G1228" s="250"/>
      <c r="H1228" s="251" t="s">
        <v>56</v>
      </c>
      <c r="I1228" s="238" t="s">
        <v>57</v>
      </c>
      <c r="J1228" s="17"/>
      <c r="L1228" s="5"/>
      <c r="M1228" s="5"/>
      <c r="N1228" s="5"/>
      <c r="O1228" s="5"/>
    </row>
    <row r="1229" spans="1:15">
      <c r="A1229" s="243"/>
      <c r="B1229" s="245"/>
      <c r="C1229" s="247"/>
      <c r="D1229" s="21" t="s">
        <v>24</v>
      </c>
      <c r="E1229" s="21" t="s">
        <v>25</v>
      </c>
      <c r="F1229" s="22" t="s">
        <v>123</v>
      </c>
      <c r="G1229" s="21" t="s">
        <v>58</v>
      </c>
      <c r="H1229" s="252"/>
      <c r="I1229" s="239"/>
      <c r="J1229" s="240" t="s">
        <v>130</v>
      </c>
      <c r="K1229" s="143"/>
      <c r="L1229" s="5"/>
      <c r="M1229" s="5"/>
      <c r="N1229" s="5"/>
      <c r="O1229" s="5"/>
    </row>
    <row r="1230" spans="1:15">
      <c r="A1230" s="23"/>
      <c r="B1230" s="24" t="s">
        <v>59</v>
      </c>
      <c r="C1230" s="25"/>
      <c r="D1230" s="25"/>
      <c r="E1230" s="25"/>
      <c r="F1230" s="25"/>
      <c r="G1230" s="25"/>
      <c r="H1230" s="25"/>
      <c r="I1230" s="26"/>
      <c r="J1230" s="241"/>
      <c r="K1230" s="143"/>
      <c r="L1230" s="5"/>
      <c r="M1230" s="5"/>
      <c r="N1230" s="5"/>
      <c r="O1230" s="5"/>
    </row>
    <row r="1231" spans="1:15">
      <c r="A1231" s="122" t="s">
        <v>131</v>
      </c>
      <c r="B1231" s="127" t="s">
        <v>76</v>
      </c>
      <c r="C1231" s="32">
        <v>40050</v>
      </c>
      <c r="D1231" s="31"/>
      <c r="E1231" s="32">
        <v>104000</v>
      </c>
      <c r="F1231" s="32"/>
      <c r="G1231" s="32"/>
      <c r="H1231" s="55">
        <v>54000</v>
      </c>
      <c r="I1231" s="32">
        <v>81000</v>
      </c>
      <c r="J1231" s="30">
        <f>+SUM(C1231:G1231)-(H1231+I1231)</f>
        <v>9050</v>
      </c>
      <c r="K1231" s="144" t="e">
        <f>J1231=#REF!</f>
        <v>#REF!</v>
      </c>
      <c r="L1231" s="5"/>
      <c r="M1231" s="5"/>
      <c r="N1231" s="5"/>
      <c r="O1231" s="5"/>
    </row>
    <row r="1232" spans="1:15">
      <c r="A1232" s="122" t="s">
        <v>131</v>
      </c>
      <c r="B1232" s="127" t="s">
        <v>47</v>
      </c>
      <c r="C1232" s="32">
        <v>38845</v>
      </c>
      <c r="D1232" s="31"/>
      <c r="E1232" s="32">
        <v>1550000</v>
      </c>
      <c r="F1232" s="32"/>
      <c r="G1232" s="32"/>
      <c r="H1232" s="55">
        <v>311000</v>
      </c>
      <c r="I1232" s="32">
        <v>1017400</v>
      </c>
      <c r="J1232" s="30">
        <f t="shared" ref="J1232:J1233" si="648">+SUM(C1232:G1232)-(H1232+I1232)</f>
        <v>260445</v>
      </c>
      <c r="K1232" s="144" t="b">
        <f>J1232=I1184</f>
        <v>0</v>
      </c>
      <c r="L1232" s="5"/>
      <c r="M1232" s="5"/>
      <c r="N1232" s="5"/>
      <c r="O1232" s="5"/>
    </row>
    <row r="1233" spans="1:15">
      <c r="A1233" s="122" t="s">
        <v>131</v>
      </c>
      <c r="B1233" s="127" t="s">
        <v>31</v>
      </c>
      <c r="C1233" s="32">
        <v>6895</v>
      </c>
      <c r="D1233" s="31"/>
      <c r="E1233" s="32">
        <v>581000</v>
      </c>
      <c r="F1233" s="32"/>
      <c r="G1233" s="32"/>
      <c r="H1233" s="32"/>
      <c r="I1233" s="32">
        <v>498900</v>
      </c>
      <c r="J1233" s="101">
        <f t="shared" si="648"/>
        <v>88995</v>
      </c>
      <c r="K1233" s="144" t="b">
        <f>J1233=I1185</f>
        <v>0</v>
      </c>
      <c r="L1233" s="5"/>
      <c r="M1233" s="5"/>
      <c r="N1233" s="5"/>
      <c r="O1233" s="5"/>
    </row>
    <row r="1234" spans="1:15">
      <c r="A1234" s="122" t="s">
        <v>131</v>
      </c>
      <c r="B1234" s="127" t="s">
        <v>77</v>
      </c>
      <c r="C1234" s="32">
        <v>28540</v>
      </c>
      <c r="D1234" s="104"/>
      <c r="E1234" s="32">
        <v>332000</v>
      </c>
      <c r="F1234" s="32">
        <v>10000</v>
      </c>
      <c r="G1234" s="32"/>
      <c r="H1234" s="32"/>
      <c r="I1234" s="32">
        <v>302850</v>
      </c>
      <c r="J1234" s="101">
        <f>+SUM(C1234:G1234)-(H1234+I1234)</f>
        <v>67690</v>
      </c>
      <c r="K1234" s="144" t="b">
        <f>J1234=I1186</f>
        <v>0</v>
      </c>
      <c r="L1234" s="5"/>
      <c r="M1234" s="5"/>
      <c r="N1234" s="5"/>
      <c r="O1234" s="5"/>
    </row>
    <row r="1235" spans="1:15">
      <c r="A1235" s="122" t="s">
        <v>131</v>
      </c>
      <c r="B1235" s="127" t="s">
        <v>69</v>
      </c>
      <c r="C1235" s="32">
        <v>184</v>
      </c>
      <c r="D1235" s="104"/>
      <c r="E1235" s="32"/>
      <c r="F1235" s="32"/>
      <c r="G1235" s="32"/>
      <c r="H1235" s="32">
        <v>184</v>
      </c>
      <c r="I1235" s="32"/>
      <c r="J1235" s="101">
        <f t="shared" ref="J1235" si="649">+SUM(C1235:G1235)-(H1235+I1235)</f>
        <v>0</v>
      </c>
      <c r="K1235" s="144" t="e">
        <f>J1235=#REF!</f>
        <v>#REF!</v>
      </c>
      <c r="L1235" s="5"/>
      <c r="M1235" s="5"/>
      <c r="N1235" s="5"/>
      <c r="O1235" s="5"/>
    </row>
    <row r="1236" spans="1:15">
      <c r="A1236" s="122" t="s">
        <v>131</v>
      </c>
      <c r="B1236" s="128" t="s">
        <v>30</v>
      </c>
      <c r="C1236" s="32">
        <v>68200</v>
      </c>
      <c r="D1236" s="119"/>
      <c r="E1236" s="51">
        <v>638000</v>
      </c>
      <c r="F1236" s="51">
        <v>45000</v>
      </c>
      <c r="G1236" s="51"/>
      <c r="H1236" s="51"/>
      <c r="I1236" s="51">
        <v>787385</v>
      </c>
      <c r="J1236" s="124">
        <f>+SUM(C1236:G1236)-(H1236+I1236)</f>
        <v>-36185</v>
      </c>
      <c r="K1236" s="144" t="b">
        <f t="shared" ref="K1236:K1243" si="650">J1236=I1187</f>
        <v>0</v>
      </c>
      <c r="L1236" s="5"/>
      <c r="M1236" s="5"/>
      <c r="N1236" s="5"/>
      <c r="O1236" s="5"/>
    </row>
    <row r="1237" spans="1:15">
      <c r="A1237" s="122" t="s">
        <v>131</v>
      </c>
      <c r="B1237" s="129" t="s">
        <v>84</v>
      </c>
      <c r="C1237" s="120">
        <v>233614</v>
      </c>
      <c r="D1237" s="123"/>
      <c r="E1237" s="137"/>
      <c r="F1237" s="137"/>
      <c r="G1237" s="137"/>
      <c r="H1237" s="137"/>
      <c r="I1237" s="137"/>
      <c r="J1237" s="121">
        <f>+SUM(C1237:G1237)-(H1237+I1237)</f>
        <v>233614</v>
      </c>
      <c r="K1237" s="144" t="b">
        <f t="shared" si="650"/>
        <v>0</v>
      </c>
      <c r="L1237" s="5"/>
      <c r="M1237" s="5"/>
      <c r="N1237" s="5"/>
      <c r="O1237" s="5"/>
    </row>
    <row r="1238" spans="1:15">
      <c r="A1238" s="122" t="s">
        <v>131</v>
      </c>
      <c r="B1238" s="129" t="s">
        <v>83</v>
      </c>
      <c r="C1238" s="120">
        <v>249769</v>
      </c>
      <c r="D1238" s="123"/>
      <c r="E1238" s="137"/>
      <c r="F1238" s="137"/>
      <c r="G1238" s="137"/>
      <c r="H1238" s="137"/>
      <c r="I1238" s="137"/>
      <c r="J1238" s="121">
        <f t="shared" ref="J1238:J1243" si="651">+SUM(C1238:G1238)-(H1238+I1238)</f>
        <v>249769</v>
      </c>
      <c r="K1238" s="144" t="b">
        <f t="shared" si="650"/>
        <v>0</v>
      </c>
      <c r="L1238" s="5"/>
      <c r="M1238" s="5"/>
      <c r="N1238" s="5"/>
      <c r="O1238" s="5"/>
    </row>
    <row r="1239" spans="1:15">
      <c r="A1239" s="122" t="s">
        <v>131</v>
      </c>
      <c r="B1239" s="127" t="s">
        <v>35</v>
      </c>
      <c r="C1239" s="32">
        <v>-4675</v>
      </c>
      <c r="D1239" s="31"/>
      <c r="E1239" s="32">
        <v>494000</v>
      </c>
      <c r="F1239" s="32">
        <v>256000</v>
      </c>
      <c r="G1239" s="104"/>
      <c r="H1239" s="104">
        <v>6500</v>
      </c>
      <c r="I1239" s="32">
        <v>607250</v>
      </c>
      <c r="J1239" s="30">
        <f t="shared" si="651"/>
        <v>131575</v>
      </c>
      <c r="K1239" s="144" t="b">
        <f t="shared" si="650"/>
        <v>0</v>
      </c>
      <c r="L1239" s="5"/>
      <c r="M1239" s="5"/>
      <c r="N1239" s="5"/>
      <c r="O1239" s="5"/>
    </row>
    <row r="1240" spans="1:15">
      <c r="A1240" s="122" t="s">
        <v>131</v>
      </c>
      <c r="B1240" s="127" t="s">
        <v>93</v>
      </c>
      <c r="C1240" s="32">
        <v>5000</v>
      </c>
      <c r="D1240" s="31"/>
      <c r="E1240" s="32">
        <v>30000</v>
      </c>
      <c r="F1240" s="104"/>
      <c r="G1240" s="104"/>
      <c r="H1240" s="104"/>
      <c r="I1240" s="32">
        <v>29500</v>
      </c>
      <c r="J1240" s="30">
        <f t="shared" si="651"/>
        <v>5500</v>
      </c>
      <c r="K1240" s="144" t="b">
        <f t="shared" si="650"/>
        <v>0</v>
      </c>
      <c r="L1240" s="5"/>
      <c r="M1240" s="5"/>
      <c r="N1240" s="5"/>
      <c r="O1240" s="5"/>
    </row>
    <row r="1241" spans="1:15">
      <c r="A1241" s="122" t="s">
        <v>131</v>
      </c>
      <c r="B1241" s="127" t="s">
        <v>29</v>
      </c>
      <c r="C1241" s="32">
        <v>72800</v>
      </c>
      <c r="D1241" s="31"/>
      <c r="E1241" s="32">
        <v>446000</v>
      </c>
      <c r="F1241" s="104"/>
      <c r="G1241" s="104"/>
      <c r="H1241" s="104"/>
      <c r="I1241" s="32">
        <v>512600</v>
      </c>
      <c r="J1241" s="30">
        <f t="shared" si="651"/>
        <v>6200</v>
      </c>
      <c r="K1241" s="144" t="b">
        <f t="shared" si="650"/>
        <v>0</v>
      </c>
      <c r="L1241" s="5"/>
      <c r="M1241" s="5"/>
      <c r="N1241" s="5"/>
      <c r="O1241" s="5"/>
    </row>
    <row r="1242" spans="1:15">
      <c r="A1242" s="122" t="s">
        <v>131</v>
      </c>
      <c r="B1242" s="127" t="s">
        <v>32</v>
      </c>
      <c r="C1242" s="32">
        <v>47300</v>
      </c>
      <c r="D1242" s="31"/>
      <c r="E1242" s="32">
        <v>5000</v>
      </c>
      <c r="F1242" s="104">
        <v>6500</v>
      </c>
      <c r="G1242" s="104"/>
      <c r="H1242" s="32">
        <v>20000</v>
      </c>
      <c r="I1242" s="32">
        <v>8000</v>
      </c>
      <c r="J1242" s="30">
        <f t="shared" si="651"/>
        <v>30800</v>
      </c>
      <c r="K1242" s="144" t="b">
        <f t="shared" si="650"/>
        <v>0</v>
      </c>
      <c r="L1242" s="5"/>
      <c r="M1242" s="5"/>
      <c r="N1242" s="5"/>
      <c r="O1242" s="5"/>
    </row>
    <row r="1243" spans="1:15">
      <c r="A1243" s="122" t="s">
        <v>131</v>
      </c>
      <c r="B1243" s="128" t="s">
        <v>113</v>
      </c>
      <c r="C1243" s="32">
        <v>79600</v>
      </c>
      <c r="D1243" s="119"/>
      <c r="E1243" s="51"/>
      <c r="F1243" s="51"/>
      <c r="G1243" s="138"/>
      <c r="H1243" s="51"/>
      <c r="I1243" s="51">
        <v>37707</v>
      </c>
      <c r="J1243" s="30">
        <f t="shared" si="651"/>
        <v>41893</v>
      </c>
      <c r="K1243" s="144" t="b">
        <f t="shared" si="650"/>
        <v>0</v>
      </c>
      <c r="L1243" s="5"/>
      <c r="M1243" s="5"/>
      <c r="N1243" s="5"/>
      <c r="O1243" s="5"/>
    </row>
    <row r="1244" spans="1:15">
      <c r="A1244" s="34" t="s">
        <v>60</v>
      </c>
      <c r="B1244" s="35"/>
      <c r="C1244" s="35"/>
      <c r="D1244" s="35"/>
      <c r="E1244" s="35"/>
      <c r="F1244" s="35"/>
      <c r="G1244" s="35"/>
      <c r="H1244" s="35"/>
      <c r="I1244" s="35"/>
      <c r="J1244" s="36"/>
      <c r="K1244" s="143"/>
      <c r="L1244" s="5"/>
      <c r="M1244" s="5"/>
      <c r="N1244" s="5"/>
      <c r="O1244" s="5"/>
    </row>
    <row r="1245" spans="1:15">
      <c r="A1245" s="122" t="s">
        <v>131</v>
      </c>
      <c r="B1245" s="37" t="s">
        <v>61</v>
      </c>
      <c r="C1245" s="38">
        <v>467929</v>
      </c>
      <c r="D1245" s="49">
        <v>6310000</v>
      </c>
      <c r="E1245" s="103"/>
      <c r="F1245" s="49">
        <v>74184</v>
      </c>
      <c r="G1245" s="139"/>
      <c r="H1245" s="131">
        <v>4180000</v>
      </c>
      <c r="I1245" s="126">
        <v>1710965</v>
      </c>
      <c r="J1245" s="30">
        <f>+SUM(C1245:G1245)-(H1245+I1245)</f>
        <v>961148</v>
      </c>
      <c r="K1245" s="144" t="b">
        <f>J1245=I1183</f>
        <v>0</v>
      </c>
      <c r="L1245" s="5"/>
      <c r="M1245" s="5"/>
      <c r="N1245" s="5"/>
      <c r="O1245" s="5"/>
    </row>
    <row r="1246" spans="1:15">
      <c r="A1246" s="43" t="s">
        <v>62</v>
      </c>
      <c r="B1246" s="24"/>
      <c r="C1246" s="35"/>
      <c r="D1246" s="24"/>
      <c r="E1246" s="24"/>
      <c r="F1246" s="24"/>
      <c r="G1246" s="24"/>
      <c r="H1246" s="24"/>
      <c r="I1246" s="24"/>
      <c r="J1246" s="36"/>
      <c r="K1246" s="143"/>
      <c r="L1246" s="5"/>
      <c r="M1246" s="5"/>
      <c r="N1246" s="5"/>
      <c r="O1246" s="5"/>
    </row>
    <row r="1247" spans="1:15">
      <c r="A1247" s="122" t="s">
        <v>131</v>
      </c>
      <c r="B1247" s="37" t="s">
        <v>63</v>
      </c>
      <c r="C1247" s="125">
        <v>7405927</v>
      </c>
      <c r="D1247" s="132"/>
      <c r="E1247" s="49"/>
      <c r="F1247" s="49"/>
      <c r="G1247" s="49"/>
      <c r="H1247" s="51">
        <v>2000000</v>
      </c>
      <c r="I1247" s="53">
        <v>1710232</v>
      </c>
      <c r="J1247" s="30">
        <f>+SUM(C1247:G1247)-(H1247+I1247)</f>
        <v>3695695</v>
      </c>
      <c r="K1247" s="144" t="e">
        <f>+J1247=#REF!</f>
        <v>#REF!</v>
      </c>
      <c r="L1247" s="5"/>
      <c r="M1247" s="5"/>
      <c r="N1247" s="5"/>
      <c r="O1247" s="5"/>
    </row>
    <row r="1248" spans="1:15">
      <c r="A1248" s="122" t="s">
        <v>131</v>
      </c>
      <c r="B1248" s="37" t="s">
        <v>64</v>
      </c>
      <c r="C1248" s="125">
        <v>22972065</v>
      </c>
      <c r="D1248" s="49"/>
      <c r="E1248" s="48"/>
      <c r="F1248" s="48"/>
      <c r="G1248" s="48"/>
      <c r="H1248" s="32">
        <v>4310000</v>
      </c>
      <c r="I1248" s="50">
        <v>3055511</v>
      </c>
      <c r="J1248" s="30">
        <f>SUM(C1248:G1248)-(H1248+I1248)</f>
        <v>15606554</v>
      </c>
      <c r="K1248" s="144" t="b">
        <f>+J1248=I1182</f>
        <v>0</v>
      </c>
      <c r="L1248" s="5"/>
      <c r="M1248" s="5"/>
      <c r="N1248" s="5"/>
      <c r="O1248" s="5"/>
    </row>
    <row r="1249" spans="1:15" ht="15.75">
      <c r="C1249" s="141">
        <f>SUM(C1231:C1248)</f>
        <v>31712043</v>
      </c>
      <c r="I1249" s="140">
        <f>SUM(I1231:I1248)</f>
        <v>10359300</v>
      </c>
      <c r="J1249" s="105">
        <f>+SUM(J1231:J1248)</f>
        <v>21352743</v>
      </c>
      <c r="K1249" s="5" t="b">
        <f>J1249=I1195</f>
        <v>0</v>
      </c>
      <c r="L1249" s="5"/>
      <c r="M1249" s="5"/>
      <c r="N1249" s="5"/>
      <c r="O1249" s="5"/>
    </row>
    <row r="1250" spans="1:15" ht="16.5">
      <c r="A1250" s="14"/>
      <c r="B1250" s="15"/>
      <c r="C1250" s="12"/>
      <c r="D1250" s="12"/>
      <c r="E1250" s="13"/>
      <c r="F1250" s="12"/>
      <c r="G1250" s="12"/>
      <c r="H1250" s="12"/>
      <c r="I1250" s="12"/>
      <c r="L1250" s="5"/>
      <c r="M1250" s="5"/>
      <c r="N1250" s="5"/>
      <c r="O1250" s="5"/>
    </row>
    <row r="1251" spans="1:15">
      <c r="A1251" s="16" t="s">
        <v>52</v>
      </c>
      <c r="B1251" s="16"/>
      <c r="C1251" s="16"/>
      <c r="D1251" s="17"/>
      <c r="E1251" s="17"/>
      <c r="F1251" s="17"/>
      <c r="G1251" s="17"/>
      <c r="H1251" s="17"/>
      <c r="I1251" s="17"/>
      <c r="L1251" s="5"/>
      <c r="M1251" s="5"/>
      <c r="N1251" s="5"/>
      <c r="O1251" s="5"/>
    </row>
    <row r="1252" spans="1:15">
      <c r="A1252" s="18" t="s">
        <v>124</v>
      </c>
      <c r="B1252" s="18"/>
      <c r="C1252" s="18"/>
      <c r="D1252" s="18"/>
      <c r="E1252" s="18"/>
      <c r="F1252" s="18"/>
      <c r="G1252" s="18"/>
      <c r="H1252" s="18"/>
      <c r="I1252" s="18"/>
      <c r="J1252" s="17"/>
      <c r="L1252" s="5"/>
      <c r="M1252" s="5"/>
      <c r="N1252" s="5"/>
      <c r="O1252" s="5"/>
    </row>
    <row r="1253" spans="1:15">
      <c r="A1253" s="19"/>
      <c r="B1253" s="17"/>
      <c r="C1253" s="20"/>
      <c r="D1253" s="20"/>
      <c r="E1253" s="20"/>
      <c r="F1253" s="20"/>
      <c r="G1253" s="20"/>
      <c r="H1253" s="17"/>
      <c r="I1253" s="17"/>
      <c r="J1253" s="18"/>
      <c r="L1253" s="5"/>
      <c r="M1253" s="5"/>
      <c r="N1253" s="5"/>
      <c r="O1253" s="5"/>
    </row>
    <row r="1254" spans="1:15">
      <c r="A1254" s="242" t="s">
        <v>53</v>
      </c>
      <c r="B1254" s="244" t="s">
        <v>54</v>
      </c>
      <c r="C1254" s="246" t="s">
        <v>125</v>
      </c>
      <c r="D1254" s="248" t="s">
        <v>55</v>
      </c>
      <c r="E1254" s="249"/>
      <c r="F1254" s="249"/>
      <c r="G1254" s="250"/>
      <c r="H1254" s="251" t="s">
        <v>56</v>
      </c>
      <c r="I1254" s="238" t="s">
        <v>57</v>
      </c>
      <c r="J1254" s="17"/>
      <c r="L1254" s="5"/>
      <c r="M1254" s="5"/>
      <c r="N1254" s="5"/>
      <c r="O1254" s="5"/>
    </row>
    <row r="1255" spans="1:15">
      <c r="A1255" s="243"/>
      <c r="B1255" s="245"/>
      <c r="C1255" s="247"/>
      <c r="D1255" s="21" t="s">
        <v>24</v>
      </c>
      <c r="E1255" s="21" t="s">
        <v>25</v>
      </c>
      <c r="F1255" s="22" t="s">
        <v>123</v>
      </c>
      <c r="G1255" s="21" t="s">
        <v>58</v>
      </c>
      <c r="H1255" s="252"/>
      <c r="I1255" s="239"/>
      <c r="J1255" s="240" t="s">
        <v>126</v>
      </c>
      <c r="K1255" s="143"/>
      <c r="L1255" s="5"/>
      <c r="M1255" s="5"/>
      <c r="N1255" s="5"/>
      <c r="O1255" s="5"/>
    </row>
    <row r="1256" spans="1:15">
      <c r="A1256" s="23"/>
      <c r="B1256" s="24" t="s">
        <v>59</v>
      </c>
      <c r="C1256" s="25"/>
      <c r="D1256" s="25"/>
      <c r="E1256" s="25"/>
      <c r="F1256" s="25"/>
      <c r="G1256" s="25"/>
      <c r="H1256" s="25"/>
      <c r="I1256" s="26"/>
      <c r="J1256" s="241"/>
      <c r="K1256" s="143"/>
      <c r="L1256" s="5"/>
      <c r="M1256" s="5"/>
      <c r="N1256" s="5"/>
      <c r="O1256" s="5"/>
    </row>
    <row r="1257" spans="1:15">
      <c r="A1257" s="122" t="s">
        <v>127</v>
      </c>
      <c r="B1257" s="127" t="s">
        <v>76</v>
      </c>
      <c r="C1257" s="32">
        <v>-450</v>
      </c>
      <c r="D1257" s="31"/>
      <c r="E1257" s="32">
        <v>168000</v>
      </c>
      <c r="F1257" s="32">
        <v>55000</v>
      </c>
      <c r="G1257" s="32"/>
      <c r="H1257" s="55"/>
      <c r="I1257" s="32">
        <v>182500</v>
      </c>
      <c r="J1257" s="30">
        <f>+SUM(C1257:G1257)-(H1257+I1257)</f>
        <v>40050</v>
      </c>
      <c r="K1257" s="144"/>
      <c r="L1257" s="5"/>
      <c r="M1257" s="5"/>
      <c r="N1257" s="5"/>
      <c r="O1257" s="5"/>
    </row>
    <row r="1258" spans="1:15">
      <c r="A1258" s="122" t="s">
        <v>127</v>
      </c>
      <c r="B1258" s="127" t="s">
        <v>47</v>
      </c>
      <c r="C1258" s="32">
        <v>12510</v>
      </c>
      <c r="D1258" s="31"/>
      <c r="E1258" s="32">
        <v>303000</v>
      </c>
      <c r="F1258" s="32"/>
      <c r="G1258" s="32"/>
      <c r="H1258" s="55"/>
      <c r="I1258" s="32">
        <v>276665</v>
      </c>
      <c r="J1258" s="30">
        <f t="shared" ref="J1258:J1259" si="652">+SUM(C1258:G1258)-(H1258+I1258)</f>
        <v>38845</v>
      </c>
      <c r="K1258" s="144"/>
      <c r="L1258" s="5"/>
      <c r="M1258" s="5"/>
      <c r="N1258" s="5"/>
      <c r="O1258" s="5"/>
    </row>
    <row r="1259" spans="1:15">
      <c r="A1259" s="122" t="s">
        <v>127</v>
      </c>
      <c r="B1259" s="127" t="s">
        <v>31</v>
      </c>
      <c r="C1259" s="32">
        <v>2895</v>
      </c>
      <c r="D1259" s="31"/>
      <c r="E1259" s="32">
        <v>40000</v>
      </c>
      <c r="F1259" s="32"/>
      <c r="G1259" s="32"/>
      <c r="H1259" s="32"/>
      <c r="I1259" s="32">
        <v>36000</v>
      </c>
      <c r="J1259" s="101">
        <f t="shared" si="652"/>
        <v>6895</v>
      </c>
      <c r="K1259" s="144"/>
      <c r="L1259" s="5"/>
      <c r="M1259" s="5"/>
      <c r="N1259" s="5"/>
      <c r="O1259" s="5"/>
    </row>
    <row r="1260" spans="1:15">
      <c r="A1260" s="122" t="s">
        <v>127</v>
      </c>
      <c r="B1260" s="127" t="s">
        <v>77</v>
      </c>
      <c r="C1260" s="32">
        <v>62040</v>
      </c>
      <c r="D1260" s="104"/>
      <c r="E1260" s="32"/>
      <c r="F1260" s="32"/>
      <c r="G1260" s="32"/>
      <c r="H1260" s="32">
        <v>25000</v>
      </c>
      <c r="I1260" s="32">
        <v>8500</v>
      </c>
      <c r="J1260" s="101">
        <f>+SUM(C1260:G1260)-(H1260+I1260)</f>
        <v>28540</v>
      </c>
      <c r="K1260" s="144"/>
      <c r="L1260" s="5"/>
      <c r="M1260" s="5"/>
      <c r="N1260" s="5"/>
      <c r="O1260" s="5"/>
    </row>
    <row r="1261" spans="1:15">
      <c r="A1261" s="122" t="s">
        <v>127</v>
      </c>
      <c r="B1261" s="127" t="s">
        <v>69</v>
      </c>
      <c r="C1261" s="32">
        <v>184</v>
      </c>
      <c r="D1261" s="104"/>
      <c r="E1261" s="32">
        <v>0</v>
      </c>
      <c r="F1261" s="32"/>
      <c r="G1261" s="32"/>
      <c r="H1261" s="32"/>
      <c r="I1261" s="32">
        <v>0</v>
      </c>
      <c r="J1261" s="101">
        <f t="shared" ref="J1261" si="653">+SUM(C1261:G1261)-(H1261+I1261)</f>
        <v>184</v>
      </c>
      <c r="K1261" s="144"/>
      <c r="L1261" s="5"/>
      <c r="M1261" s="5"/>
      <c r="N1261" s="5"/>
      <c r="O1261" s="5"/>
    </row>
    <row r="1262" spans="1:15">
      <c r="A1262" s="122" t="s">
        <v>127</v>
      </c>
      <c r="B1262" s="128" t="s">
        <v>30</v>
      </c>
      <c r="C1262" s="32">
        <v>-36500</v>
      </c>
      <c r="D1262" s="119"/>
      <c r="E1262" s="51">
        <v>523500</v>
      </c>
      <c r="F1262" s="51"/>
      <c r="G1262" s="51"/>
      <c r="H1262" s="51"/>
      <c r="I1262" s="51">
        <v>418800</v>
      </c>
      <c r="J1262" s="124">
        <f>+SUM(C1262:G1262)-(H1262+I1262)</f>
        <v>68200</v>
      </c>
      <c r="K1262" s="144"/>
      <c r="L1262" s="5"/>
      <c r="M1262" s="5"/>
      <c r="N1262" s="5"/>
      <c r="O1262" s="5"/>
    </row>
    <row r="1263" spans="1:15">
      <c r="A1263" s="122" t="s">
        <v>127</v>
      </c>
      <c r="B1263" s="129" t="s">
        <v>84</v>
      </c>
      <c r="C1263" s="120">
        <v>233614</v>
      </c>
      <c r="D1263" s="123"/>
      <c r="E1263" s="137"/>
      <c r="F1263" s="137"/>
      <c r="G1263" s="137"/>
      <c r="H1263" s="137"/>
      <c r="I1263" s="137"/>
      <c r="J1263" s="121">
        <f>+SUM(C1263:G1263)-(H1263+I1263)</f>
        <v>233614</v>
      </c>
      <c r="K1263" s="144"/>
      <c r="L1263" s="5"/>
      <c r="M1263" s="5"/>
      <c r="N1263" s="5"/>
      <c r="O1263" s="5"/>
    </row>
    <row r="1264" spans="1:15">
      <c r="A1264" s="122" t="s">
        <v>127</v>
      </c>
      <c r="B1264" s="129" t="s">
        <v>83</v>
      </c>
      <c r="C1264" s="120">
        <v>249769</v>
      </c>
      <c r="D1264" s="123"/>
      <c r="E1264" s="137"/>
      <c r="F1264" s="137"/>
      <c r="G1264" s="137"/>
      <c r="H1264" s="137"/>
      <c r="I1264" s="137"/>
      <c r="J1264" s="121">
        <f t="shared" ref="J1264:J1269" si="654">+SUM(C1264:G1264)-(H1264+I1264)</f>
        <v>249769</v>
      </c>
      <c r="K1264" s="144"/>
      <c r="L1264" s="5"/>
      <c r="M1264" s="5"/>
      <c r="N1264" s="5"/>
      <c r="O1264" s="5"/>
    </row>
    <row r="1265" spans="1:15">
      <c r="A1265" s="122" t="s">
        <v>127</v>
      </c>
      <c r="B1265" s="127" t="s">
        <v>35</v>
      </c>
      <c r="C1265" s="32">
        <v>71200</v>
      </c>
      <c r="D1265" s="31"/>
      <c r="E1265" s="32">
        <v>1056000</v>
      </c>
      <c r="F1265" s="32"/>
      <c r="G1265" s="104"/>
      <c r="H1265" s="104">
        <v>55000</v>
      </c>
      <c r="I1265" s="32">
        <v>1076875</v>
      </c>
      <c r="J1265" s="30">
        <f t="shared" si="654"/>
        <v>-4675</v>
      </c>
      <c r="K1265" s="144"/>
      <c r="L1265" s="5"/>
      <c r="M1265" s="5"/>
      <c r="N1265" s="5"/>
      <c r="O1265" s="5"/>
    </row>
    <row r="1266" spans="1:15">
      <c r="A1266" s="122" t="s">
        <v>127</v>
      </c>
      <c r="B1266" s="127" t="s">
        <v>93</v>
      </c>
      <c r="C1266" s="32">
        <v>6000</v>
      </c>
      <c r="D1266" s="31"/>
      <c r="E1266" s="32">
        <v>20000</v>
      </c>
      <c r="F1266" s="104"/>
      <c r="G1266" s="104"/>
      <c r="H1266" s="104"/>
      <c r="I1266" s="32">
        <v>21000</v>
      </c>
      <c r="J1266" s="30">
        <f t="shared" si="654"/>
        <v>5000</v>
      </c>
      <c r="K1266" s="144"/>
      <c r="L1266" s="5"/>
      <c r="M1266" s="5"/>
      <c r="N1266" s="5"/>
      <c r="O1266" s="5"/>
    </row>
    <row r="1267" spans="1:15">
      <c r="A1267" s="122" t="s">
        <v>127</v>
      </c>
      <c r="B1267" s="127" t="s">
        <v>29</v>
      </c>
      <c r="C1267" s="32">
        <v>167700</v>
      </c>
      <c r="D1267" s="31"/>
      <c r="E1267" s="32">
        <v>473000</v>
      </c>
      <c r="F1267" s="104"/>
      <c r="G1267" s="104"/>
      <c r="H1267" s="104"/>
      <c r="I1267" s="32">
        <v>567900</v>
      </c>
      <c r="J1267" s="30">
        <f t="shared" si="654"/>
        <v>72800</v>
      </c>
      <c r="K1267" s="144"/>
      <c r="L1267" s="5"/>
      <c r="M1267" s="5"/>
      <c r="N1267" s="5"/>
      <c r="O1267" s="5"/>
    </row>
    <row r="1268" spans="1:15">
      <c r="A1268" s="122" t="s">
        <v>127</v>
      </c>
      <c r="B1268" s="127" t="s">
        <v>32</v>
      </c>
      <c r="C1268" s="32">
        <v>65300</v>
      </c>
      <c r="D1268" s="31"/>
      <c r="E1268" s="32">
        <v>10000</v>
      </c>
      <c r="F1268" s="104"/>
      <c r="G1268" s="104"/>
      <c r="H1268" s="104">
        <v>20000</v>
      </c>
      <c r="I1268" s="32">
        <v>8000</v>
      </c>
      <c r="J1268" s="30">
        <f t="shared" si="654"/>
        <v>47300</v>
      </c>
      <c r="K1268" s="144"/>
      <c r="L1268" s="5"/>
      <c r="M1268" s="5"/>
      <c r="N1268" s="5"/>
      <c r="O1268" s="5"/>
    </row>
    <row r="1269" spans="1:15">
      <c r="A1269" s="122" t="s">
        <v>127</v>
      </c>
      <c r="B1269" s="128" t="s">
        <v>113</v>
      </c>
      <c r="C1269" s="32">
        <v>-11700</v>
      </c>
      <c r="D1269" s="119"/>
      <c r="E1269" s="51">
        <v>385800</v>
      </c>
      <c r="F1269" s="51"/>
      <c r="G1269" s="138"/>
      <c r="H1269" s="51"/>
      <c r="I1269" s="51">
        <v>294500</v>
      </c>
      <c r="J1269" s="30">
        <f t="shared" si="654"/>
        <v>79600</v>
      </c>
      <c r="K1269" s="144"/>
      <c r="L1269" s="5"/>
      <c r="M1269" s="5"/>
      <c r="N1269" s="5"/>
      <c r="O1269" s="5"/>
    </row>
    <row r="1270" spans="1:15">
      <c r="A1270" s="34" t="s">
        <v>60</v>
      </c>
      <c r="B1270" s="35"/>
      <c r="C1270" s="35"/>
      <c r="D1270" s="35"/>
      <c r="E1270" s="35"/>
      <c r="F1270" s="35"/>
      <c r="G1270" s="35"/>
      <c r="H1270" s="35"/>
      <c r="I1270" s="35"/>
      <c r="J1270" s="36"/>
      <c r="K1270" s="143"/>
      <c r="L1270" s="5"/>
      <c r="M1270" s="5"/>
      <c r="N1270" s="5"/>
      <c r="O1270" s="5"/>
    </row>
    <row r="1271" spans="1:15">
      <c r="A1271" s="122" t="s">
        <v>127</v>
      </c>
      <c r="B1271" s="37" t="s">
        <v>61</v>
      </c>
      <c r="C1271" s="38">
        <v>1672959</v>
      </c>
      <c r="D1271" s="49">
        <v>3341000</v>
      </c>
      <c r="E1271" s="103"/>
      <c r="F1271" s="103">
        <v>45000</v>
      </c>
      <c r="G1271" s="139"/>
      <c r="H1271" s="131">
        <v>2979300</v>
      </c>
      <c r="I1271" s="126">
        <v>1611730</v>
      </c>
      <c r="J1271" s="30">
        <f>+SUM(C1271:G1271)-(H1271+I1271)</f>
        <v>467929</v>
      </c>
      <c r="K1271" s="144"/>
      <c r="L1271" s="5"/>
      <c r="M1271" s="5"/>
      <c r="N1271" s="5"/>
      <c r="O1271" s="5"/>
    </row>
    <row r="1272" spans="1:15">
      <c r="A1272" s="43" t="s">
        <v>62</v>
      </c>
      <c r="B1272" s="24"/>
      <c r="C1272" s="35"/>
      <c r="D1272" s="24"/>
      <c r="E1272" s="24"/>
      <c r="F1272" s="24"/>
      <c r="G1272" s="24"/>
      <c r="H1272" s="24"/>
      <c r="I1272" s="24"/>
      <c r="J1272" s="36"/>
      <c r="K1272" s="143"/>
      <c r="L1272" s="5"/>
      <c r="M1272" s="5"/>
      <c r="N1272" s="5"/>
      <c r="O1272" s="5"/>
    </row>
    <row r="1273" spans="1:15">
      <c r="A1273" s="122" t="s">
        <v>127</v>
      </c>
      <c r="B1273" s="37" t="s">
        <v>63</v>
      </c>
      <c r="C1273" s="125">
        <v>2957378</v>
      </c>
      <c r="D1273" s="132">
        <v>7828953</v>
      </c>
      <c r="E1273" s="49"/>
      <c r="F1273" s="49"/>
      <c r="G1273" s="49"/>
      <c r="H1273" s="51">
        <v>3000000</v>
      </c>
      <c r="I1273" s="53">
        <v>380404</v>
      </c>
      <c r="J1273" s="30">
        <f>+SUM(C1273:G1273)-(H1273+I1273)</f>
        <v>7405927</v>
      </c>
      <c r="K1273" s="144"/>
      <c r="L1273" s="5"/>
      <c r="M1273" s="5"/>
      <c r="N1273" s="5"/>
      <c r="O1273" s="5"/>
    </row>
    <row r="1274" spans="1:15">
      <c r="A1274" s="122" t="s">
        <v>127</v>
      </c>
      <c r="B1274" s="37" t="s">
        <v>64</v>
      </c>
      <c r="C1274" s="125">
        <v>28018504</v>
      </c>
      <c r="D1274" s="49"/>
      <c r="E1274" s="48"/>
      <c r="F1274" s="48"/>
      <c r="G1274" s="48"/>
      <c r="H1274" s="32">
        <v>341000</v>
      </c>
      <c r="I1274" s="50">
        <v>4705439</v>
      </c>
      <c r="J1274" s="30">
        <f>SUM(C1274:G1274)-(H1274+I1274)</f>
        <v>22972065</v>
      </c>
      <c r="K1274" s="144"/>
      <c r="L1274" s="5"/>
      <c r="M1274" s="5"/>
      <c r="N1274" s="5"/>
      <c r="O1274" s="5"/>
    </row>
    <row r="1275" spans="1:15" ht="15.75">
      <c r="C1275" s="141">
        <f>SUM(C1257:C1274)</f>
        <v>33471403</v>
      </c>
      <c r="I1275" s="140">
        <f>SUM(I1257:I1274)</f>
        <v>9588313</v>
      </c>
      <c r="J1275" s="105">
        <f>+SUM(J1257:J1274)</f>
        <v>31712043</v>
      </c>
      <c r="L1275" s="5"/>
      <c r="M1275" s="5"/>
      <c r="N1275" s="5"/>
      <c r="O1275" s="5"/>
    </row>
    <row r="1276" spans="1:15" ht="16.5">
      <c r="A1276" s="14"/>
      <c r="B1276" s="15"/>
      <c r="C1276" s="12" t="e">
        <f>C1275=C1195</f>
        <v>#REF!</v>
      </c>
      <c r="D1276" s="12"/>
      <c r="E1276" s="13"/>
      <c r="F1276" s="12"/>
      <c r="G1276" s="12"/>
      <c r="H1276" s="12"/>
      <c r="I1276" s="12"/>
      <c r="L1276" s="5"/>
      <c r="M1276" s="5"/>
      <c r="N1276" s="5"/>
      <c r="O1276" s="5"/>
    </row>
    <row r="1277" spans="1:15">
      <c r="A1277" s="16" t="s">
        <v>52</v>
      </c>
      <c r="B1277" s="16"/>
      <c r="C1277" s="16"/>
      <c r="D1277" s="17"/>
      <c r="E1277" s="17"/>
      <c r="F1277" s="17"/>
      <c r="G1277" s="17"/>
      <c r="H1277" s="17"/>
      <c r="I1277" s="17"/>
      <c r="L1277" s="5"/>
      <c r="M1277" s="5"/>
      <c r="N1277" s="5"/>
      <c r="O1277" s="5"/>
    </row>
    <row r="1278" spans="1:15">
      <c r="A1278" s="18" t="s">
        <v>119</v>
      </c>
      <c r="B1278" s="18"/>
      <c r="C1278" s="18"/>
      <c r="D1278" s="18"/>
      <c r="E1278" s="18"/>
      <c r="F1278" s="18"/>
      <c r="G1278" s="18"/>
      <c r="H1278" s="18"/>
      <c r="I1278" s="18"/>
      <c r="J1278" s="17"/>
      <c r="L1278" s="5"/>
      <c r="M1278" s="5"/>
      <c r="N1278" s="5"/>
      <c r="O1278" s="5"/>
    </row>
    <row r="1279" spans="1:15">
      <c r="A1279" s="19"/>
      <c r="B1279" s="17"/>
      <c r="C1279" s="20"/>
      <c r="D1279" s="20"/>
      <c r="E1279" s="20"/>
      <c r="F1279" s="20"/>
      <c r="G1279" s="20"/>
      <c r="H1279" s="17"/>
      <c r="I1279" s="17"/>
      <c r="J1279" s="18"/>
      <c r="L1279" s="5"/>
      <c r="M1279" s="5"/>
      <c r="N1279" s="5"/>
      <c r="O1279" s="5"/>
    </row>
    <row r="1280" spans="1:15">
      <c r="A1280" s="242" t="s">
        <v>53</v>
      </c>
      <c r="B1280" s="244" t="s">
        <v>54</v>
      </c>
      <c r="C1280" s="246" t="s">
        <v>121</v>
      </c>
      <c r="D1280" s="248" t="s">
        <v>55</v>
      </c>
      <c r="E1280" s="249"/>
      <c r="F1280" s="249"/>
      <c r="G1280" s="250"/>
      <c r="H1280" s="251" t="s">
        <v>56</v>
      </c>
      <c r="I1280" s="238" t="s">
        <v>57</v>
      </c>
      <c r="J1280" s="17"/>
      <c r="L1280" s="5"/>
      <c r="M1280" s="5"/>
      <c r="N1280" s="5"/>
      <c r="O1280" s="5"/>
    </row>
    <row r="1281" spans="1:15">
      <c r="A1281" s="243"/>
      <c r="B1281" s="245"/>
      <c r="C1281" s="247"/>
      <c r="D1281" s="21" t="s">
        <v>24</v>
      </c>
      <c r="E1281" s="21" t="s">
        <v>25</v>
      </c>
      <c r="F1281" s="22" t="s">
        <v>123</v>
      </c>
      <c r="G1281" s="21" t="s">
        <v>58</v>
      </c>
      <c r="H1281" s="252"/>
      <c r="I1281" s="239"/>
      <c r="J1281" s="240" t="s">
        <v>122</v>
      </c>
      <c r="K1281" s="143"/>
      <c r="L1281" s="5"/>
      <c r="M1281" s="5"/>
      <c r="N1281" s="5"/>
      <c r="O1281" s="5"/>
    </row>
    <row r="1282" spans="1:15">
      <c r="A1282" s="23"/>
      <c r="B1282" s="24" t="s">
        <v>59</v>
      </c>
      <c r="C1282" s="25"/>
      <c r="D1282" s="25"/>
      <c r="E1282" s="25"/>
      <c r="F1282" s="25"/>
      <c r="G1282" s="25"/>
      <c r="H1282" s="25"/>
      <c r="I1282" s="26"/>
      <c r="J1282" s="241"/>
      <c r="K1282" s="143"/>
      <c r="L1282" s="5"/>
      <c r="M1282" s="5"/>
      <c r="N1282" s="5"/>
      <c r="O1282" s="5"/>
    </row>
    <row r="1283" spans="1:15">
      <c r="A1283" s="122" t="s">
        <v>120</v>
      </c>
      <c r="B1283" s="127" t="s">
        <v>76</v>
      </c>
      <c r="C1283" s="32">
        <v>7670</v>
      </c>
      <c r="D1283" s="31"/>
      <c r="E1283" s="32">
        <v>438000</v>
      </c>
      <c r="F1283" s="32"/>
      <c r="G1283" s="32"/>
      <c r="H1283" s="55">
        <v>40000</v>
      </c>
      <c r="I1283" s="32">
        <v>406120</v>
      </c>
      <c r="J1283" s="30">
        <f>+SUM(C1283:G1283)-(H1283+I1283)</f>
        <v>-450</v>
      </c>
      <c r="K1283" s="144" t="e">
        <f>J1283=#REF!</f>
        <v>#REF!</v>
      </c>
      <c r="L1283" s="5"/>
      <c r="M1283" s="5"/>
      <c r="N1283" s="5"/>
      <c r="O1283" s="5"/>
    </row>
    <row r="1284" spans="1:15">
      <c r="A1284" s="122" t="s">
        <v>120</v>
      </c>
      <c r="B1284" s="127" t="s">
        <v>47</v>
      </c>
      <c r="C1284" s="32">
        <v>4710</v>
      </c>
      <c r="D1284" s="31"/>
      <c r="E1284" s="32">
        <v>303000</v>
      </c>
      <c r="F1284" s="32">
        <f>25000+91000+62000</f>
        <v>178000</v>
      </c>
      <c r="G1284" s="32"/>
      <c r="H1284" s="55">
        <v>29000</v>
      </c>
      <c r="I1284" s="32">
        <v>444200</v>
      </c>
      <c r="J1284" s="30">
        <f t="shared" ref="J1284:J1285" si="655">+SUM(C1284:G1284)-(H1284+I1284)</f>
        <v>12510</v>
      </c>
      <c r="K1284" s="144" t="b">
        <f>J1284=I1184</f>
        <v>0</v>
      </c>
      <c r="L1284" s="5"/>
      <c r="M1284" s="5"/>
      <c r="N1284" s="5"/>
      <c r="O1284" s="5"/>
    </row>
    <row r="1285" spans="1:15">
      <c r="A1285" s="122" t="s">
        <v>120</v>
      </c>
      <c r="B1285" s="127" t="s">
        <v>31</v>
      </c>
      <c r="C1285" s="32">
        <v>9295</v>
      </c>
      <c r="D1285" s="31"/>
      <c r="E1285" s="32">
        <v>743000</v>
      </c>
      <c r="F1285" s="32">
        <v>2000</v>
      </c>
      <c r="G1285" s="32"/>
      <c r="H1285" s="32">
        <f>103000+91000+137000+101000+91000</f>
        <v>523000</v>
      </c>
      <c r="I1285" s="32">
        <v>228400</v>
      </c>
      <c r="J1285" s="101">
        <f t="shared" si="655"/>
        <v>2895</v>
      </c>
      <c r="K1285" s="144" t="b">
        <f>J1285=I1185</f>
        <v>0</v>
      </c>
      <c r="L1285" s="5"/>
      <c r="M1285" s="5"/>
      <c r="N1285" s="5"/>
      <c r="O1285" s="5"/>
    </row>
    <row r="1286" spans="1:15">
      <c r="A1286" s="122" t="s">
        <v>120</v>
      </c>
      <c r="B1286" s="127" t="s">
        <v>77</v>
      </c>
      <c r="C1286" s="32">
        <v>-25100</v>
      </c>
      <c r="D1286" s="104"/>
      <c r="E1286" s="32">
        <v>121100</v>
      </c>
      <c r="F1286" s="32">
        <f>103000+1000+28000+137000</f>
        <v>269000</v>
      </c>
      <c r="G1286" s="32"/>
      <c r="H1286" s="32"/>
      <c r="I1286" s="32">
        <v>302960</v>
      </c>
      <c r="J1286" s="101">
        <f>+SUM(C1286:G1286)-(H1286+I1286)</f>
        <v>62040</v>
      </c>
      <c r="K1286" s="144" t="b">
        <f>J1286=I1186</f>
        <v>0</v>
      </c>
      <c r="L1286" s="5"/>
      <c r="M1286" s="5"/>
      <c r="N1286" s="5"/>
      <c r="O1286" s="5"/>
    </row>
    <row r="1287" spans="1:15">
      <c r="A1287" s="122" t="s">
        <v>120</v>
      </c>
      <c r="B1287" s="127" t="s">
        <v>69</v>
      </c>
      <c r="C1287" s="32">
        <v>7384</v>
      </c>
      <c r="D1287" s="104"/>
      <c r="E1287" s="32">
        <v>319000</v>
      </c>
      <c r="F1287" s="32">
        <v>101000</v>
      </c>
      <c r="G1287" s="32"/>
      <c r="H1287" s="32">
        <v>62000</v>
      </c>
      <c r="I1287" s="32">
        <v>365200</v>
      </c>
      <c r="J1287" s="101">
        <f t="shared" ref="J1287" si="656">+SUM(C1287:G1287)-(H1287+I1287)</f>
        <v>184</v>
      </c>
      <c r="K1287" s="144" t="e">
        <f>J1287=#REF!</f>
        <v>#REF!</v>
      </c>
      <c r="L1287" s="5"/>
      <c r="M1287" s="5"/>
      <c r="N1287" s="5"/>
      <c r="O1287" s="5"/>
    </row>
    <row r="1288" spans="1:15">
      <c r="A1288" s="122" t="s">
        <v>120</v>
      </c>
      <c r="B1288" s="128" t="s">
        <v>30</v>
      </c>
      <c r="C1288" s="32">
        <v>61300</v>
      </c>
      <c r="D1288" s="119"/>
      <c r="E1288" s="51">
        <v>931200</v>
      </c>
      <c r="F1288" s="51"/>
      <c r="G1288" s="51"/>
      <c r="H1288" s="51">
        <v>28000</v>
      </c>
      <c r="I1288" s="51">
        <v>1001000</v>
      </c>
      <c r="J1288" s="124">
        <f>+SUM(C1288:G1288)-(H1288+I1288)</f>
        <v>-36500</v>
      </c>
      <c r="K1288" s="144" t="b">
        <f t="shared" ref="K1288:K1295" si="657">J1288=I1187</f>
        <v>0</v>
      </c>
      <c r="L1288" s="5"/>
      <c r="M1288" s="5"/>
      <c r="N1288" s="5"/>
      <c r="O1288" s="5"/>
    </row>
    <row r="1289" spans="1:15">
      <c r="A1289" s="122" t="s">
        <v>120</v>
      </c>
      <c r="B1289" s="129" t="s">
        <v>84</v>
      </c>
      <c r="C1289" s="120">
        <v>233614</v>
      </c>
      <c r="D1289" s="123"/>
      <c r="E1289" s="137"/>
      <c r="F1289" s="137"/>
      <c r="G1289" s="137"/>
      <c r="H1289" s="137"/>
      <c r="I1289" s="137"/>
      <c r="J1289" s="121">
        <f>+SUM(C1289:G1289)-(H1289+I1289)</f>
        <v>233614</v>
      </c>
      <c r="K1289" s="144" t="b">
        <f t="shared" si="657"/>
        <v>0</v>
      </c>
      <c r="L1289" s="5"/>
      <c r="M1289" s="5"/>
      <c r="N1289" s="5"/>
      <c r="O1289" s="5"/>
    </row>
    <row r="1290" spans="1:15">
      <c r="A1290" s="122" t="s">
        <v>120</v>
      </c>
      <c r="B1290" s="129" t="s">
        <v>83</v>
      </c>
      <c r="C1290" s="120">
        <v>249769</v>
      </c>
      <c r="D1290" s="123"/>
      <c r="E1290" s="137"/>
      <c r="F1290" s="137"/>
      <c r="G1290" s="137"/>
      <c r="H1290" s="137"/>
      <c r="I1290" s="137"/>
      <c r="J1290" s="121">
        <f t="shared" ref="J1290:J1293" si="658">+SUM(C1290:G1290)-(H1290+I1290)</f>
        <v>249769</v>
      </c>
      <c r="K1290" s="144" t="b">
        <f t="shared" si="657"/>
        <v>0</v>
      </c>
      <c r="L1290" s="5"/>
      <c r="M1290" s="5"/>
      <c r="N1290" s="5"/>
      <c r="O1290" s="5"/>
    </row>
    <row r="1291" spans="1:15">
      <c r="A1291" s="122" t="s">
        <v>120</v>
      </c>
      <c r="B1291" s="127" t="s">
        <v>35</v>
      </c>
      <c r="C1291" s="32">
        <v>4500</v>
      </c>
      <c r="D1291" s="31"/>
      <c r="E1291" s="32">
        <v>234000</v>
      </c>
      <c r="F1291" s="32">
        <v>40000</v>
      </c>
      <c r="G1291" s="104"/>
      <c r="H1291" s="104"/>
      <c r="I1291" s="32">
        <v>207300</v>
      </c>
      <c r="J1291" s="30">
        <f t="shared" si="658"/>
        <v>71200</v>
      </c>
      <c r="K1291" s="144" t="b">
        <f t="shared" si="657"/>
        <v>0</v>
      </c>
      <c r="L1291" s="5"/>
      <c r="M1291" s="5"/>
      <c r="N1291" s="5"/>
      <c r="O1291" s="5"/>
    </row>
    <row r="1292" spans="1:15">
      <c r="A1292" s="122" t="s">
        <v>120</v>
      </c>
      <c r="B1292" s="127" t="s">
        <v>93</v>
      </c>
      <c r="C1292" s="32">
        <v>-6000</v>
      </c>
      <c r="D1292" s="31"/>
      <c r="E1292" s="32">
        <v>61000</v>
      </c>
      <c r="F1292" s="104"/>
      <c r="G1292" s="104"/>
      <c r="H1292" s="104"/>
      <c r="I1292" s="32">
        <v>49000</v>
      </c>
      <c r="J1292" s="30">
        <f t="shared" si="658"/>
        <v>6000</v>
      </c>
      <c r="K1292" s="144" t="b">
        <f t="shared" si="657"/>
        <v>0</v>
      </c>
      <c r="L1292" s="5"/>
      <c r="M1292" s="5"/>
      <c r="N1292" s="5"/>
      <c r="O1292" s="5"/>
    </row>
    <row r="1293" spans="1:15">
      <c r="A1293" s="122" t="s">
        <v>120</v>
      </c>
      <c r="B1293" s="127" t="s">
        <v>29</v>
      </c>
      <c r="C1293" s="32">
        <v>72200</v>
      </c>
      <c r="D1293" s="31"/>
      <c r="E1293" s="32">
        <v>722000</v>
      </c>
      <c r="F1293" s="104"/>
      <c r="G1293" s="104"/>
      <c r="H1293" s="104"/>
      <c r="I1293" s="32">
        <v>626500</v>
      </c>
      <c r="J1293" s="30">
        <f t="shared" si="658"/>
        <v>167700</v>
      </c>
      <c r="K1293" s="144" t="b">
        <f t="shared" si="657"/>
        <v>0</v>
      </c>
      <c r="L1293" s="5"/>
      <c r="M1293" s="5"/>
      <c r="N1293" s="5"/>
      <c r="O1293" s="5"/>
    </row>
    <row r="1294" spans="1:15">
      <c r="A1294" s="122" t="s">
        <v>120</v>
      </c>
      <c r="B1294" s="127" t="s">
        <v>32</v>
      </c>
      <c r="C1294" s="32">
        <v>9300</v>
      </c>
      <c r="D1294" s="31"/>
      <c r="E1294" s="32">
        <v>60000</v>
      </c>
      <c r="F1294" s="104"/>
      <c r="G1294" s="104"/>
      <c r="H1294" s="104"/>
      <c r="I1294" s="32">
        <v>4000</v>
      </c>
      <c r="J1294" s="30">
        <f t="shared" ref="J1294:J1295" si="659">+SUM(C1294:G1294)-(H1294+I1294)</f>
        <v>65300</v>
      </c>
      <c r="K1294" s="144" t="b">
        <f t="shared" si="657"/>
        <v>0</v>
      </c>
      <c r="L1294" s="5"/>
      <c r="M1294" s="5"/>
      <c r="N1294" s="5"/>
      <c r="O1294" s="5"/>
    </row>
    <row r="1295" spans="1:15">
      <c r="A1295" s="122" t="s">
        <v>120</v>
      </c>
      <c r="B1295" s="128" t="s">
        <v>113</v>
      </c>
      <c r="C1295" s="32">
        <v>-14000</v>
      </c>
      <c r="D1295" s="119"/>
      <c r="E1295" s="51">
        <v>378000</v>
      </c>
      <c r="F1295" s="51">
        <f>29000+91000</f>
        <v>120000</v>
      </c>
      <c r="G1295" s="138"/>
      <c r="H1295" s="51">
        <f>2000+1000+25000</f>
        <v>28000</v>
      </c>
      <c r="I1295" s="51">
        <v>467700</v>
      </c>
      <c r="J1295" s="30">
        <f t="shared" si="659"/>
        <v>-11700</v>
      </c>
      <c r="K1295" s="144" t="b">
        <f t="shared" si="657"/>
        <v>0</v>
      </c>
      <c r="L1295" s="5"/>
      <c r="M1295" s="5"/>
      <c r="N1295" s="5"/>
      <c r="O1295" s="5"/>
    </row>
    <row r="1296" spans="1:15">
      <c r="A1296" s="34" t="s">
        <v>60</v>
      </c>
      <c r="B1296" s="35"/>
      <c r="C1296" s="35"/>
      <c r="D1296" s="35"/>
      <c r="E1296" s="35"/>
      <c r="F1296" s="35"/>
      <c r="G1296" s="35"/>
      <c r="H1296" s="35"/>
      <c r="I1296" s="35"/>
      <c r="J1296" s="36"/>
      <c r="K1296" s="143"/>
      <c r="L1296" s="5"/>
      <c r="M1296" s="5"/>
      <c r="N1296" s="5"/>
      <c r="O1296" s="5"/>
    </row>
    <row r="1297" spans="1:15">
      <c r="A1297" s="122" t="s">
        <v>120</v>
      </c>
      <c r="B1297" s="37" t="s">
        <v>61</v>
      </c>
      <c r="C1297" s="38">
        <v>1148337</v>
      </c>
      <c r="D1297" s="49">
        <v>7000000</v>
      </c>
      <c r="E1297" s="103"/>
      <c r="F1297" s="103"/>
      <c r="G1297" s="139"/>
      <c r="H1297" s="131">
        <v>4310300</v>
      </c>
      <c r="I1297" s="126">
        <v>2165078</v>
      </c>
      <c r="J1297" s="30">
        <f>+SUM(C1297:G1297)-(H1297+I1297)</f>
        <v>1672959</v>
      </c>
      <c r="K1297" s="144" t="b">
        <f>J1297=I1183</f>
        <v>0</v>
      </c>
      <c r="L1297" s="5"/>
      <c r="M1297" s="5"/>
      <c r="N1297" s="5"/>
      <c r="O1297" s="5"/>
    </row>
    <row r="1298" spans="1:15">
      <c r="A1298" s="43" t="s">
        <v>62</v>
      </c>
      <c r="B1298" s="24"/>
      <c r="C1298" s="35"/>
      <c r="D1298" s="24"/>
      <c r="E1298" s="24"/>
      <c r="F1298" s="24"/>
      <c r="G1298" s="24"/>
      <c r="H1298" s="24"/>
      <c r="I1298" s="24"/>
      <c r="J1298" s="36"/>
      <c r="K1298" s="143"/>
      <c r="L1298" s="5"/>
      <c r="M1298" s="5"/>
      <c r="N1298" s="5"/>
      <c r="O1298" s="5"/>
    </row>
    <row r="1299" spans="1:15">
      <c r="A1299" s="122" t="s">
        <v>120</v>
      </c>
      <c r="B1299" s="37" t="s">
        <v>63</v>
      </c>
      <c r="C1299" s="125">
        <v>10113263</v>
      </c>
      <c r="D1299" s="132">
        <v>0</v>
      </c>
      <c r="E1299" s="49"/>
      <c r="F1299" s="49"/>
      <c r="G1299" s="49"/>
      <c r="H1299" s="51">
        <v>7000000</v>
      </c>
      <c r="I1299" s="53">
        <v>155885</v>
      </c>
      <c r="J1299" s="30">
        <f>+SUM(C1299:G1299)-(H1299+I1299)</f>
        <v>2957378</v>
      </c>
      <c r="K1299" s="144" t="e">
        <f>+J1299=#REF!</f>
        <v>#REF!</v>
      </c>
      <c r="L1299" s="5"/>
      <c r="M1299" s="5"/>
      <c r="N1299" s="5"/>
      <c r="O1299" s="5"/>
    </row>
    <row r="1300" spans="1:15">
      <c r="A1300" s="122" t="s">
        <v>120</v>
      </c>
      <c r="B1300" s="37" t="s">
        <v>64</v>
      </c>
      <c r="C1300" s="125">
        <v>6219904</v>
      </c>
      <c r="D1300" s="49">
        <v>28506579</v>
      </c>
      <c r="E1300" s="48"/>
      <c r="F1300" s="48"/>
      <c r="G1300" s="48"/>
      <c r="H1300" s="32"/>
      <c r="I1300" s="50">
        <v>6707979</v>
      </c>
      <c r="J1300" s="30">
        <f>SUM(C1300:G1300)-(H1300+I1300)</f>
        <v>28018504</v>
      </c>
      <c r="K1300" s="144" t="b">
        <f>+J1300=I1182</f>
        <v>0</v>
      </c>
      <c r="L1300" s="5"/>
      <c r="M1300" s="5"/>
      <c r="N1300" s="5"/>
      <c r="O1300" s="5"/>
    </row>
    <row r="1301" spans="1:15" ht="15.75">
      <c r="C1301" s="141">
        <f>SUM(C1283:C1300)</f>
        <v>18096146</v>
      </c>
      <c r="I1301" s="140">
        <f>SUM(I1283:I1300)</f>
        <v>13131322</v>
      </c>
      <c r="J1301" s="105">
        <f>+SUM(J1283:J1300)</f>
        <v>33471403</v>
      </c>
      <c r="K1301" s="5" t="b">
        <f>J1301=I1195</f>
        <v>0</v>
      </c>
      <c r="L1301" s="5"/>
      <c r="M1301" s="5"/>
      <c r="N1301" s="5"/>
      <c r="O1301" s="5"/>
    </row>
    <row r="1302" spans="1:15" ht="16.5">
      <c r="A1302" s="14"/>
      <c r="B1302" s="15"/>
      <c r="C1302" s="12" t="e">
        <f>C1301=C1195</f>
        <v>#REF!</v>
      </c>
      <c r="D1302" s="12"/>
      <c r="E1302" s="13"/>
      <c r="F1302" s="12"/>
      <c r="G1302" s="12"/>
      <c r="H1302" s="12"/>
      <c r="I1302" s="12"/>
      <c r="L1302" s="5"/>
      <c r="M1302" s="5"/>
      <c r="N1302" s="5"/>
      <c r="O1302" s="5"/>
    </row>
    <row r="1303" spans="1:15" ht="16.5">
      <c r="A1303" s="14"/>
      <c r="B1303" s="15"/>
      <c r="C1303" s="12"/>
      <c r="D1303" s="12"/>
      <c r="E1303" s="13"/>
      <c r="F1303" s="12"/>
      <c r="G1303" s="12"/>
      <c r="H1303" s="12"/>
      <c r="I1303" s="12"/>
      <c r="L1303" s="5"/>
      <c r="M1303" s="5"/>
      <c r="N1303" s="5"/>
      <c r="O1303" s="5"/>
    </row>
    <row r="1304" spans="1:15">
      <c r="A1304" s="16" t="s">
        <v>52</v>
      </c>
      <c r="B1304" s="16"/>
      <c r="C1304" s="16"/>
      <c r="D1304" s="17"/>
      <c r="E1304" s="17"/>
      <c r="F1304" s="17"/>
      <c r="G1304" s="17"/>
      <c r="H1304" s="17"/>
      <c r="I1304" s="17"/>
      <c r="L1304" s="5"/>
      <c r="M1304" s="5"/>
      <c r="N1304" s="5"/>
      <c r="O1304" s="5"/>
    </row>
    <row r="1305" spans="1:15">
      <c r="A1305" s="18" t="s">
        <v>114</v>
      </c>
      <c r="B1305" s="18"/>
      <c r="C1305" s="18"/>
      <c r="D1305" s="18"/>
      <c r="E1305" s="18"/>
      <c r="F1305" s="18"/>
      <c r="G1305" s="18"/>
      <c r="H1305" s="18"/>
      <c r="I1305" s="18"/>
      <c r="J1305" s="17"/>
      <c r="L1305" s="5"/>
      <c r="M1305" s="5"/>
      <c r="N1305" s="5"/>
      <c r="O1305" s="5"/>
    </row>
    <row r="1306" spans="1:15">
      <c r="A1306" s="19"/>
      <c r="B1306" s="17"/>
      <c r="C1306" s="20"/>
      <c r="D1306" s="20"/>
      <c r="E1306" s="20"/>
      <c r="F1306" s="20"/>
      <c r="G1306" s="20"/>
      <c r="H1306" s="17"/>
      <c r="I1306" s="17"/>
      <c r="J1306" s="18"/>
      <c r="L1306" s="5"/>
      <c r="M1306" s="5"/>
      <c r="N1306" s="5"/>
      <c r="O1306" s="5"/>
    </row>
    <row r="1307" spans="1:15">
      <c r="A1307" s="242" t="s">
        <v>53</v>
      </c>
      <c r="B1307" s="244" t="s">
        <v>54</v>
      </c>
      <c r="C1307" s="246" t="s">
        <v>116</v>
      </c>
      <c r="D1307" s="248" t="s">
        <v>55</v>
      </c>
      <c r="E1307" s="249"/>
      <c r="F1307" s="249"/>
      <c r="G1307" s="250"/>
      <c r="H1307" s="251" t="s">
        <v>56</v>
      </c>
      <c r="I1307" s="238" t="s">
        <v>57</v>
      </c>
      <c r="J1307" s="17"/>
      <c r="L1307" s="5"/>
      <c r="M1307" s="5"/>
      <c r="N1307" s="5"/>
      <c r="O1307" s="5"/>
    </row>
    <row r="1308" spans="1:15">
      <c r="A1308" s="243"/>
      <c r="B1308" s="245"/>
      <c r="C1308" s="247"/>
      <c r="D1308" s="21" t="s">
        <v>24</v>
      </c>
      <c r="E1308" s="21" t="s">
        <v>25</v>
      </c>
      <c r="F1308" s="22" t="s">
        <v>118</v>
      </c>
      <c r="G1308" s="21" t="s">
        <v>58</v>
      </c>
      <c r="H1308" s="252"/>
      <c r="I1308" s="239"/>
      <c r="J1308" s="240" t="s">
        <v>117</v>
      </c>
      <c r="L1308" s="5"/>
      <c r="M1308" s="5"/>
      <c r="N1308" s="5"/>
      <c r="O1308" s="5"/>
    </row>
    <row r="1309" spans="1:15">
      <c r="A1309" s="23"/>
      <c r="B1309" s="24" t="s">
        <v>59</v>
      </c>
      <c r="C1309" s="25"/>
      <c r="D1309" s="25"/>
      <c r="E1309" s="25"/>
      <c r="F1309" s="25"/>
      <c r="G1309" s="25"/>
      <c r="H1309" s="25"/>
      <c r="I1309" s="26"/>
      <c r="J1309" s="241"/>
      <c r="L1309" s="5"/>
      <c r="M1309" s="5"/>
      <c r="N1309" s="5"/>
      <c r="O1309" s="5"/>
    </row>
    <row r="1310" spans="1:15">
      <c r="A1310" s="122" t="s">
        <v>115</v>
      </c>
      <c r="B1310" s="127" t="s">
        <v>76</v>
      </c>
      <c r="C1310" s="32">
        <v>3670</v>
      </c>
      <c r="D1310" s="31"/>
      <c r="E1310" s="32">
        <v>118000</v>
      </c>
      <c r="F1310" s="32">
        <v>4000</v>
      </c>
      <c r="G1310" s="32"/>
      <c r="H1310" s="55"/>
      <c r="I1310" s="32">
        <v>118000</v>
      </c>
      <c r="J1310" s="30">
        <f>+SUM(C1310:G1310)-(H1310+I1310)</f>
        <v>7670</v>
      </c>
      <c r="K1310" s="142"/>
      <c r="L1310" s="5"/>
      <c r="M1310" s="5"/>
      <c r="N1310" s="5"/>
      <c r="O1310" s="5"/>
    </row>
    <row r="1311" spans="1:15">
      <c r="A1311" s="122" t="s">
        <v>115</v>
      </c>
      <c r="B1311" s="127" t="s">
        <v>47</v>
      </c>
      <c r="C1311" s="32">
        <v>-540</v>
      </c>
      <c r="D1311" s="31"/>
      <c r="E1311" s="32">
        <v>209750</v>
      </c>
      <c r="F1311" s="32">
        <v>5000</v>
      </c>
      <c r="G1311" s="32"/>
      <c r="H1311" s="55"/>
      <c r="I1311" s="32">
        <v>209500</v>
      </c>
      <c r="J1311" s="30">
        <f t="shared" ref="J1311:J1312" si="660">+SUM(C1311:G1311)-(H1311+I1311)</f>
        <v>4710</v>
      </c>
      <c r="K1311" s="142"/>
      <c r="L1311" s="5"/>
      <c r="M1311" s="5"/>
      <c r="N1311" s="5"/>
      <c r="O1311" s="5"/>
    </row>
    <row r="1312" spans="1:15">
      <c r="A1312" s="122" t="s">
        <v>115</v>
      </c>
      <c r="B1312" s="127" t="s">
        <v>31</v>
      </c>
      <c r="C1312" s="32">
        <v>2395</v>
      </c>
      <c r="D1312" s="31"/>
      <c r="E1312" s="32">
        <v>70000</v>
      </c>
      <c r="F1312" s="32">
        <v>4000</v>
      </c>
      <c r="G1312" s="32"/>
      <c r="H1312" s="32"/>
      <c r="I1312" s="32">
        <v>67100</v>
      </c>
      <c r="J1312" s="101">
        <f t="shared" si="660"/>
        <v>9295</v>
      </c>
      <c r="K1312" s="142"/>
      <c r="L1312" s="5"/>
      <c r="M1312" s="5"/>
      <c r="N1312" s="5"/>
      <c r="O1312" s="5"/>
    </row>
    <row r="1313" spans="1:15">
      <c r="A1313" s="122" t="s">
        <v>115</v>
      </c>
      <c r="B1313" s="127" t="s">
        <v>77</v>
      </c>
      <c r="C1313" s="32">
        <v>96100</v>
      </c>
      <c r="D1313" s="104"/>
      <c r="E1313" s="32">
        <v>488100</v>
      </c>
      <c r="F1313" s="32">
        <v>4000</v>
      </c>
      <c r="G1313" s="32"/>
      <c r="H1313" s="32">
        <v>61600</v>
      </c>
      <c r="I1313" s="32">
        <v>551700</v>
      </c>
      <c r="J1313" s="101">
        <f>+SUM(C1313:G1313)-(H1313+I1313)</f>
        <v>-25100</v>
      </c>
      <c r="K1313" s="142"/>
      <c r="L1313" s="5"/>
      <c r="M1313" s="5"/>
      <c r="N1313" s="5"/>
      <c r="O1313" s="5"/>
    </row>
    <row r="1314" spans="1:15">
      <c r="A1314" s="122" t="s">
        <v>115</v>
      </c>
      <c r="B1314" s="127" t="s">
        <v>69</v>
      </c>
      <c r="C1314" s="32">
        <v>13884</v>
      </c>
      <c r="D1314" s="104"/>
      <c r="E1314" s="32">
        <v>194000</v>
      </c>
      <c r="F1314" s="32"/>
      <c r="G1314" s="32"/>
      <c r="H1314" s="32">
        <v>17000</v>
      </c>
      <c r="I1314" s="32">
        <v>183500</v>
      </c>
      <c r="J1314" s="101">
        <f t="shared" ref="J1314" si="661">+SUM(C1314:G1314)-(H1314+I1314)</f>
        <v>7384</v>
      </c>
      <c r="K1314" s="142"/>
      <c r="L1314" s="5"/>
      <c r="M1314" s="5"/>
      <c r="N1314" s="5"/>
      <c r="O1314" s="5"/>
    </row>
    <row r="1315" spans="1:15">
      <c r="A1315" s="122" t="s">
        <v>115</v>
      </c>
      <c r="B1315" s="128" t="s">
        <v>30</v>
      </c>
      <c r="C1315" s="32">
        <v>72400</v>
      </c>
      <c r="D1315" s="119"/>
      <c r="E1315" s="51">
        <v>599900</v>
      </c>
      <c r="F1315" s="51"/>
      <c r="G1315" s="51"/>
      <c r="H1315" s="51"/>
      <c r="I1315" s="51">
        <v>611000</v>
      </c>
      <c r="J1315" s="124">
        <f>+SUM(C1315:G1315)-(H1315+I1315)</f>
        <v>61300</v>
      </c>
      <c r="K1315" s="142"/>
      <c r="L1315" s="5"/>
      <c r="M1315" s="5"/>
      <c r="N1315" s="5"/>
      <c r="O1315" s="5"/>
    </row>
    <row r="1316" spans="1:15">
      <c r="A1316" s="122" t="s">
        <v>115</v>
      </c>
      <c r="B1316" s="129" t="s">
        <v>84</v>
      </c>
      <c r="C1316" s="120">
        <v>233614</v>
      </c>
      <c r="D1316" s="123"/>
      <c r="E1316" s="137"/>
      <c r="F1316" s="137"/>
      <c r="G1316" s="137"/>
      <c r="H1316" s="137"/>
      <c r="I1316" s="137"/>
      <c r="J1316" s="121">
        <f>+SUM(C1316:G1316)-(H1316+I1316)</f>
        <v>233614</v>
      </c>
      <c r="K1316" s="142"/>
      <c r="L1316" s="5"/>
      <c r="M1316" s="5"/>
      <c r="N1316" s="5"/>
      <c r="O1316" s="5"/>
    </row>
    <row r="1317" spans="1:15">
      <c r="A1317" s="122" t="s">
        <v>115</v>
      </c>
      <c r="B1317" s="129" t="s">
        <v>83</v>
      </c>
      <c r="C1317" s="120">
        <v>249769</v>
      </c>
      <c r="D1317" s="123"/>
      <c r="E1317" s="137"/>
      <c r="F1317" s="137"/>
      <c r="G1317" s="137"/>
      <c r="H1317" s="137"/>
      <c r="I1317" s="137"/>
      <c r="J1317" s="121">
        <f t="shared" ref="J1317:J1324" si="662">+SUM(C1317:G1317)-(H1317+I1317)</f>
        <v>249769</v>
      </c>
      <c r="K1317" s="142"/>
      <c r="L1317" s="5"/>
      <c r="M1317" s="5"/>
      <c r="N1317" s="5"/>
      <c r="O1317" s="5"/>
    </row>
    <row r="1318" spans="1:15">
      <c r="A1318" s="122" t="s">
        <v>115</v>
      </c>
      <c r="B1318" s="127" t="s">
        <v>35</v>
      </c>
      <c r="C1318" s="32">
        <v>18490</v>
      </c>
      <c r="D1318" s="31"/>
      <c r="E1318" s="32">
        <v>796460</v>
      </c>
      <c r="F1318" s="32">
        <v>61600</v>
      </c>
      <c r="G1318" s="104"/>
      <c r="H1318" s="104"/>
      <c r="I1318" s="32">
        <v>872050</v>
      </c>
      <c r="J1318" s="30">
        <f t="shared" si="662"/>
        <v>4500</v>
      </c>
      <c r="K1318" s="142"/>
      <c r="L1318" s="5"/>
      <c r="M1318" s="5"/>
      <c r="N1318" s="5"/>
      <c r="O1318" s="5"/>
    </row>
    <row r="1319" spans="1:15">
      <c r="A1319" s="122" t="s">
        <v>115</v>
      </c>
      <c r="B1319" s="127" t="s">
        <v>93</v>
      </c>
      <c r="C1319" s="32">
        <v>4500</v>
      </c>
      <c r="D1319" s="31"/>
      <c r="E1319" s="32">
        <v>40000</v>
      </c>
      <c r="F1319" s="104"/>
      <c r="G1319" s="104"/>
      <c r="H1319" s="104"/>
      <c r="I1319" s="32">
        <v>50500</v>
      </c>
      <c r="J1319" s="30">
        <f t="shared" si="662"/>
        <v>-6000</v>
      </c>
      <c r="K1319" s="142"/>
      <c r="L1319" s="5"/>
      <c r="M1319" s="5"/>
      <c r="N1319" s="5"/>
      <c r="O1319" s="5"/>
    </row>
    <row r="1320" spans="1:15">
      <c r="A1320" s="122" t="s">
        <v>115</v>
      </c>
      <c r="B1320" s="127" t="s">
        <v>29</v>
      </c>
      <c r="C1320" s="32">
        <v>44200</v>
      </c>
      <c r="D1320" s="31"/>
      <c r="E1320" s="32">
        <v>60000</v>
      </c>
      <c r="F1320" s="104"/>
      <c r="G1320" s="104"/>
      <c r="H1320" s="104"/>
      <c r="I1320" s="32">
        <v>32000</v>
      </c>
      <c r="J1320" s="30">
        <f t="shared" si="662"/>
        <v>72200</v>
      </c>
      <c r="K1320" s="142"/>
      <c r="L1320" s="5"/>
      <c r="M1320" s="5"/>
      <c r="N1320" s="5"/>
      <c r="O1320" s="5"/>
    </row>
    <row r="1321" spans="1:15">
      <c r="A1321" s="122" t="s">
        <v>115</v>
      </c>
      <c r="B1321" s="127" t="s">
        <v>94</v>
      </c>
      <c r="C1321" s="32">
        <v>-851709</v>
      </c>
      <c r="D1321" s="31"/>
      <c r="E1321" s="32">
        <v>851709</v>
      </c>
      <c r="F1321" s="104"/>
      <c r="G1321" s="104"/>
      <c r="H1321" s="104"/>
      <c r="I1321" s="32"/>
      <c r="J1321" s="30">
        <f>+SUM(C1321:G1321)-(H1321+I1321)</f>
        <v>0</v>
      </c>
      <c r="K1321" s="142"/>
      <c r="L1321" s="5"/>
      <c r="M1321" s="5"/>
      <c r="N1321" s="5"/>
      <c r="O1321" s="5"/>
    </row>
    <row r="1322" spans="1:15">
      <c r="A1322" s="122" t="s">
        <v>115</v>
      </c>
      <c r="B1322" s="127" t="s">
        <v>101</v>
      </c>
      <c r="C1322" s="32">
        <v>90300</v>
      </c>
      <c r="D1322" s="31"/>
      <c r="E1322" s="32">
        <v>69200</v>
      </c>
      <c r="F1322" s="104"/>
      <c r="G1322" s="104"/>
      <c r="H1322" s="104"/>
      <c r="I1322" s="32">
        <v>159500</v>
      </c>
      <c r="J1322" s="30">
        <f t="shared" si="662"/>
        <v>0</v>
      </c>
      <c r="K1322" s="142"/>
      <c r="L1322" s="5"/>
      <c r="M1322" s="5"/>
      <c r="N1322" s="5"/>
      <c r="O1322" s="5"/>
    </row>
    <row r="1323" spans="1:15">
      <c r="A1323" s="122" t="s">
        <v>115</v>
      </c>
      <c r="B1323" s="127" t="s">
        <v>32</v>
      </c>
      <c r="C1323" s="32">
        <v>300</v>
      </c>
      <c r="D1323" s="31"/>
      <c r="E1323" s="32">
        <v>20000</v>
      </c>
      <c r="F1323" s="104"/>
      <c r="G1323" s="104"/>
      <c r="H1323" s="104"/>
      <c r="I1323" s="32">
        <v>11000</v>
      </c>
      <c r="J1323" s="30">
        <f t="shared" si="662"/>
        <v>9300</v>
      </c>
      <c r="K1323" s="142"/>
      <c r="L1323" s="5"/>
      <c r="M1323" s="5"/>
      <c r="N1323" s="5"/>
      <c r="O1323" s="5"/>
    </row>
    <row r="1324" spans="1:15">
      <c r="A1324" s="122" t="s">
        <v>115</v>
      </c>
      <c r="B1324" s="128" t="s">
        <v>113</v>
      </c>
      <c r="C1324" s="32">
        <v>0</v>
      </c>
      <c r="D1324" s="119"/>
      <c r="E1324" s="136"/>
      <c r="F1324" s="136"/>
      <c r="G1324" s="138"/>
      <c r="H1324" s="136"/>
      <c r="I1324" s="51">
        <v>14000</v>
      </c>
      <c r="J1324" s="30">
        <f t="shared" si="662"/>
        <v>-14000</v>
      </c>
      <c r="K1324" s="142"/>
      <c r="L1324" s="5"/>
      <c r="M1324" s="5"/>
      <c r="N1324" s="5"/>
      <c r="O1324" s="5"/>
    </row>
    <row r="1325" spans="1:15">
      <c r="A1325" s="34" t="s">
        <v>60</v>
      </c>
      <c r="B1325" s="35"/>
      <c r="C1325" s="35"/>
      <c r="D1325" s="35"/>
      <c r="E1325" s="35"/>
      <c r="F1325" s="35"/>
      <c r="G1325" s="35"/>
      <c r="H1325" s="35"/>
      <c r="I1325" s="35"/>
      <c r="J1325" s="36"/>
      <c r="L1325" s="5"/>
      <c r="M1325" s="5"/>
      <c r="N1325" s="5"/>
      <c r="O1325" s="5"/>
    </row>
    <row r="1326" spans="1:15">
      <c r="A1326" s="122" t="s">
        <v>115</v>
      </c>
      <c r="B1326" s="37" t="s">
        <v>61</v>
      </c>
      <c r="C1326" s="38" t="e">
        <f>C1183</f>
        <v>#REF!</v>
      </c>
      <c r="D1326" s="49">
        <v>5872000</v>
      </c>
      <c r="E1326" s="103"/>
      <c r="F1326" s="103"/>
      <c r="G1326" s="139"/>
      <c r="H1326" s="131">
        <v>3517119</v>
      </c>
      <c r="I1326" s="126">
        <v>1523260</v>
      </c>
      <c r="J1326" s="30" t="e">
        <f>+SUM(C1326:G1326)-(H1326+I1326)</f>
        <v>#REF!</v>
      </c>
      <c r="K1326" s="142"/>
      <c r="L1326" s="5"/>
      <c r="M1326" s="5"/>
      <c r="N1326" s="5"/>
      <c r="O1326" s="5"/>
    </row>
    <row r="1327" spans="1:15">
      <c r="A1327" s="43" t="s">
        <v>62</v>
      </c>
      <c r="B1327" s="24"/>
      <c r="C1327" s="35"/>
      <c r="D1327" s="24"/>
      <c r="E1327" s="24"/>
      <c r="F1327" s="24"/>
      <c r="G1327" s="24"/>
      <c r="H1327" s="24"/>
      <c r="I1327" s="24"/>
      <c r="J1327" s="36"/>
      <c r="L1327" s="5"/>
      <c r="M1327" s="5"/>
      <c r="N1327" s="5"/>
      <c r="O1327" s="5"/>
    </row>
    <row r="1328" spans="1:15">
      <c r="A1328" s="122" t="s">
        <v>115</v>
      </c>
      <c r="B1328" s="37" t="s">
        <v>63</v>
      </c>
      <c r="C1328" s="125" t="e">
        <f>#REF!</f>
        <v>#REF!</v>
      </c>
      <c r="D1328" s="132">
        <v>10380044</v>
      </c>
      <c r="E1328" s="49"/>
      <c r="F1328" s="49"/>
      <c r="G1328" s="49"/>
      <c r="H1328" s="51">
        <v>5500000</v>
      </c>
      <c r="I1328" s="53">
        <v>277455</v>
      </c>
      <c r="J1328" s="30" t="e">
        <f>+SUM(C1328:G1328)-(H1328+I1328)</f>
        <v>#REF!</v>
      </c>
      <c r="K1328" s="142"/>
      <c r="L1328" s="5"/>
      <c r="M1328" s="5"/>
      <c r="N1328" s="5"/>
      <c r="O1328" s="5"/>
    </row>
    <row r="1329" spans="1:15">
      <c r="A1329" s="122" t="s">
        <v>115</v>
      </c>
      <c r="B1329" s="37" t="s">
        <v>64</v>
      </c>
      <c r="C1329" s="125" t="e">
        <f>C1182</f>
        <v>#REF!</v>
      </c>
      <c r="D1329" s="49"/>
      <c r="E1329" s="48"/>
      <c r="F1329" s="48"/>
      <c r="G1329" s="48"/>
      <c r="H1329" s="32">
        <v>372000</v>
      </c>
      <c r="I1329" s="50">
        <v>4601760</v>
      </c>
      <c r="J1329" s="30" t="e">
        <f>SUM(C1329:G1329)-(H1329+I1329)</f>
        <v>#REF!</v>
      </c>
      <c r="K1329" s="142"/>
      <c r="L1329" s="5"/>
      <c r="M1329" s="5"/>
      <c r="N1329" s="5"/>
      <c r="O1329" s="5"/>
    </row>
    <row r="1330" spans="1:15" ht="15.75">
      <c r="C1330" s="141" t="e">
        <f>SUM(C1310:C1329)</f>
        <v>#REF!</v>
      </c>
      <c r="I1330" s="140">
        <f>SUM(I1310:I1329)</f>
        <v>9282325</v>
      </c>
      <c r="J1330" s="105" t="e">
        <f>+SUM(J1310:J1329)</f>
        <v>#REF!</v>
      </c>
      <c r="L1330" s="5"/>
      <c r="M1330" s="5"/>
      <c r="N1330" s="5"/>
      <c r="O1330" s="5"/>
    </row>
    <row r="1331" spans="1:15" ht="16.5">
      <c r="A1331" s="14"/>
      <c r="B1331" s="15"/>
      <c r="C1331" s="12"/>
      <c r="D1331" s="12"/>
      <c r="E1331" s="13"/>
      <c r="F1331" s="12"/>
      <c r="G1331" s="12"/>
      <c r="H1331" s="12"/>
      <c r="I1331" s="12"/>
      <c r="L1331" s="5"/>
      <c r="M1331" s="5"/>
      <c r="N1331" s="5"/>
      <c r="O1331" s="5"/>
    </row>
    <row r="1332" spans="1:15">
      <c r="A1332" s="16" t="s">
        <v>52</v>
      </c>
      <c r="B1332" s="16"/>
      <c r="C1332" s="16"/>
      <c r="D1332" s="17"/>
      <c r="E1332" s="17"/>
      <c r="F1332" s="17"/>
      <c r="G1332" s="17"/>
      <c r="H1332" s="17"/>
      <c r="I1332" s="17"/>
      <c r="L1332" s="5"/>
      <c r="M1332" s="5"/>
      <c r="N1332" s="5"/>
      <c r="O1332" s="5"/>
    </row>
    <row r="1333" spans="1:15">
      <c r="A1333" s="18" t="s">
        <v>109</v>
      </c>
      <c r="B1333" s="18"/>
      <c r="C1333" s="18"/>
      <c r="D1333" s="18"/>
      <c r="E1333" s="18"/>
      <c r="F1333" s="18"/>
      <c r="G1333" s="18"/>
      <c r="H1333" s="18"/>
      <c r="I1333" s="18"/>
      <c r="J1333" s="17"/>
      <c r="L1333" s="5"/>
      <c r="M1333" s="5"/>
      <c r="N1333" s="5"/>
      <c r="O1333" s="5"/>
    </row>
    <row r="1334" spans="1:15">
      <c r="A1334" s="19"/>
      <c r="B1334" s="17"/>
      <c r="C1334" s="20"/>
      <c r="D1334" s="20"/>
      <c r="E1334" s="20"/>
      <c r="F1334" s="20"/>
      <c r="G1334" s="20"/>
      <c r="H1334" s="17"/>
      <c r="I1334" s="17"/>
      <c r="J1334" s="18"/>
      <c r="L1334" s="5"/>
      <c r="M1334" s="5"/>
      <c r="N1334" s="5"/>
      <c r="O1334" s="5"/>
    </row>
    <row r="1335" spans="1:15">
      <c r="A1335" s="242" t="s">
        <v>53</v>
      </c>
      <c r="B1335" s="244" t="s">
        <v>54</v>
      </c>
      <c r="C1335" s="246" t="s">
        <v>110</v>
      </c>
      <c r="D1335" s="248" t="s">
        <v>55</v>
      </c>
      <c r="E1335" s="249"/>
      <c r="F1335" s="249"/>
      <c r="G1335" s="250"/>
      <c r="H1335" s="251" t="s">
        <v>56</v>
      </c>
      <c r="I1335" s="238" t="s">
        <v>57</v>
      </c>
      <c r="J1335" s="17"/>
      <c r="L1335" s="5"/>
      <c r="M1335" s="5"/>
      <c r="N1335" s="5"/>
      <c r="O1335" s="5"/>
    </row>
    <row r="1336" spans="1:15">
      <c r="A1336" s="243"/>
      <c r="B1336" s="245"/>
      <c r="C1336" s="247"/>
      <c r="D1336" s="21" t="s">
        <v>24</v>
      </c>
      <c r="E1336" s="21" t="s">
        <v>25</v>
      </c>
      <c r="F1336" s="22" t="s">
        <v>112</v>
      </c>
      <c r="G1336" s="21" t="s">
        <v>58</v>
      </c>
      <c r="H1336" s="252"/>
      <c r="I1336" s="239"/>
      <c r="J1336" s="240" t="s">
        <v>111</v>
      </c>
      <c r="L1336" s="5"/>
      <c r="M1336" s="5"/>
      <c r="N1336" s="5"/>
      <c r="O1336" s="5"/>
    </row>
    <row r="1337" spans="1:15">
      <c r="A1337" s="23"/>
      <c r="B1337" s="24" t="s">
        <v>59</v>
      </c>
      <c r="C1337" s="25"/>
      <c r="D1337" s="25"/>
      <c r="E1337" s="25"/>
      <c r="F1337" s="25"/>
      <c r="G1337" s="25"/>
      <c r="H1337" s="25"/>
      <c r="I1337" s="26"/>
      <c r="J1337" s="241"/>
      <c r="L1337" s="5"/>
      <c r="M1337" s="5"/>
      <c r="N1337" s="5"/>
      <c r="O1337" s="5"/>
    </row>
    <row r="1338" spans="1:15">
      <c r="A1338" s="122" t="s">
        <v>108</v>
      </c>
      <c r="B1338" s="127" t="s">
        <v>76</v>
      </c>
      <c r="C1338" s="32">
        <v>-11330</v>
      </c>
      <c r="D1338" s="31"/>
      <c r="E1338" s="32">
        <v>201400</v>
      </c>
      <c r="F1338" s="32">
        <v>184300</v>
      </c>
      <c r="G1338" s="32"/>
      <c r="H1338" s="55"/>
      <c r="I1338" s="32">
        <v>370700</v>
      </c>
      <c r="J1338" s="30">
        <f>+SUM(C1338:G1338)-(H1338+I1338)</f>
        <v>3670</v>
      </c>
      <c r="K1338" s="68"/>
      <c r="L1338" s="5"/>
      <c r="M1338" s="5"/>
      <c r="N1338" s="5"/>
      <c r="O1338" s="5"/>
    </row>
    <row r="1339" spans="1:15">
      <c r="A1339" s="122" t="s">
        <v>108</v>
      </c>
      <c r="B1339" s="127" t="s">
        <v>47</v>
      </c>
      <c r="C1339" s="32">
        <v>8260</v>
      </c>
      <c r="D1339" s="31"/>
      <c r="E1339" s="32">
        <v>357900</v>
      </c>
      <c r="F1339" s="32"/>
      <c r="G1339" s="32"/>
      <c r="H1339" s="55">
        <v>50000</v>
      </c>
      <c r="I1339" s="32">
        <v>316700</v>
      </c>
      <c r="J1339" s="30">
        <f t="shared" ref="J1339:J1340" si="663">+SUM(C1339:G1339)-(H1339+I1339)</f>
        <v>-540</v>
      </c>
      <c r="K1339" s="68"/>
      <c r="L1339" s="5"/>
      <c r="M1339" s="5"/>
      <c r="N1339" s="5"/>
      <c r="O1339" s="5"/>
    </row>
    <row r="1340" spans="1:15">
      <c r="A1340" s="122" t="s">
        <v>108</v>
      </c>
      <c r="B1340" s="127" t="s">
        <v>31</v>
      </c>
      <c r="C1340" s="32">
        <v>3795</v>
      </c>
      <c r="D1340" s="31"/>
      <c r="E1340" s="32">
        <v>20000</v>
      </c>
      <c r="F1340" s="32"/>
      <c r="G1340" s="32"/>
      <c r="H1340" s="32"/>
      <c r="I1340" s="32">
        <v>21400</v>
      </c>
      <c r="J1340" s="101">
        <f t="shared" si="663"/>
        <v>2395</v>
      </c>
      <c r="K1340" s="68"/>
      <c r="L1340" s="5"/>
      <c r="M1340" s="5"/>
      <c r="N1340" s="5"/>
      <c r="O1340" s="5"/>
    </row>
    <row r="1341" spans="1:15">
      <c r="A1341" s="122" t="s">
        <v>108</v>
      </c>
      <c r="B1341" s="127" t="s">
        <v>77</v>
      </c>
      <c r="C1341" s="32">
        <v>-83100</v>
      </c>
      <c r="D1341" s="104"/>
      <c r="E1341" s="32">
        <v>699200</v>
      </c>
      <c r="F1341" s="32"/>
      <c r="G1341" s="32"/>
      <c r="H1341" s="32"/>
      <c r="I1341" s="32">
        <v>520000</v>
      </c>
      <c r="J1341" s="101">
        <f>+SUM(C1341:G1341)-(H1341+I1341)</f>
        <v>96100</v>
      </c>
      <c r="K1341" s="68"/>
      <c r="L1341" s="5"/>
      <c r="M1341" s="5"/>
      <c r="N1341" s="5"/>
      <c r="O1341" s="5"/>
    </row>
    <row r="1342" spans="1:15">
      <c r="A1342" s="122" t="s">
        <v>108</v>
      </c>
      <c r="B1342" s="127" t="s">
        <v>69</v>
      </c>
      <c r="C1342" s="32">
        <v>1784</v>
      </c>
      <c r="D1342" s="104"/>
      <c r="E1342" s="32">
        <v>568600</v>
      </c>
      <c r="F1342" s="32">
        <v>50000</v>
      </c>
      <c r="G1342" s="32"/>
      <c r="H1342" s="32">
        <v>184300</v>
      </c>
      <c r="I1342" s="32">
        <v>422200</v>
      </c>
      <c r="J1342" s="101">
        <f t="shared" ref="J1342" si="664">+SUM(C1342:G1342)-(H1342+I1342)</f>
        <v>13884</v>
      </c>
      <c r="K1342" s="68"/>
      <c r="L1342" s="5"/>
      <c r="M1342" s="5"/>
      <c r="N1342" s="5"/>
      <c r="O1342" s="5"/>
    </row>
    <row r="1343" spans="1:15">
      <c r="A1343" s="122" t="s">
        <v>108</v>
      </c>
      <c r="B1343" s="128" t="s">
        <v>30</v>
      </c>
      <c r="C1343" s="32">
        <v>88800</v>
      </c>
      <c r="D1343" s="119"/>
      <c r="E1343" s="51">
        <v>694600</v>
      </c>
      <c r="F1343" s="51"/>
      <c r="G1343" s="51"/>
      <c r="H1343" s="51"/>
      <c r="I1343" s="51">
        <v>711000</v>
      </c>
      <c r="J1343" s="124">
        <f>+SUM(C1343:G1343)-(H1343+I1343)</f>
        <v>72400</v>
      </c>
      <c r="K1343" s="68"/>
      <c r="L1343" s="5"/>
      <c r="M1343" s="5"/>
      <c r="N1343" s="5"/>
      <c r="O1343" s="5"/>
    </row>
    <row r="1344" spans="1:15">
      <c r="A1344" s="122" t="s">
        <v>108</v>
      </c>
      <c r="B1344" s="129" t="s">
        <v>84</v>
      </c>
      <c r="C1344" s="120">
        <v>233614</v>
      </c>
      <c r="D1344" s="123"/>
      <c r="E1344" s="137"/>
      <c r="F1344" s="137"/>
      <c r="G1344" s="137"/>
      <c r="H1344" s="137"/>
      <c r="I1344" s="137"/>
      <c r="J1344" s="121">
        <f>+SUM(C1344:G1344)-(H1344+I1344)</f>
        <v>233614</v>
      </c>
      <c r="K1344" s="68"/>
      <c r="L1344" s="5"/>
      <c r="M1344" s="5"/>
      <c r="N1344" s="5"/>
      <c r="O1344" s="5"/>
    </row>
    <row r="1345" spans="1:15">
      <c r="A1345" s="122" t="s">
        <v>108</v>
      </c>
      <c r="B1345" s="129" t="s">
        <v>83</v>
      </c>
      <c r="C1345" s="120">
        <v>249769</v>
      </c>
      <c r="D1345" s="123"/>
      <c r="E1345" s="137"/>
      <c r="F1345" s="137"/>
      <c r="G1345" s="137"/>
      <c r="H1345" s="137"/>
      <c r="I1345" s="137"/>
      <c r="J1345" s="121">
        <f t="shared" ref="J1345:J1349" si="665">+SUM(C1345:G1345)-(H1345+I1345)</f>
        <v>249769</v>
      </c>
      <c r="K1345" s="68"/>
      <c r="L1345" s="5"/>
      <c r="M1345" s="5"/>
      <c r="N1345" s="5"/>
      <c r="O1345" s="5"/>
    </row>
    <row r="1346" spans="1:15">
      <c r="A1346" s="122" t="s">
        <v>108</v>
      </c>
      <c r="B1346" s="127" t="s">
        <v>35</v>
      </c>
      <c r="C1346" s="32">
        <v>7890</v>
      </c>
      <c r="D1346" s="31"/>
      <c r="E1346" s="32">
        <v>135600</v>
      </c>
      <c r="F1346" s="104"/>
      <c r="G1346" s="104"/>
      <c r="H1346" s="104"/>
      <c r="I1346" s="32">
        <v>125000</v>
      </c>
      <c r="J1346" s="30">
        <f t="shared" si="665"/>
        <v>18490</v>
      </c>
      <c r="K1346" s="68"/>
      <c r="L1346" s="5"/>
      <c r="M1346" s="5"/>
      <c r="N1346" s="5"/>
      <c r="O1346" s="5"/>
    </row>
    <row r="1347" spans="1:15">
      <c r="A1347" s="122" t="s">
        <v>108</v>
      </c>
      <c r="B1347" s="127" t="s">
        <v>93</v>
      </c>
      <c r="C1347" s="32">
        <v>5000</v>
      </c>
      <c r="D1347" s="31"/>
      <c r="E1347" s="32">
        <v>30000</v>
      </c>
      <c r="F1347" s="104"/>
      <c r="G1347" s="104"/>
      <c r="H1347" s="104"/>
      <c r="I1347" s="32">
        <v>30500</v>
      </c>
      <c r="J1347" s="30">
        <f t="shared" si="665"/>
        <v>4500</v>
      </c>
      <c r="K1347" s="68"/>
      <c r="L1347" s="5"/>
      <c r="M1347" s="5"/>
      <c r="N1347" s="5"/>
      <c r="O1347" s="5"/>
    </row>
    <row r="1348" spans="1:15">
      <c r="A1348" s="122" t="s">
        <v>108</v>
      </c>
      <c r="B1348" s="127" t="s">
        <v>29</v>
      </c>
      <c r="C1348" s="32">
        <v>57700</v>
      </c>
      <c r="D1348" s="31"/>
      <c r="E1348" s="32">
        <v>639000</v>
      </c>
      <c r="F1348" s="104"/>
      <c r="G1348" s="104"/>
      <c r="H1348" s="104"/>
      <c r="I1348" s="32">
        <v>652500</v>
      </c>
      <c r="J1348" s="30">
        <f t="shared" si="665"/>
        <v>44200</v>
      </c>
      <c r="K1348" s="68"/>
      <c r="L1348" s="5"/>
      <c r="M1348" s="5"/>
      <c r="N1348" s="5"/>
      <c r="O1348" s="5"/>
    </row>
    <row r="1349" spans="1:15">
      <c r="A1349" s="122" t="s">
        <v>108</v>
      </c>
      <c r="B1349" s="127" t="s">
        <v>94</v>
      </c>
      <c r="C1349" s="32">
        <v>-32081</v>
      </c>
      <c r="D1349" s="31"/>
      <c r="E1349" s="104"/>
      <c r="F1349" s="104"/>
      <c r="G1349" s="104"/>
      <c r="H1349" s="104"/>
      <c r="I1349" s="32">
        <v>819628</v>
      </c>
      <c r="J1349" s="30">
        <f t="shared" si="665"/>
        <v>-851709</v>
      </c>
      <c r="K1349" s="68"/>
      <c r="L1349" s="5"/>
      <c r="M1349" s="5"/>
      <c r="N1349" s="5"/>
      <c r="O1349" s="5"/>
    </row>
    <row r="1350" spans="1:15">
      <c r="A1350" s="122" t="s">
        <v>108</v>
      </c>
      <c r="B1350" s="127" t="s">
        <v>101</v>
      </c>
      <c r="C1350" s="32">
        <v>62000</v>
      </c>
      <c r="D1350" s="31"/>
      <c r="E1350" s="32">
        <v>622600</v>
      </c>
      <c r="F1350" s="104"/>
      <c r="G1350" s="104"/>
      <c r="H1350" s="104"/>
      <c r="I1350" s="32">
        <v>594300</v>
      </c>
      <c r="J1350" s="30">
        <f>+SUM(C1350:G1350)-(H1350+I1350)</f>
        <v>90300</v>
      </c>
      <c r="K1350" s="68"/>
      <c r="L1350" s="5"/>
      <c r="M1350" s="5"/>
      <c r="N1350" s="5"/>
      <c r="O1350" s="5"/>
    </row>
    <row r="1351" spans="1:15">
      <c r="A1351" s="122" t="s">
        <v>108</v>
      </c>
      <c r="B1351" s="128" t="s">
        <v>32</v>
      </c>
      <c r="C1351" s="32">
        <v>4300</v>
      </c>
      <c r="D1351" s="119"/>
      <c r="E1351" s="136"/>
      <c r="F1351" s="136"/>
      <c r="G1351" s="138"/>
      <c r="H1351" s="136"/>
      <c r="I1351" s="51">
        <v>4000</v>
      </c>
      <c r="J1351" s="30">
        <f t="shared" ref="J1351" si="666">+SUM(C1351:G1351)-(H1351+I1351)</f>
        <v>300</v>
      </c>
      <c r="K1351" s="68"/>
      <c r="L1351" s="5"/>
      <c r="M1351" s="5"/>
      <c r="N1351" s="5"/>
      <c r="O1351" s="5"/>
    </row>
    <row r="1352" spans="1:15">
      <c r="A1352" s="34" t="s">
        <v>60</v>
      </c>
      <c r="B1352" s="35"/>
      <c r="C1352" s="35"/>
      <c r="D1352" s="35"/>
      <c r="E1352" s="35"/>
      <c r="F1352" s="35"/>
      <c r="G1352" s="35"/>
      <c r="H1352" s="35"/>
      <c r="I1352" s="35"/>
      <c r="J1352" s="36"/>
      <c r="K1352" s="68"/>
      <c r="L1352" s="5"/>
      <c r="M1352" s="5"/>
      <c r="N1352" s="5"/>
      <c r="O1352" s="5"/>
    </row>
    <row r="1353" spans="1:15">
      <c r="A1353" s="122" t="s">
        <v>108</v>
      </c>
      <c r="B1353" s="37" t="s">
        <v>61</v>
      </c>
      <c r="C1353" s="38">
        <v>62150</v>
      </c>
      <c r="D1353" s="49">
        <v>5500000</v>
      </c>
      <c r="E1353" s="103"/>
      <c r="F1353" s="103"/>
      <c r="G1353" s="139"/>
      <c r="H1353" s="131">
        <v>3968900</v>
      </c>
      <c r="I1353" s="126">
        <v>1276534</v>
      </c>
      <c r="J1353" s="30">
        <f>+SUM(C1353:G1353)-(H1353+I1353)</f>
        <v>316716</v>
      </c>
      <c r="K1353" s="68"/>
      <c r="L1353" s="5"/>
      <c r="M1353" s="5"/>
      <c r="N1353" s="5"/>
      <c r="O1353" s="5"/>
    </row>
    <row r="1354" spans="1:15">
      <c r="A1354" s="43" t="s">
        <v>62</v>
      </c>
      <c r="B1354" s="24"/>
      <c r="C1354" s="35"/>
      <c r="D1354" s="24"/>
      <c r="E1354" s="24"/>
      <c r="F1354" s="24"/>
      <c r="G1354" s="24"/>
      <c r="H1354" s="24"/>
      <c r="I1354" s="24"/>
      <c r="J1354" s="36"/>
      <c r="L1354" s="5"/>
      <c r="M1354" s="5"/>
      <c r="N1354" s="5"/>
      <c r="O1354" s="5"/>
    </row>
    <row r="1355" spans="1:15">
      <c r="A1355" s="122" t="s">
        <v>108</v>
      </c>
      <c r="B1355" s="37" t="s">
        <v>63</v>
      </c>
      <c r="C1355" s="125">
        <v>11284555</v>
      </c>
      <c r="D1355" s="132"/>
      <c r="E1355" s="49"/>
      <c r="F1355" s="49"/>
      <c r="G1355" s="49"/>
      <c r="H1355" s="51">
        <v>5500000</v>
      </c>
      <c r="I1355" s="53">
        <v>273881</v>
      </c>
      <c r="J1355" s="30">
        <f>+SUM(C1355:G1355)-(H1355+I1355)</f>
        <v>5510674</v>
      </c>
      <c r="K1355" s="68"/>
      <c r="L1355" s="5"/>
      <c r="M1355" s="5"/>
      <c r="N1355" s="5"/>
      <c r="O1355" s="5"/>
    </row>
    <row r="1356" spans="1:15">
      <c r="A1356" s="122" t="s">
        <v>108</v>
      </c>
      <c r="B1356" s="37" t="s">
        <v>64</v>
      </c>
      <c r="C1356" s="125">
        <v>2158645</v>
      </c>
      <c r="D1356" s="49">
        <v>15435980</v>
      </c>
      <c r="E1356" s="48"/>
      <c r="F1356" s="48"/>
      <c r="G1356" s="48"/>
      <c r="H1356" s="32"/>
      <c r="I1356" s="50">
        <v>6400961</v>
      </c>
      <c r="J1356" s="30">
        <f>SUM(C1356:G1356)-(H1356+I1356)</f>
        <v>11193664</v>
      </c>
      <c r="K1356" s="68"/>
      <c r="L1356" s="5"/>
      <c r="M1356" s="5"/>
      <c r="N1356" s="5"/>
      <c r="O1356" s="5"/>
    </row>
    <row r="1357" spans="1:15" ht="15.75">
      <c r="C1357" s="141">
        <f>SUM(C1338:C1356)</f>
        <v>14101751</v>
      </c>
      <c r="I1357" s="140">
        <f>SUM(I1338:I1356)</f>
        <v>12539304</v>
      </c>
      <c r="J1357" s="105">
        <f>+SUM(J1338:J1356)</f>
        <v>16998427</v>
      </c>
      <c r="L1357" s="5"/>
      <c r="M1357" s="5"/>
      <c r="N1357" s="5"/>
      <c r="O1357" s="5"/>
    </row>
    <row r="1358" spans="1:15" ht="16.5">
      <c r="A1358" s="10"/>
      <c r="B1358" s="11"/>
      <c r="C1358" s="12"/>
      <c r="D1358" s="12"/>
      <c r="E1358" s="12"/>
      <c r="F1358" s="12"/>
      <c r="G1358" s="12"/>
      <c r="H1358" s="12"/>
      <c r="I1358" s="12"/>
      <c r="J1358" s="133"/>
      <c r="L1358" s="5"/>
      <c r="M1358" s="5"/>
      <c r="N1358" s="5"/>
      <c r="O1358" s="5"/>
    </row>
    <row r="1359" spans="1:15" ht="16.5">
      <c r="A1359" s="14"/>
      <c r="B1359" s="15"/>
      <c r="C1359" s="12"/>
      <c r="D1359" s="12"/>
      <c r="E1359" s="13"/>
      <c r="F1359" s="12"/>
      <c r="G1359" s="12"/>
      <c r="H1359" s="12"/>
      <c r="I1359" s="12"/>
      <c r="L1359" s="5"/>
      <c r="M1359" s="5"/>
      <c r="N1359" s="5"/>
      <c r="O1359" s="5"/>
    </row>
    <row r="1360" spans="1:15">
      <c r="A1360" s="16" t="s">
        <v>52</v>
      </c>
      <c r="B1360" s="16"/>
      <c r="C1360" s="16"/>
      <c r="D1360" s="17"/>
      <c r="E1360" s="17"/>
      <c r="F1360" s="17"/>
      <c r="G1360" s="17"/>
      <c r="H1360" s="17"/>
      <c r="I1360" s="17"/>
      <c r="L1360" s="5"/>
      <c r="M1360" s="5"/>
      <c r="N1360" s="5"/>
      <c r="O1360" s="5"/>
    </row>
    <row r="1361" spans="1:15">
      <c r="A1361" s="18" t="s">
        <v>106</v>
      </c>
      <c r="B1361" s="18"/>
      <c r="C1361" s="18"/>
      <c r="D1361" s="18"/>
      <c r="E1361" s="18"/>
      <c r="F1361" s="18"/>
      <c r="G1361" s="18"/>
      <c r="H1361" s="18"/>
      <c r="I1361" s="18"/>
      <c r="J1361" s="17"/>
      <c r="L1361" s="5"/>
      <c r="M1361" s="5"/>
      <c r="N1361" s="5"/>
      <c r="O1361" s="5"/>
    </row>
    <row r="1362" spans="1:15">
      <c r="A1362" s="19"/>
      <c r="B1362" s="17"/>
      <c r="C1362" s="20"/>
      <c r="D1362" s="20"/>
      <c r="E1362" s="20"/>
      <c r="F1362" s="20"/>
      <c r="G1362" s="20"/>
      <c r="H1362" s="17"/>
      <c r="I1362" s="17"/>
      <c r="J1362" s="18"/>
      <c r="L1362" s="5"/>
      <c r="M1362" s="5"/>
      <c r="N1362" s="5"/>
      <c r="O1362" s="5"/>
    </row>
    <row r="1363" spans="1:15">
      <c r="A1363" s="242" t="s">
        <v>53</v>
      </c>
      <c r="B1363" s="244" t="s">
        <v>54</v>
      </c>
      <c r="C1363" s="246" t="s">
        <v>104</v>
      </c>
      <c r="D1363" s="248" t="s">
        <v>55</v>
      </c>
      <c r="E1363" s="249"/>
      <c r="F1363" s="249"/>
      <c r="G1363" s="250"/>
      <c r="H1363" s="251" t="s">
        <v>56</v>
      </c>
      <c r="I1363" s="238" t="s">
        <v>57</v>
      </c>
      <c r="J1363" s="17"/>
      <c r="L1363" s="5"/>
      <c r="M1363" s="5"/>
      <c r="N1363" s="5"/>
      <c r="O1363" s="5"/>
    </row>
    <row r="1364" spans="1:15">
      <c r="A1364" s="243"/>
      <c r="B1364" s="245"/>
      <c r="C1364" s="247"/>
      <c r="D1364" s="21" t="s">
        <v>24</v>
      </c>
      <c r="E1364" s="21" t="s">
        <v>25</v>
      </c>
      <c r="F1364" s="22" t="s">
        <v>107</v>
      </c>
      <c r="G1364" s="21" t="s">
        <v>58</v>
      </c>
      <c r="H1364" s="252"/>
      <c r="I1364" s="239"/>
      <c r="J1364" s="240" t="s">
        <v>105</v>
      </c>
      <c r="L1364" s="5"/>
      <c r="M1364" s="5"/>
      <c r="N1364" s="5"/>
      <c r="O1364" s="5"/>
    </row>
    <row r="1365" spans="1:15">
      <c r="A1365" s="23"/>
      <c r="B1365" s="24" t="s">
        <v>59</v>
      </c>
      <c r="C1365" s="25"/>
      <c r="D1365" s="25"/>
      <c r="E1365" s="25"/>
      <c r="F1365" s="25"/>
      <c r="G1365" s="25"/>
      <c r="H1365" s="25"/>
      <c r="I1365" s="26"/>
      <c r="J1365" s="241"/>
      <c r="L1365" s="5"/>
      <c r="M1365" s="5"/>
      <c r="N1365" s="5"/>
      <c r="O1365" s="5"/>
    </row>
    <row r="1366" spans="1:15">
      <c r="A1366" s="122" t="s">
        <v>103</v>
      </c>
      <c r="B1366" s="127" t="s">
        <v>76</v>
      </c>
      <c r="C1366" s="32">
        <v>22200</v>
      </c>
      <c r="D1366" s="31"/>
      <c r="E1366" s="32">
        <v>439970</v>
      </c>
      <c r="F1366" s="104"/>
      <c r="G1366" s="104"/>
      <c r="H1366" s="135"/>
      <c r="I1366" s="32">
        <v>473500</v>
      </c>
      <c r="J1366" s="30">
        <f>+SUM(C1366:G1366)-(H1366+I1366)</f>
        <v>-11330</v>
      </c>
      <c r="K1366" s="68"/>
      <c r="L1366" s="5"/>
      <c r="M1366" s="5"/>
      <c r="N1366" s="5"/>
      <c r="O1366" s="5"/>
    </row>
    <row r="1367" spans="1:15">
      <c r="A1367" s="122" t="s">
        <v>103</v>
      </c>
      <c r="B1367" s="127" t="s">
        <v>47</v>
      </c>
      <c r="C1367" s="32">
        <v>3060</v>
      </c>
      <c r="D1367" s="31"/>
      <c r="E1367" s="32">
        <v>157200</v>
      </c>
      <c r="F1367" s="32"/>
      <c r="G1367" s="32"/>
      <c r="H1367" s="55"/>
      <c r="I1367" s="32">
        <v>152000</v>
      </c>
      <c r="J1367" s="30">
        <f t="shared" ref="J1367:J1368" si="667">+SUM(C1367:G1367)-(H1367+I1367)</f>
        <v>8260</v>
      </c>
      <c r="K1367" s="68"/>
      <c r="L1367" s="5"/>
      <c r="M1367" s="5"/>
      <c r="N1367" s="5"/>
      <c r="O1367" s="5"/>
    </row>
    <row r="1368" spans="1:15">
      <c r="A1368" s="122" t="s">
        <v>103</v>
      </c>
      <c r="B1368" s="127" t="s">
        <v>31</v>
      </c>
      <c r="C1368" s="32">
        <v>3795</v>
      </c>
      <c r="D1368" s="31"/>
      <c r="E1368" s="32">
        <v>45000</v>
      </c>
      <c r="F1368" s="32"/>
      <c r="G1368" s="32"/>
      <c r="H1368" s="32"/>
      <c r="I1368" s="32">
        <v>45000</v>
      </c>
      <c r="J1368" s="101">
        <f t="shared" si="667"/>
        <v>3795</v>
      </c>
      <c r="K1368" s="68"/>
      <c r="L1368" s="5"/>
      <c r="M1368" s="5"/>
      <c r="N1368" s="5"/>
      <c r="O1368" s="5"/>
    </row>
    <row r="1369" spans="1:15">
      <c r="A1369" s="122" t="s">
        <v>103</v>
      </c>
      <c r="B1369" s="127" t="s">
        <v>77</v>
      </c>
      <c r="C1369" s="32">
        <v>2300</v>
      </c>
      <c r="D1369" s="104"/>
      <c r="E1369" s="32">
        <v>266600</v>
      </c>
      <c r="F1369" s="32">
        <v>159900</v>
      </c>
      <c r="G1369" s="32"/>
      <c r="H1369" s="32">
        <v>25000</v>
      </c>
      <c r="I1369" s="32">
        <v>486900</v>
      </c>
      <c r="J1369" s="101">
        <f>+SUM(C1369:G1369)-(H1369+I1369)</f>
        <v>-83100</v>
      </c>
      <c r="K1369" s="68"/>
      <c r="L1369" s="5"/>
      <c r="M1369" s="5"/>
      <c r="N1369" s="5"/>
      <c r="O1369" s="5"/>
    </row>
    <row r="1370" spans="1:15">
      <c r="A1370" s="122" t="s">
        <v>103</v>
      </c>
      <c r="B1370" s="127" t="s">
        <v>69</v>
      </c>
      <c r="C1370" s="32">
        <v>-14216</v>
      </c>
      <c r="D1370" s="104"/>
      <c r="E1370" s="32">
        <v>622600</v>
      </c>
      <c r="F1370" s="32">
        <v>25000</v>
      </c>
      <c r="G1370" s="32"/>
      <c r="H1370" s="32">
        <v>260700</v>
      </c>
      <c r="I1370" s="32">
        <v>370900</v>
      </c>
      <c r="J1370" s="101">
        <f>+SUM(C1370:G1370)-(H1370+I1370)</f>
        <v>1784</v>
      </c>
      <c r="K1370" s="68"/>
      <c r="L1370" s="5"/>
      <c r="M1370" s="5"/>
      <c r="N1370" s="5"/>
      <c r="O1370" s="5"/>
    </row>
    <row r="1371" spans="1:15">
      <c r="A1371" s="122" t="s">
        <v>103</v>
      </c>
      <c r="B1371" s="128" t="s">
        <v>30</v>
      </c>
      <c r="C1371" s="51">
        <v>143300</v>
      </c>
      <c r="D1371" s="119"/>
      <c r="E1371" s="51">
        <v>466500</v>
      </c>
      <c r="F1371" s="136"/>
      <c r="G1371" s="136"/>
      <c r="H1371" s="136"/>
      <c r="I1371" s="51">
        <v>521000</v>
      </c>
      <c r="J1371" s="124">
        <f>+SUM(C1371:G1371)-(H1371+I1371)</f>
        <v>88800</v>
      </c>
      <c r="K1371" s="68"/>
      <c r="L1371" s="5"/>
      <c r="M1371" s="5"/>
      <c r="N1371" s="5"/>
      <c r="O1371" s="5"/>
    </row>
    <row r="1372" spans="1:15">
      <c r="A1372" s="122" t="s">
        <v>103</v>
      </c>
      <c r="B1372" s="129" t="s">
        <v>84</v>
      </c>
      <c r="C1372" s="120">
        <v>233614</v>
      </c>
      <c r="D1372" s="123"/>
      <c r="E1372" s="137"/>
      <c r="F1372" s="137"/>
      <c r="G1372" s="137"/>
      <c r="H1372" s="137"/>
      <c r="I1372" s="137"/>
      <c r="J1372" s="121">
        <f>+SUM(C1372:G1372)-(H1372+I1372)</f>
        <v>233614</v>
      </c>
      <c r="K1372" s="68"/>
      <c r="L1372" s="5"/>
      <c r="M1372" s="5"/>
      <c r="N1372" s="5"/>
      <c r="O1372" s="5"/>
    </row>
    <row r="1373" spans="1:15">
      <c r="A1373" s="122" t="s">
        <v>103</v>
      </c>
      <c r="B1373" s="129" t="s">
        <v>83</v>
      </c>
      <c r="C1373" s="120">
        <v>249768</v>
      </c>
      <c r="D1373" s="123"/>
      <c r="E1373" s="137"/>
      <c r="F1373" s="137"/>
      <c r="G1373" s="137"/>
      <c r="H1373" s="137"/>
      <c r="I1373" s="137"/>
      <c r="J1373" s="121">
        <f t="shared" ref="J1373:J1379" si="668">+SUM(C1373:G1373)-(H1373+I1373)</f>
        <v>249768</v>
      </c>
      <c r="K1373" s="68"/>
      <c r="L1373" s="5"/>
      <c r="M1373" s="5"/>
      <c r="N1373" s="5"/>
      <c r="O1373" s="5"/>
    </row>
    <row r="1374" spans="1:15">
      <c r="A1374" s="122" t="s">
        <v>103</v>
      </c>
      <c r="B1374" s="127" t="s">
        <v>35</v>
      </c>
      <c r="C1374" s="32">
        <v>55090</v>
      </c>
      <c r="D1374" s="31"/>
      <c r="E1374" s="32">
        <v>143000</v>
      </c>
      <c r="F1374" s="32">
        <v>70800</v>
      </c>
      <c r="G1374" s="104"/>
      <c r="H1374" s="104"/>
      <c r="I1374" s="32">
        <v>261000</v>
      </c>
      <c r="J1374" s="30">
        <f t="shared" si="668"/>
        <v>7890</v>
      </c>
      <c r="K1374" s="68"/>
      <c r="L1374" s="5"/>
      <c r="M1374" s="5"/>
      <c r="N1374" s="5"/>
      <c r="O1374" s="5"/>
    </row>
    <row r="1375" spans="1:15">
      <c r="A1375" s="122" t="s">
        <v>103</v>
      </c>
      <c r="B1375" s="127" t="s">
        <v>93</v>
      </c>
      <c r="C1375" s="32">
        <v>0</v>
      </c>
      <c r="D1375" s="31"/>
      <c r="E1375" s="32">
        <v>30000</v>
      </c>
      <c r="F1375" s="104"/>
      <c r="G1375" s="104"/>
      <c r="H1375" s="104"/>
      <c r="I1375" s="32">
        <v>25000</v>
      </c>
      <c r="J1375" s="30">
        <f t="shared" si="668"/>
        <v>5000</v>
      </c>
      <c r="K1375" s="68"/>
      <c r="L1375" s="5"/>
      <c r="M1375" s="5"/>
      <c r="N1375" s="5"/>
      <c r="O1375" s="5"/>
    </row>
    <row r="1376" spans="1:15">
      <c r="A1376" s="122" t="s">
        <v>103</v>
      </c>
      <c r="B1376" s="127" t="s">
        <v>29</v>
      </c>
      <c r="C1376" s="32">
        <v>110700</v>
      </c>
      <c r="D1376" s="31"/>
      <c r="E1376" s="32">
        <v>375000</v>
      </c>
      <c r="F1376" s="32">
        <v>30000</v>
      </c>
      <c r="G1376" s="104"/>
      <c r="H1376" s="104"/>
      <c r="I1376" s="32">
        <v>458000</v>
      </c>
      <c r="J1376" s="30">
        <f t="shared" si="668"/>
        <v>57700</v>
      </c>
      <c r="K1376" s="68"/>
      <c r="L1376" s="5"/>
      <c r="M1376" s="5"/>
      <c r="N1376" s="5"/>
      <c r="O1376" s="5"/>
    </row>
    <row r="1377" spans="1:15">
      <c r="A1377" s="122" t="s">
        <v>103</v>
      </c>
      <c r="B1377" s="127" t="s">
        <v>94</v>
      </c>
      <c r="C1377" s="32">
        <v>-32081</v>
      </c>
      <c r="D1377" s="31"/>
      <c r="E1377" s="104">
        <v>0</v>
      </c>
      <c r="F1377" s="104"/>
      <c r="G1377" s="104"/>
      <c r="H1377" s="104"/>
      <c r="I1377" s="104">
        <v>0</v>
      </c>
      <c r="J1377" s="30">
        <f t="shared" si="668"/>
        <v>-32081</v>
      </c>
      <c r="K1377" s="68"/>
      <c r="L1377" s="5"/>
      <c r="M1377" s="5"/>
      <c r="N1377" s="5"/>
      <c r="O1377" s="5"/>
    </row>
    <row r="1378" spans="1:15">
      <c r="A1378" s="122" t="s">
        <v>103</v>
      </c>
      <c r="B1378" s="127" t="s">
        <v>101</v>
      </c>
      <c r="C1378" s="32">
        <v>0</v>
      </c>
      <c r="D1378" s="31"/>
      <c r="E1378" s="32">
        <v>82000</v>
      </c>
      <c r="F1378" s="104"/>
      <c r="G1378" s="104"/>
      <c r="H1378" s="104"/>
      <c r="I1378" s="32">
        <v>20000</v>
      </c>
      <c r="J1378" s="30">
        <f>+SUM(C1378:G1378)-(H1378+I1378)</f>
        <v>62000</v>
      </c>
      <c r="K1378" s="68"/>
      <c r="L1378" s="5"/>
      <c r="M1378" s="5"/>
      <c r="N1378" s="5"/>
      <c r="O1378" s="5"/>
    </row>
    <row r="1379" spans="1:15">
      <c r="A1379" s="122" t="s">
        <v>103</v>
      </c>
      <c r="B1379" s="128" t="s">
        <v>32</v>
      </c>
      <c r="C1379" s="51">
        <v>7300</v>
      </c>
      <c r="D1379" s="119"/>
      <c r="E1379" s="136"/>
      <c r="F1379" s="136"/>
      <c r="G1379" s="138"/>
      <c r="H1379" s="136"/>
      <c r="I1379" s="51">
        <v>3000</v>
      </c>
      <c r="J1379" s="30">
        <f t="shared" si="668"/>
        <v>4300</v>
      </c>
      <c r="K1379" s="68"/>
      <c r="L1379" s="5"/>
      <c r="M1379" s="5"/>
      <c r="N1379" s="5"/>
      <c r="O1379" s="5"/>
    </row>
    <row r="1380" spans="1:15">
      <c r="A1380" s="34" t="s">
        <v>60</v>
      </c>
      <c r="B1380" s="35"/>
      <c r="C1380" s="35"/>
      <c r="D1380" s="35"/>
      <c r="E1380" s="35"/>
      <c r="F1380" s="35"/>
      <c r="G1380" s="35"/>
      <c r="H1380" s="35"/>
      <c r="I1380" s="35"/>
      <c r="J1380" s="36"/>
      <c r="K1380" s="68"/>
      <c r="L1380" s="5"/>
      <c r="M1380" s="5"/>
      <c r="N1380" s="5"/>
      <c r="O1380" s="5"/>
    </row>
    <row r="1381" spans="1:15">
      <c r="A1381" s="122" t="s">
        <v>103</v>
      </c>
      <c r="B1381" s="37" t="s">
        <v>61</v>
      </c>
      <c r="C1381" s="38">
        <v>817769</v>
      </c>
      <c r="D1381" s="49">
        <v>3000000</v>
      </c>
      <c r="E1381" s="103"/>
      <c r="F1381" s="103"/>
      <c r="G1381" s="139"/>
      <c r="H1381" s="131">
        <v>2627870</v>
      </c>
      <c r="I1381" s="126">
        <v>1127749</v>
      </c>
      <c r="J1381" s="30">
        <f>+SUM(C1381:G1381)-(H1381+I1381)</f>
        <v>62150</v>
      </c>
      <c r="K1381" s="68"/>
      <c r="L1381" s="5"/>
      <c r="M1381" s="5"/>
      <c r="N1381" s="5"/>
      <c r="O1381" s="5"/>
    </row>
    <row r="1382" spans="1:15">
      <c r="A1382" s="43" t="s">
        <v>62</v>
      </c>
      <c r="B1382" s="24"/>
      <c r="C1382" s="35"/>
      <c r="D1382" s="24"/>
      <c r="E1382" s="24"/>
      <c r="F1382" s="24"/>
      <c r="G1382" s="24"/>
      <c r="H1382" s="24"/>
      <c r="I1382" s="24"/>
      <c r="J1382" s="36"/>
      <c r="L1382" s="5"/>
      <c r="M1382" s="5"/>
      <c r="N1382" s="5"/>
      <c r="O1382" s="5"/>
    </row>
    <row r="1383" spans="1:15">
      <c r="A1383" s="122" t="s">
        <v>103</v>
      </c>
      <c r="B1383" s="37" t="s">
        <v>63</v>
      </c>
      <c r="C1383" s="125">
        <v>14712920</v>
      </c>
      <c r="D1383" s="132"/>
      <c r="E1383" s="49"/>
      <c r="F1383" s="49"/>
      <c r="G1383" s="49"/>
      <c r="H1383" s="51">
        <v>3000000</v>
      </c>
      <c r="I1383" s="53">
        <v>428365</v>
      </c>
      <c r="J1383" s="30">
        <f>+SUM(C1383:G1383)-(H1383+I1383)</f>
        <v>11284555</v>
      </c>
      <c r="K1383" s="68"/>
      <c r="L1383" s="5"/>
      <c r="M1383" s="5"/>
      <c r="N1383" s="5"/>
      <c r="O1383" s="5"/>
    </row>
    <row r="1384" spans="1:15">
      <c r="A1384" s="122" t="s">
        <v>103</v>
      </c>
      <c r="B1384" s="37" t="s">
        <v>64</v>
      </c>
      <c r="C1384" s="125">
        <v>8361083</v>
      </c>
      <c r="D1384" s="49"/>
      <c r="E1384" s="48"/>
      <c r="F1384" s="48"/>
      <c r="G1384" s="48"/>
      <c r="H1384" s="32"/>
      <c r="I1384" s="50">
        <v>6202438</v>
      </c>
      <c r="J1384" s="30">
        <f>SUM(C1384:G1384)-(H1384+I1384)</f>
        <v>2158645</v>
      </c>
      <c r="K1384" s="68"/>
      <c r="L1384" s="5"/>
      <c r="M1384" s="5"/>
      <c r="N1384" s="5"/>
      <c r="O1384" s="5"/>
    </row>
    <row r="1385" spans="1:15" ht="15.75">
      <c r="C1385" s="9"/>
      <c r="I1385" s="140">
        <f>SUM(I1366:I1384)</f>
        <v>10574852</v>
      </c>
      <c r="J1385" s="105">
        <f>+SUM(J1366:J1384)</f>
        <v>14101750</v>
      </c>
      <c r="K1385" s="9">
        <f>J1385-C1357</f>
        <v>-1</v>
      </c>
      <c r="L1385" s="5"/>
      <c r="M1385" s="5"/>
      <c r="N1385" s="5"/>
      <c r="O1385" s="5"/>
    </row>
    <row r="1386" spans="1:15" ht="16.5">
      <c r="A1386" s="10"/>
      <c r="B1386" s="11"/>
      <c r="C1386" s="12"/>
      <c r="D1386" s="12"/>
      <c r="E1386" s="12"/>
      <c r="F1386" s="12"/>
      <c r="G1386" s="12"/>
      <c r="H1386" s="12"/>
      <c r="I1386" s="12"/>
      <c r="J1386" s="133"/>
      <c r="L1386" s="5"/>
      <c r="M1386" s="5"/>
      <c r="N1386" s="5"/>
      <c r="O1386" s="5"/>
    </row>
    <row r="1387" spans="1:15">
      <c r="A1387" s="16" t="s">
        <v>52</v>
      </c>
      <c r="B1387" s="16"/>
      <c r="C1387" s="16"/>
      <c r="D1387" s="17"/>
      <c r="E1387" s="17"/>
      <c r="F1387" s="17"/>
      <c r="G1387" s="17"/>
      <c r="H1387" s="17"/>
      <c r="I1387" s="17"/>
      <c r="L1387" s="5"/>
      <c r="M1387" s="5"/>
      <c r="N1387" s="5"/>
      <c r="O1387" s="5"/>
    </row>
    <row r="1388" spans="1:15">
      <c r="A1388" s="18" t="s">
        <v>95</v>
      </c>
      <c r="B1388" s="18"/>
      <c r="C1388" s="18"/>
      <c r="D1388" s="18"/>
      <c r="E1388" s="18"/>
      <c r="F1388" s="18"/>
      <c r="G1388" s="18"/>
      <c r="H1388" s="18"/>
      <c r="I1388" s="18"/>
      <c r="J1388" s="17"/>
      <c r="L1388" s="5"/>
      <c r="M1388" s="5"/>
      <c r="N1388" s="5"/>
      <c r="O1388" s="5"/>
    </row>
    <row r="1389" spans="1:15">
      <c r="A1389" s="19"/>
      <c r="B1389" s="17"/>
      <c r="C1389" s="20"/>
      <c r="D1389" s="20"/>
      <c r="E1389" s="20"/>
      <c r="F1389" s="20"/>
      <c r="G1389" s="20"/>
      <c r="H1389" s="17"/>
      <c r="I1389" s="17"/>
      <c r="J1389" s="18"/>
      <c r="L1389" s="5"/>
      <c r="M1389" s="5"/>
      <c r="N1389" s="5"/>
      <c r="O1389" s="5"/>
    </row>
    <row r="1390" spans="1:15" ht="15" customHeight="1">
      <c r="A1390" s="242" t="s">
        <v>53</v>
      </c>
      <c r="B1390" s="244" t="s">
        <v>54</v>
      </c>
      <c r="C1390" s="246" t="s">
        <v>96</v>
      </c>
      <c r="D1390" s="248" t="s">
        <v>55</v>
      </c>
      <c r="E1390" s="249"/>
      <c r="F1390" s="249"/>
      <c r="G1390" s="250"/>
      <c r="H1390" s="251" t="s">
        <v>56</v>
      </c>
      <c r="I1390" s="238" t="s">
        <v>57</v>
      </c>
      <c r="J1390" s="17"/>
      <c r="L1390" s="5"/>
      <c r="M1390" s="5"/>
      <c r="N1390" s="5"/>
      <c r="O1390" s="5"/>
    </row>
    <row r="1391" spans="1:15" ht="15" customHeight="1">
      <c r="A1391" s="243"/>
      <c r="B1391" s="245"/>
      <c r="C1391" s="247"/>
      <c r="D1391" s="21" t="s">
        <v>24</v>
      </c>
      <c r="E1391" s="21" t="s">
        <v>25</v>
      </c>
      <c r="F1391" s="22" t="s">
        <v>99</v>
      </c>
      <c r="G1391" s="21" t="s">
        <v>58</v>
      </c>
      <c r="H1391" s="252"/>
      <c r="I1391" s="239"/>
      <c r="J1391" s="240" t="s">
        <v>97</v>
      </c>
      <c r="L1391" s="5"/>
      <c r="M1391" s="5"/>
      <c r="N1391" s="5"/>
      <c r="O1391" s="5"/>
    </row>
    <row r="1392" spans="1:15">
      <c r="A1392" s="23"/>
      <c r="B1392" s="24" t="s">
        <v>59</v>
      </c>
      <c r="C1392" s="25"/>
      <c r="D1392" s="25"/>
      <c r="E1392" s="25"/>
      <c r="F1392" s="25"/>
      <c r="G1392" s="25"/>
      <c r="H1392" s="25"/>
      <c r="I1392" s="26"/>
      <c r="J1392" s="241"/>
      <c r="L1392" s="5"/>
      <c r="M1392" s="5"/>
      <c r="N1392" s="5"/>
      <c r="O1392" s="5"/>
    </row>
    <row r="1393" spans="1:15">
      <c r="A1393" s="122" t="s">
        <v>98</v>
      </c>
      <c r="B1393" s="127" t="s">
        <v>76</v>
      </c>
      <c r="C1393" s="32">
        <v>-10750</v>
      </c>
      <c r="D1393" s="31"/>
      <c r="E1393" s="31">
        <v>170625</v>
      </c>
      <c r="F1393" s="31">
        <v>301700</v>
      </c>
      <c r="G1393" s="31"/>
      <c r="H1393" s="55">
        <v>27000</v>
      </c>
      <c r="I1393" s="32">
        <v>412375</v>
      </c>
      <c r="J1393" s="30">
        <f>+SUM(C1393:G1393)-(H1393+I1393)</f>
        <v>22200</v>
      </c>
      <c r="K1393" s="68"/>
      <c r="L1393" s="5"/>
      <c r="M1393" s="5"/>
      <c r="N1393" s="5"/>
      <c r="O1393" s="5"/>
    </row>
    <row r="1394" spans="1:15">
      <c r="A1394" s="122" t="s">
        <v>98</v>
      </c>
      <c r="B1394" s="127" t="s">
        <v>47</v>
      </c>
      <c r="C1394" s="32">
        <v>9060</v>
      </c>
      <c r="D1394" s="31"/>
      <c r="E1394" s="31">
        <v>0</v>
      </c>
      <c r="F1394" s="31"/>
      <c r="G1394" s="31"/>
      <c r="H1394" s="55"/>
      <c r="I1394" s="32">
        <v>6000</v>
      </c>
      <c r="J1394" s="30">
        <f t="shared" ref="J1394:J1395" si="669">+SUM(C1394:G1394)-(H1394+I1394)</f>
        <v>3060</v>
      </c>
      <c r="K1394" s="68"/>
      <c r="L1394" s="5"/>
      <c r="M1394" s="5"/>
      <c r="N1394" s="5"/>
      <c r="O1394" s="5"/>
    </row>
    <row r="1395" spans="1:15">
      <c r="A1395" s="122" t="s">
        <v>98</v>
      </c>
      <c r="B1395" s="127" t="s">
        <v>31</v>
      </c>
      <c r="C1395" s="32">
        <v>1195</v>
      </c>
      <c r="D1395" s="31"/>
      <c r="E1395" s="31">
        <v>75000</v>
      </c>
      <c r="F1395" s="32"/>
      <c r="G1395" s="32"/>
      <c r="H1395" s="32"/>
      <c r="I1395" s="32">
        <v>72400</v>
      </c>
      <c r="J1395" s="101">
        <f t="shared" si="669"/>
        <v>3795</v>
      </c>
      <c r="K1395" s="68"/>
      <c r="L1395" s="5"/>
      <c r="M1395" s="5"/>
      <c r="N1395" s="5"/>
      <c r="O1395" s="5"/>
    </row>
    <row r="1396" spans="1:15">
      <c r="A1396" s="122" t="s">
        <v>98</v>
      </c>
      <c r="B1396" s="127" t="s">
        <v>77</v>
      </c>
      <c r="C1396" s="32">
        <v>-8600</v>
      </c>
      <c r="D1396" s="104"/>
      <c r="E1396" s="31">
        <v>596900</v>
      </c>
      <c r="F1396" s="32"/>
      <c r="G1396" s="32"/>
      <c r="H1396" s="32"/>
      <c r="I1396" s="32">
        <v>586000</v>
      </c>
      <c r="J1396" s="101">
        <f>+SUM(C1396:G1396)-(H1396+I1396)</f>
        <v>2300</v>
      </c>
      <c r="K1396" s="68"/>
      <c r="L1396" s="5"/>
      <c r="M1396" s="5"/>
      <c r="N1396" s="5"/>
      <c r="O1396" s="5"/>
    </row>
    <row r="1397" spans="1:15">
      <c r="A1397" s="122" t="s">
        <v>98</v>
      </c>
      <c r="B1397" s="127" t="s">
        <v>69</v>
      </c>
      <c r="C1397" s="32">
        <v>8884</v>
      </c>
      <c r="D1397" s="104"/>
      <c r="E1397" s="31">
        <v>618600</v>
      </c>
      <c r="F1397" s="32">
        <v>27000</v>
      </c>
      <c r="G1397" s="32"/>
      <c r="H1397" s="32">
        <v>301700</v>
      </c>
      <c r="I1397" s="32">
        <v>367000</v>
      </c>
      <c r="J1397" s="101">
        <f t="shared" ref="J1397" si="670">+SUM(C1397:G1397)-(H1397+I1397)</f>
        <v>-14216</v>
      </c>
      <c r="K1397" s="68"/>
      <c r="L1397" s="5"/>
      <c r="M1397" s="5"/>
      <c r="N1397" s="5"/>
      <c r="O1397" s="5"/>
    </row>
    <row r="1398" spans="1:15">
      <c r="A1398" s="119" t="s">
        <v>98</v>
      </c>
      <c r="B1398" s="128" t="s">
        <v>30</v>
      </c>
      <c r="C1398" s="51">
        <v>191600</v>
      </c>
      <c r="D1398" s="119"/>
      <c r="E1398" s="119">
        <v>777000</v>
      </c>
      <c r="F1398" s="51"/>
      <c r="G1398" s="51"/>
      <c r="H1398" s="51"/>
      <c r="I1398" s="51">
        <v>825300</v>
      </c>
      <c r="J1398" s="124">
        <f>+SUM(C1398:G1398)-(H1398+I1398)</f>
        <v>143300</v>
      </c>
      <c r="K1398" s="68"/>
      <c r="L1398" s="5"/>
      <c r="M1398" s="5"/>
      <c r="N1398" s="5"/>
      <c r="O1398" s="5"/>
    </row>
    <row r="1399" spans="1:15">
      <c r="A1399" s="123" t="s">
        <v>98</v>
      </c>
      <c r="B1399" s="129" t="s">
        <v>84</v>
      </c>
      <c r="C1399" s="120">
        <v>233614</v>
      </c>
      <c r="D1399" s="123"/>
      <c r="E1399" s="123"/>
      <c r="F1399" s="123"/>
      <c r="G1399" s="123"/>
      <c r="H1399" s="120"/>
      <c r="I1399" s="120"/>
      <c r="J1399" s="121">
        <f>+SUM(C1399:G1399)-(H1399+I1399)</f>
        <v>233614</v>
      </c>
      <c r="K1399" s="68"/>
      <c r="L1399" s="5"/>
      <c r="M1399" s="5"/>
      <c r="N1399" s="5"/>
      <c r="O1399" s="5"/>
    </row>
    <row r="1400" spans="1:15">
      <c r="A1400" s="123" t="s">
        <v>98</v>
      </c>
      <c r="B1400" s="129" t="s">
        <v>83</v>
      </c>
      <c r="C1400" s="120">
        <v>249769</v>
      </c>
      <c r="D1400" s="123"/>
      <c r="E1400" s="123"/>
      <c r="F1400" s="123"/>
      <c r="G1400" s="123"/>
      <c r="H1400" s="120"/>
      <c r="I1400" s="120"/>
      <c r="J1400" s="121">
        <f t="shared" ref="J1400:J1405" si="671">+SUM(C1400:G1400)-(H1400+I1400)</f>
        <v>249769</v>
      </c>
      <c r="K1400" s="68"/>
      <c r="L1400" s="5"/>
      <c r="M1400" s="5"/>
      <c r="N1400" s="5"/>
      <c r="O1400" s="5"/>
    </row>
    <row r="1401" spans="1:15">
      <c r="A1401" s="122" t="s">
        <v>98</v>
      </c>
      <c r="B1401" s="127" t="s">
        <v>35</v>
      </c>
      <c r="C1401" s="32">
        <v>-3510</v>
      </c>
      <c r="D1401" s="31"/>
      <c r="E1401" s="31">
        <v>240100</v>
      </c>
      <c r="F1401" s="31"/>
      <c r="G1401" s="31"/>
      <c r="H1401" s="32"/>
      <c r="I1401" s="32">
        <v>181500</v>
      </c>
      <c r="J1401" s="30">
        <f t="shared" si="671"/>
        <v>55090</v>
      </c>
      <c r="K1401" s="68"/>
      <c r="L1401" s="5"/>
      <c r="M1401" s="5"/>
      <c r="N1401" s="5"/>
      <c r="O1401" s="5"/>
    </row>
    <row r="1402" spans="1:15">
      <c r="A1402" s="122" t="s">
        <v>98</v>
      </c>
      <c r="B1402" s="127" t="s">
        <v>93</v>
      </c>
      <c r="C1402" s="32">
        <v>0</v>
      </c>
      <c r="D1402" s="31"/>
      <c r="E1402" s="31">
        <v>5000</v>
      </c>
      <c r="F1402" s="31"/>
      <c r="G1402" s="31"/>
      <c r="H1402" s="32"/>
      <c r="I1402" s="32">
        <v>5000</v>
      </c>
      <c r="J1402" s="30">
        <f t="shared" si="671"/>
        <v>0</v>
      </c>
      <c r="K1402" s="68"/>
      <c r="L1402" s="5"/>
      <c r="M1402" s="5"/>
      <c r="N1402" s="5"/>
      <c r="O1402" s="5"/>
    </row>
    <row r="1403" spans="1:15">
      <c r="A1403" s="122" t="s">
        <v>98</v>
      </c>
      <c r="B1403" s="127" t="s">
        <v>29</v>
      </c>
      <c r="C1403" s="32">
        <v>111200</v>
      </c>
      <c r="D1403" s="31"/>
      <c r="E1403" s="31">
        <v>704000</v>
      </c>
      <c r="F1403" s="31"/>
      <c r="G1403" s="31"/>
      <c r="H1403" s="32"/>
      <c r="I1403" s="32">
        <v>704500</v>
      </c>
      <c r="J1403" s="30">
        <f t="shared" si="671"/>
        <v>110700</v>
      </c>
      <c r="K1403" s="68"/>
      <c r="L1403" s="5"/>
      <c r="M1403" s="5"/>
      <c r="N1403" s="5"/>
      <c r="O1403" s="5"/>
    </row>
    <row r="1404" spans="1:15">
      <c r="A1404" s="122" t="s">
        <v>98</v>
      </c>
      <c r="B1404" s="127" t="s">
        <v>94</v>
      </c>
      <c r="C1404" s="32">
        <v>-32081</v>
      </c>
      <c r="D1404" s="31"/>
      <c r="E1404" s="31">
        <v>0</v>
      </c>
      <c r="F1404" s="31"/>
      <c r="G1404" s="31"/>
      <c r="H1404" s="32"/>
      <c r="I1404" s="32">
        <v>0</v>
      </c>
      <c r="J1404" s="30">
        <f t="shared" si="671"/>
        <v>-32081</v>
      </c>
      <c r="K1404" s="68"/>
      <c r="L1404" s="5"/>
      <c r="M1404" s="5"/>
      <c r="N1404" s="5"/>
      <c r="O1404" s="5"/>
    </row>
    <row r="1405" spans="1:15">
      <c r="A1405" s="122" t="s">
        <v>98</v>
      </c>
      <c r="B1405" s="128" t="s">
        <v>32</v>
      </c>
      <c r="C1405" s="51">
        <v>5300</v>
      </c>
      <c r="D1405" s="119"/>
      <c r="E1405" s="119">
        <v>10000</v>
      </c>
      <c r="F1405" s="119"/>
      <c r="G1405" s="130"/>
      <c r="H1405" s="51"/>
      <c r="I1405" s="51">
        <v>8000</v>
      </c>
      <c r="J1405" s="30">
        <f t="shared" si="671"/>
        <v>7300</v>
      </c>
      <c r="K1405" s="68"/>
      <c r="L1405" s="5"/>
      <c r="M1405" s="5"/>
      <c r="N1405" s="5"/>
      <c r="O1405" s="5"/>
    </row>
    <row r="1406" spans="1:15">
      <c r="A1406" s="34" t="s">
        <v>60</v>
      </c>
      <c r="B1406" s="35"/>
      <c r="C1406" s="35"/>
      <c r="D1406" s="35"/>
      <c r="E1406" s="35"/>
      <c r="F1406" s="35"/>
      <c r="G1406" s="35"/>
      <c r="H1406" s="35"/>
      <c r="I1406" s="35"/>
      <c r="J1406" s="36"/>
      <c r="K1406" s="68"/>
      <c r="L1406" s="5"/>
      <c r="M1406" s="5"/>
      <c r="N1406" s="5"/>
      <c r="O1406" s="5"/>
    </row>
    <row r="1407" spans="1:15">
      <c r="A1407" s="27" t="s">
        <v>98</v>
      </c>
      <c r="B1407" s="37" t="s">
        <v>61</v>
      </c>
      <c r="C1407" s="38">
        <v>733034</v>
      </c>
      <c r="D1407" s="39">
        <v>4293000</v>
      </c>
      <c r="E1407" s="39"/>
      <c r="F1407" s="39"/>
      <c r="G1407" s="125"/>
      <c r="H1407" s="131">
        <v>3197225</v>
      </c>
      <c r="I1407" s="126">
        <v>1011040</v>
      </c>
      <c r="J1407" s="30">
        <f>+SUM(C1407:G1407)-(H1407+I1407)</f>
        <v>817769</v>
      </c>
      <c r="K1407" s="68"/>
      <c r="L1407" s="5"/>
      <c r="M1407" s="5"/>
      <c r="N1407" s="5"/>
      <c r="O1407" s="5"/>
    </row>
    <row r="1408" spans="1:15">
      <c r="A1408" s="43" t="s">
        <v>62</v>
      </c>
      <c r="B1408" s="24"/>
      <c r="C1408" s="35"/>
      <c r="D1408" s="24"/>
      <c r="E1408" s="24"/>
      <c r="F1408" s="24"/>
      <c r="G1408" s="24"/>
      <c r="H1408" s="24"/>
      <c r="I1408" s="24"/>
      <c r="J1408" s="36"/>
      <c r="L1408" s="5"/>
      <c r="M1408" s="5"/>
      <c r="N1408" s="5"/>
      <c r="O1408" s="5"/>
    </row>
    <row r="1409" spans="1:15">
      <c r="A1409" s="27" t="s">
        <v>98</v>
      </c>
      <c r="B1409" s="37" t="s">
        <v>63</v>
      </c>
      <c r="C1409" s="125">
        <v>19184971</v>
      </c>
      <c r="D1409" s="132"/>
      <c r="E1409" s="49"/>
      <c r="F1409" s="49"/>
      <c r="G1409" s="49"/>
      <c r="H1409" s="51">
        <v>4000000</v>
      </c>
      <c r="I1409" s="53">
        <v>472051</v>
      </c>
      <c r="J1409" s="30">
        <f>+SUM(C1409:G1409)-(H1409+I1409)</f>
        <v>14712920</v>
      </c>
      <c r="K1409" s="68"/>
      <c r="L1409" s="5"/>
      <c r="M1409" s="5"/>
      <c r="N1409" s="5"/>
      <c r="O1409" s="5"/>
    </row>
    <row r="1410" spans="1:15">
      <c r="A1410" s="27" t="s">
        <v>98</v>
      </c>
      <c r="B1410" s="37" t="s">
        <v>64</v>
      </c>
      <c r="C1410" s="125">
        <v>14419055</v>
      </c>
      <c r="D1410" s="49"/>
      <c r="E1410" s="48"/>
      <c r="F1410" s="48"/>
      <c r="G1410" s="48"/>
      <c r="H1410" s="32">
        <v>293000</v>
      </c>
      <c r="I1410" s="50">
        <v>5764972</v>
      </c>
      <c r="J1410" s="30">
        <f>SUM(C1410:G1410)-(H1410+I1410)</f>
        <v>8361083</v>
      </c>
      <c r="K1410" s="68"/>
      <c r="L1410" s="5"/>
      <c r="M1410" s="5"/>
      <c r="N1410" s="5"/>
      <c r="O1410" s="5"/>
    </row>
    <row r="1411" spans="1:15" ht="15.75">
      <c r="C1411" s="9"/>
      <c r="I1411" s="9"/>
      <c r="J1411" s="105">
        <f>+SUM(J1393:J1410)</f>
        <v>24676603</v>
      </c>
      <c r="L1411" s="5"/>
      <c r="M1411" s="5"/>
      <c r="N1411" s="5"/>
      <c r="O1411" s="5"/>
    </row>
    <row r="1412" spans="1:15" ht="16.5">
      <c r="A1412" s="10"/>
      <c r="B1412" s="11"/>
      <c r="C1412" s="12"/>
      <c r="D1412" s="12"/>
      <c r="E1412" s="12"/>
      <c r="F1412" s="12"/>
      <c r="G1412" s="12"/>
      <c r="H1412" s="12"/>
      <c r="I1412" s="12"/>
      <c r="J1412" s="133"/>
      <c r="L1412" s="5"/>
      <c r="M1412" s="5"/>
      <c r="N1412" s="5"/>
      <c r="O1412" s="5"/>
    </row>
    <row r="1413" spans="1:15">
      <c r="A1413" s="16" t="s">
        <v>52</v>
      </c>
      <c r="B1413" s="16"/>
      <c r="C1413" s="16"/>
      <c r="D1413" s="17"/>
      <c r="E1413" s="17"/>
      <c r="F1413" s="17"/>
      <c r="G1413" s="17"/>
      <c r="H1413" s="17"/>
      <c r="I1413" s="17"/>
      <c r="L1413" s="5"/>
      <c r="M1413" s="5"/>
      <c r="N1413" s="5"/>
      <c r="O1413" s="5"/>
    </row>
    <row r="1414" spans="1:15">
      <c r="A1414" s="18" t="s">
        <v>87</v>
      </c>
      <c r="B1414" s="18"/>
      <c r="C1414" s="18"/>
      <c r="D1414" s="18"/>
      <c r="E1414" s="18"/>
      <c r="F1414" s="18"/>
      <c r="G1414" s="18"/>
      <c r="H1414" s="18"/>
      <c r="I1414" s="18"/>
      <c r="J1414" s="17"/>
      <c r="L1414" s="5"/>
      <c r="M1414" s="5"/>
      <c r="N1414" s="5"/>
      <c r="O1414" s="5"/>
    </row>
    <row r="1415" spans="1:15" ht="15" customHeight="1">
      <c r="A1415" s="19"/>
      <c r="B1415" s="17"/>
      <c r="C1415" s="20"/>
      <c r="D1415" s="20"/>
      <c r="E1415" s="20"/>
      <c r="F1415" s="20"/>
      <c r="G1415" s="20"/>
      <c r="H1415" s="17"/>
      <c r="I1415" s="17"/>
      <c r="J1415" s="18"/>
      <c r="L1415" s="5"/>
      <c r="M1415" s="5"/>
      <c r="N1415" s="5"/>
      <c r="O1415" s="5"/>
    </row>
    <row r="1416" spans="1:15" ht="15" customHeight="1">
      <c r="A1416" s="242" t="s">
        <v>53</v>
      </c>
      <c r="B1416" s="244" t="s">
        <v>54</v>
      </c>
      <c r="C1416" s="246" t="s">
        <v>88</v>
      </c>
      <c r="D1416" s="248" t="s">
        <v>55</v>
      </c>
      <c r="E1416" s="249"/>
      <c r="F1416" s="249"/>
      <c r="G1416" s="250"/>
      <c r="H1416" s="251" t="s">
        <v>56</v>
      </c>
      <c r="I1416" s="238" t="s">
        <v>57</v>
      </c>
      <c r="J1416" s="17"/>
      <c r="L1416" s="5"/>
      <c r="M1416" s="5"/>
      <c r="N1416" s="5"/>
      <c r="O1416" s="5"/>
    </row>
    <row r="1417" spans="1:15" ht="15" customHeight="1">
      <c r="A1417" s="243"/>
      <c r="B1417" s="245"/>
      <c r="C1417" s="247"/>
      <c r="D1417" s="21" t="s">
        <v>24</v>
      </c>
      <c r="E1417" s="21" t="s">
        <v>25</v>
      </c>
      <c r="F1417" s="22" t="s">
        <v>91</v>
      </c>
      <c r="G1417" s="21" t="s">
        <v>58</v>
      </c>
      <c r="H1417" s="252"/>
      <c r="I1417" s="239"/>
      <c r="J1417" s="240" t="s">
        <v>89</v>
      </c>
      <c r="L1417" s="5"/>
      <c r="M1417" s="5"/>
      <c r="N1417" s="5"/>
      <c r="O1417" s="5"/>
    </row>
    <row r="1418" spans="1:15">
      <c r="A1418" s="23"/>
      <c r="B1418" s="24" t="s">
        <v>59</v>
      </c>
      <c r="C1418" s="25"/>
      <c r="D1418" s="25"/>
      <c r="E1418" s="25"/>
      <c r="F1418" s="25"/>
      <c r="G1418" s="25"/>
      <c r="H1418" s="25"/>
      <c r="I1418" s="26"/>
      <c r="J1418" s="241"/>
      <c r="L1418" s="5"/>
      <c r="M1418" s="5"/>
      <c r="N1418" s="5"/>
      <c r="O1418" s="5"/>
    </row>
    <row r="1419" spans="1:15" ht="16.5">
      <c r="A1419" s="27" t="s">
        <v>90</v>
      </c>
      <c r="B1419" s="8" t="s">
        <v>76</v>
      </c>
      <c r="C1419" s="28" t="e">
        <f>+#REF!</f>
        <v>#REF!</v>
      </c>
      <c r="D1419" s="29"/>
      <c r="E1419" s="29">
        <v>271100</v>
      </c>
      <c r="F1419" s="29">
        <f>112800+126500</f>
        <v>239300</v>
      </c>
      <c r="G1419" s="29"/>
      <c r="H1419" s="55"/>
      <c r="I1419" s="33">
        <v>521950</v>
      </c>
      <c r="J1419" s="30" t="e">
        <f>+SUM(C1419:G1419)-(H1419+I1419)</f>
        <v>#REF!</v>
      </c>
      <c r="L1419" s="5"/>
      <c r="M1419" s="5"/>
      <c r="N1419" s="5"/>
      <c r="O1419" s="5"/>
    </row>
    <row r="1420" spans="1:15" ht="16.5">
      <c r="A1420" s="27" t="s">
        <v>90</v>
      </c>
      <c r="B1420" s="8" t="s">
        <v>47</v>
      </c>
      <c r="C1420" s="28" t="e">
        <f>+C1184</f>
        <v>#REF!</v>
      </c>
      <c r="D1420" s="29"/>
      <c r="E1420" s="29">
        <v>625000</v>
      </c>
      <c r="F1420" s="29"/>
      <c r="G1420" s="29"/>
      <c r="H1420" s="55">
        <v>247500</v>
      </c>
      <c r="I1420" s="33">
        <v>371500</v>
      </c>
      <c r="J1420" s="30" t="e">
        <f t="shared" ref="J1420:J1421" si="672">+SUM(C1420:G1420)-(H1420+I1420)</f>
        <v>#REF!</v>
      </c>
      <c r="L1420" s="5"/>
      <c r="M1420" s="5"/>
      <c r="N1420" s="5"/>
      <c r="O1420" s="5"/>
    </row>
    <row r="1421" spans="1:15" ht="16.5">
      <c r="A1421" s="27" t="s">
        <v>90</v>
      </c>
      <c r="B1421" s="8" t="s">
        <v>31</v>
      </c>
      <c r="C1421" s="28" t="e">
        <f>+C1185</f>
        <v>#REF!</v>
      </c>
      <c r="D1421" s="29"/>
      <c r="E1421" s="29">
        <v>60000</v>
      </c>
      <c r="F1421" s="100"/>
      <c r="G1421" s="100"/>
      <c r="H1421" s="32"/>
      <c r="I1421" s="54">
        <v>67200</v>
      </c>
      <c r="J1421" s="101" t="e">
        <f t="shared" si="672"/>
        <v>#REF!</v>
      </c>
      <c r="L1421" s="5"/>
      <c r="M1421" s="5"/>
      <c r="N1421" s="5"/>
      <c r="O1421" s="5"/>
    </row>
    <row r="1422" spans="1:15" ht="15.75" customHeight="1">
      <c r="A1422" s="27" t="s">
        <v>90</v>
      </c>
      <c r="B1422" s="8" t="s">
        <v>77</v>
      </c>
      <c r="C1422" s="28" t="e">
        <f>+C1186</f>
        <v>#REF!</v>
      </c>
      <c r="D1422" s="56"/>
      <c r="E1422" s="29">
        <v>140000</v>
      </c>
      <c r="F1422" s="100">
        <v>270500</v>
      </c>
      <c r="G1422" s="100"/>
      <c r="H1422" s="32"/>
      <c r="I1422" s="32">
        <v>417300</v>
      </c>
      <c r="J1422" s="101" t="e">
        <f>+SUM(C1422:G1422)-(H1422+I1422)</f>
        <v>#REF!</v>
      </c>
      <c r="L1422" s="5"/>
      <c r="M1422" s="5"/>
      <c r="N1422" s="5"/>
      <c r="O1422" s="5"/>
    </row>
    <row r="1423" spans="1:15" ht="16.5">
      <c r="A1423" s="27" t="s">
        <v>90</v>
      </c>
      <c r="B1423" s="8" t="s">
        <v>69</v>
      </c>
      <c r="C1423" s="28">
        <v>15984</v>
      </c>
      <c r="D1423" s="56"/>
      <c r="E1423" s="29">
        <v>256400</v>
      </c>
      <c r="F1423" s="100"/>
      <c r="G1423" s="100"/>
      <c r="H1423" s="32"/>
      <c r="I1423" s="33">
        <v>263500</v>
      </c>
      <c r="J1423" s="101">
        <f t="shared" ref="J1423" si="673">+SUM(C1423:G1423)-(H1423+I1423)</f>
        <v>8884</v>
      </c>
      <c r="L1423" s="5"/>
      <c r="M1423" s="5"/>
      <c r="N1423" s="5"/>
      <c r="O1423" s="5"/>
    </row>
    <row r="1424" spans="1:15" ht="16.5">
      <c r="A1424" s="27" t="s">
        <v>90</v>
      </c>
      <c r="B1424" s="8" t="s">
        <v>30</v>
      </c>
      <c r="C1424" s="28" t="e">
        <f t="shared" ref="C1424:C1428" si="674">+C1187</f>
        <v>#REF!</v>
      </c>
      <c r="D1424" s="29"/>
      <c r="E1424" s="29">
        <v>858500</v>
      </c>
      <c r="F1424" s="100"/>
      <c r="G1424" s="100"/>
      <c r="H1424" s="32"/>
      <c r="I1424" s="33">
        <v>645000</v>
      </c>
      <c r="J1424" s="101" t="e">
        <f>+SUM(C1424:G1424)-(H1424+I1424)</f>
        <v>#REF!</v>
      </c>
      <c r="L1424" s="5"/>
      <c r="M1424" s="5"/>
      <c r="N1424" s="5"/>
      <c r="O1424" s="5"/>
    </row>
    <row r="1425" spans="1:15" ht="16.5">
      <c r="A1425" s="27" t="s">
        <v>90</v>
      </c>
      <c r="B1425" s="8" t="s">
        <v>35</v>
      </c>
      <c r="C1425" s="28" t="e">
        <f t="shared" si="674"/>
        <v>#REF!</v>
      </c>
      <c r="D1425" s="29"/>
      <c r="E1425" s="29">
        <v>800700</v>
      </c>
      <c r="F1425" s="29"/>
      <c r="G1425" s="29"/>
      <c r="H1425" s="32">
        <v>262300</v>
      </c>
      <c r="I1425" s="33">
        <v>543600</v>
      </c>
      <c r="J1425" s="30" t="e">
        <f>+SUM(C1425:G1425)-(H1425+I1425)</f>
        <v>#REF!</v>
      </c>
      <c r="L1425" s="5"/>
      <c r="M1425" s="5"/>
      <c r="N1425" s="5"/>
      <c r="O1425" s="5"/>
    </row>
    <row r="1426" spans="1:15" ht="16.5">
      <c r="A1426" s="27" t="s">
        <v>90</v>
      </c>
      <c r="B1426" s="8" t="s">
        <v>29</v>
      </c>
      <c r="C1426" s="28" t="e">
        <f t="shared" si="674"/>
        <v>#REF!</v>
      </c>
      <c r="D1426" s="29"/>
      <c r="E1426" s="29">
        <v>971600</v>
      </c>
      <c r="F1426" s="29"/>
      <c r="G1426" s="29"/>
      <c r="H1426" s="32">
        <v>200000</v>
      </c>
      <c r="I1426" s="33">
        <v>639450</v>
      </c>
      <c r="J1426" s="30" t="e">
        <f t="shared" ref="J1426:J1427" si="675">+SUM(C1426:G1426)-(H1426+I1426)</f>
        <v>#REF!</v>
      </c>
      <c r="L1426" s="5"/>
      <c r="M1426" s="5"/>
      <c r="N1426" s="5"/>
      <c r="O1426" s="5"/>
    </row>
    <row r="1427" spans="1:15" ht="16.5">
      <c r="A1427" s="27" t="s">
        <v>90</v>
      </c>
      <c r="B1427" s="8" t="s">
        <v>5</v>
      </c>
      <c r="C1427" s="28" t="e">
        <f t="shared" si="674"/>
        <v>#REF!</v>
      </c>
      <c r="D1427" s="29"/>
      <c r="E1427" s="29"/>
      <c r="F1427" s="29"/>
      <c r="G1427" s="29"/>
      <c r="H1427" s="32"/>
      <c r="I1427" s="54">
        <v>23000</v>
      </c>
      <c r="J1427" s="30" t="e">
        <f t="shared" si="675"/>
        <v>#REF!</v>
      </c>
      <c r="L1427" s="5"/>
      <c r="M1427" s="5"/>
      <c r="N1427" s="5"/>
      <c r="O1427" s="5"/>
    </row>
    <row r="1428" spans="1:15" ht="16.5">
      <c r="A1428" s="27" t="s">
        <v>90</v>
      </c>
      <c r="B1428" s="8" t="s">
        <v>32</v>
      </c>
      <c r="C1428" s="28" t="e">
        <f t="shared" si="674"/>
        <v>#REF!</v>
      </c>
      <c r="D1428" s="29"/>
      <c r="E1428" s="29"/>
      <c r="F1428" s="29"/>
      <c r="G1428" s="29"/>
      <c r="H1428" s="32"/>
      <c r="I1428" s="33">
        <v>0</v>
      </c>
      <c r="J1428" s="30" t="e">
        <f>+SUM(C1428:G1428)-(H1428+I1428)</f>
        <v>#REF!</v>
      </c>
      <c r="L1428" s="5"/>
      <c r="M1428" s="5"/>
      <c r="N1428" s="5"/>
      <c r="O1428" s="5"/>
    </row>
    <row r="1429" spans="1:15" ht="16.5">
      <c r="A1429" s="107" t="s">
        <v>90</v>
      </c>
      <c r="B1429" s="108" t="s">
        <v>92</v>
      </c>
      <c r="C1429" s="109">
        <v>3721074</v>
      </c>
      <c r="D1429" s="110"/>
      <c r="E1429" s="111"/>
      <c r="F1429" s="110"/>
      <c r="G1429" s="112"/>
      <c r="H1429" s="109">
        <v>3721074</v>
      </c>
      <c r="I1429" s="113"/>
      <c r="J1429" s="114">
        <f>+SUM(C1429:G1429)-(H1429+I1429)</f>
        <v>0</v>
      </c>
      <c r="L1429" s="5"/>
      <c r="M1429" s="5"/>
      <c r="N1429" s="5"/>
      <c r="O1429" s="5"/>
    </row>
    <row r="1430" spans="1:15">
      <c r="A1430" s="34" t="s">
        <v>60</v>
      </c>
      <c r="B1430" s="35"/>
      <c r="C1430" s="35"/>
      <c r="D1430" s="35"/>
      <c r="E1430" s="35"/>
      <c r="F1430" s="35"/>
      <c r="G1430" s="35"/>
      <c r="H1430" s="35"/>
      <c r="I1430" s="35"/>
      <c r="J1430" s="36"/>
      <c r="L1430" s="5"/>
      <c r="M1430" s="5"/>
      <c r="N1430" s="5"/>
      <c r="O1430" s="5"/>
    </row>
    <row r="1431" spans="1:15">
      <c r="A1431" s="27" t="s">
        <v>90</v>
      </c>
      <c r="B1431" s="37" t="s">
        <v>61</v>
      </c>
      <c r="C1431" s="38" t="e">
        <f>+C1183</f>
        <v>#REF!</v>
      </c>
      <c r="D1431" s="39">
        <v>5000000</v>
      </c>
      <c r="E1431" s="39"/>
      <c r="F1431" s="39"/>
      <c r="G1431" s="40">
        <v>200000</v>
      </c>
      <c r="H1431" s="47">
        <v>3983300</v>
      </c>
      <c r="I1431" s="41">
        <v>776245</v>
      </c>
      <c r="J1431" s="42" t="e">
        <f>+SUM(C1431:G1431)-(H1431+I1431)</f>
        <v>#REF!</v>
      </c>
      <c r="L1431" s="5"/>
      <c r="M1431" s="5"/>
      <c r="N1431" s="5"/>
      <c r="O1431" s="5"/>
    </row>
    <row r="1432" spans="1:15">
      <c r="A1432" s="43" t="s">
        <v>62</v>
      </c>
      <c r="B1432" s="24"/>
      <c r="C1432" s="35"/>
      <c r="D1432" s="24"/>
      <c r="E1432" s="24"/>
      <c r="F1432" s="24"/>
      <c r="G1432" s="24"/>
      <c r="H1432" s="24"/>
      <c r="I1432" s="24"/>
      <c r="J1432" s="36"/>
      <c r="L1432" s="5"/>
      <c r="M1432" s="5"/>
      <c r="N1432" s="5"/>
      <c r="O1432" s="5"/>
    </row>
    <row r="1433" spans="1:15">
      <c r="A1433" s="27" t="s">
        <v>90</v>
      </c>
      <c r="B1433" s="37" t="s">
        <v>63</v>
      </c>
      <c r="C1433" s="44" t="e">
        <f>+#REF!</f>
        <v>#REF!</v>
      </c>
      <c r="D1433" s="52">
        <v>19826114</v>
      </c>
      <c r="E1433" s="49"/>
      <c r="F1433" s="49"/>
      <c r="G1433" s="49"/>
      <c r="H1433" s="51">
        <v>5000000</v>
      </c>
      <c r="I1433" s="53">
        <v>455737</v>
      </c>
      <c r="J1433" s="30" t="e">
        <f>+SUM(C1433:G1433)-(H1433+I1433)</f>
        <v>#REF!</v>
      </c>
      <c r="L1433" s="5"/>
      <c r="M1433" s="5"/>
      <c r="N1433" s="5"/>
      <c r="O1433" s="5"/>
    </row>
    <row r="1434" spans="1:15">
      <c r="A1434" s="27" t="s">
        <v>90</v>
      </c>
      <c r="B1434" s="37" t="s">
        <v>64</v>
      </c>
      <c r="C1434" s="44" t="e">
        <f>+C1182</f>
        <v>#REF!</v>
      </c>
      <c r="D1434" s="49">
        <v>13119140</v>
      </c>
      <c r="E1434" s="48"/>
      <c r="F1434" s="48"/>
      <c r="G1434" s="48"/>
      <c r="H1434" s="32"/>
      <c r="I1434" s="50">
        <v>3445919</v>
      </c>
      <c r="J1434" s="30" t="e">
        <f>SUM(C1434:G1434)-(H1434+I1434)</f>
        <v>#REF!</v>
      </c>
      <c r="L1434" s="5"/>
      <c r="M1434" s="5"/>
      <c r="N1434" s="5"/>
      <c r="O1434" s="5"/>
    </row>
    <row r="1435" spans="1:15">
      <c r="A1435" s="148" t="s">
        <v>90</v>
      </c>
      <c r="B1435" s="145" t="s">
        <v>83</v>
      </c>
      <c r="C1435" s="149">
        <v>249769</v>
      </c>
      <c r="D1435" s="49"/>
      <c r="E1435" s="49"/>
      <c r="F1435" s="49"/>
      <c r="G1435" s="49"/>
      <c r="H1435" s="32"/>
      <c r="I1435" s="50"/>
      <c r="J1435" s="150">
        <f>SUM(C1435:G1435)-(H1435+I1435)</f>
        <v>249769</v>
      </c>
      <c r="L1435" s="5"/>
      <c r="M1435" s="5"/>
      <c r="N1435" s="5"/>
      <c r="O1435" s="5"/>
    </row>
    <row r="1436" spans="1:15">
      <c r="A1436" s="148" t="s">
        <v>90</v>
      </c>
      <c r="B1436" s="146" t="s">
        <v>84</v>
      </c>
      <c r="C1436" s="149">
        <v>233614</v>
      </c>
      <c r="D1436" s="49"/>
      <c r="E1436" s="49"/>
      <c r="F1436" s="49"/>
      <c r="G1436" s="49"/>
      <c r="H1436" s="32"/>
      <c r="I1436" s="50"/>
      <c r="J1436" s="150">
        <f>SUM(C1436:G1436)-(H1436+I1436)</f>
        <v>233614</v>
      </c>
      <c r="L1436" s="5"/>
      <c r="M1436" s="5"/>
      <c r="N1436" s="5"/>
      <c r="O1436" s="5"/>
    </row>
    <row r="1437" spans="1:15">
      <c r="A1437" s="148" t="s">
        <v>90</v>
      </c>
      <c r="B1437" s="147" t="s">
        <v>85</v>
      </c>
      <c r="C1437" s="149">
        <v>330169</v>
      </c>
      <c r="D1437" s="151"/>
      <c r="E1437" s="151"/>
      <c r="F1437" s="151"/>
      <c r="G1437" s="151"/>
      <c r="H1437" s="151"/>
      <c r="I1437" s="151"/>
      <c r="J1437" s="150">
        <f>SUM(C1437:G1437)-(H1437+I1437)</f>
        <v>330169</v>
      </c>
      <c r="L1437" s="5"/>
      <c r="M1437" s="5"/>
      <c r="N1437" s="5"/>
      <c r="O1437" s="5"/>
    </row>
    <row r="1438" spans="1:15" ht="15.75">
      <c r="C1438" s="9"/>
      <c r="I1438" s="9"/>
      <c r="J1438" s="105" t="e">
        <f>+SUM(J1419:J1437)</f>
        <v>#REF!</v>
      </c>
      <c r="K1438" s="106" t="e">
        <f>+J1438-I1195</f>
        <v>#REF!</v>
      </c>
      <c r="L1438" s="5"/>
      <c r="M1438" s="5"/>
      <c r="N1438" s="5"/>
      <c r="O1438" s="5"/>
    </row>
    <row r="1440" spans="1:15">
      <c r="A1440" s="16" t="s">
        <v>52</v>
      </c>
      <c r="B1440" s="16"/>
      <c r="C1440" s="16"/>
      <c r="D1440" s="17"/>
      <c r="E1440" s="17"/>
      <c r="F1440" s="17"/>
      <c r="G1440" s="17"/>
      <c r="H1440" s="17"/>
      <c r="I1440" s="17"/>
      <c r="L1440" s="5"/>
      <c r="M1440" s="5"/>
      <c r="N1440" s="5"/>
      <c r="O1440" s="5"/>
    </row>
    <row r="1441" spans="1:15">
      <c r="A1441" s="18" t="s">
        <v>78</v>
      </c>
      <c r="B1441" s="18"/>
      <c r="C1441" s="18"/>
      <c r="D1441" s="18"/>
      <c r="E1441" s="18"/>
      <c r="F1441" s="18"/>
      <c r="G1441" s="18"/>
      <c r="H1441" s="18"/>
      <c r="I1441" s="18"/>
      <c r="J1441" s="17"/>
      <c r="L1441" s="5"/>
      <c r="M1441" s="5"/>
      <c r="N1441" s="5"/>
      <c r="O1441" s="5"/>
    </row>
    <row r="1442" spans="1:15">
      <c r="A1442" s="19"/>
      <c r="B1442" s="17"/>
      <c r="C1442" s="20"/>
      <c r="D1442" s="20"/>
      <c r="E1442" s="20"/>
      <c r="F1442" s="20"/>
      <c r="G1442" s="20"/>
      <c r="H1442" s="17"/>
      <c r="I1442" s="17"/>
      <c r="J1442" s="18"/>
      <c r="L1442" s="5"/>
      <c r="M1442" s="5"/>
      <c r="N1442" s="5"/>
      <c r="O1442" s="5"/>
    </row>
    <row r="1443" spans="1:15">
      <c r="A1443" s="242" t="s">
        <v>53</v>
      </c>
      <c r="B1443" s="244" t="s">
        <v>54</v>
      </c>
      <c r="C1443" s="246" t="s">
        <v>80</v>
      </c>
      <c r="D1443" s="248" t="s">
        <v>55</v>
      </c>
      <c r="E1443" s="249"/>
      <c r="F1443" s="249"/>
      <c r="G1443" s="250"/>
      <c r="H1443" s="251" t="s">
        <v>56</v>
      </c>
      <c r="I1443" s="238" t="s">
        <v>57</v>
      </c>
      <c r="J1443" s="17"/>
      <c r="L1443" s="5"/>
      <c r="M1443" s="5"/>
      <c r="N1443" s="5"/>
      <c r="O1443" s="5"/>
    </row>
    <row r="1444" spans="1:15" ht="36.75" customHeight="1">
      <c r="A1444" s="243"/>
      <c r="B1444" s="245"/>
      <c r="C1444" s="247"/>
      <c r="D1444" s="21" t="s">
        <v>24</v>
      </c>
      <c r="E1444" s="21" t="s">
        <v>25</v>
      </c>
      <c r="F1444" s="22" t="s">
        <v>69</v>
      </c>
      <c r="G1444" s="21" t="s">
        <v>58</v>
      </c>
      <c r="H1444" s="252"/>
      <c r="I1444" s="239"/>
      <c r="J1444" s="240" t="s">
        <v>86</v>
      </c>
      <c r="L1444" s="5"/>
      <c r="M1444" s="5"/>
      <c r="N1444" s="5"/>
      <c r="O1444" s="5"/>
    </row>
    <row r="1445" spans="1:15">
      <c r="A1445" s="23"/>
      <c r="B1445" s="24" t="s">
        <v>59</v>
      </c>
      <c r="C1445" s="25"/>
      <c r="D1445" s="25"/>
      <c r="E1445" s="25"/>
      <c r="F1445" s="25"/>
      <c r="G1445" s="25"/>
      <c r="H1445" s="25"/>
      <c r="I1445" s="26"/>
      <c r="J1445" s="241"/>
      <c r="L1445" s="5"/>
      <c r="M1445" s="5"/>
      <c r="N1445" s="5"/>
      <c r="O1445" s="5"/>
    </row>
    <row r="1446" spans="1:15" ht="16.5">
      <c r="A1446" s="27" t="s">
        <v>79</v>
      </c>
      <c r="B1446" s="8" t="s">
        <v>76</v>
      </c>
      <c r="C1446" s="28">
        <v>0</v>
      </c>
      <c r="D1446" s="29"/>
      <c r="E1446" s="29">
        <v>40000</v>
      </c>
      <c r="F1446" s="29"/>
      <c r="G1446" s="29"/>
      <c r="H1446" s="55"/>
      <c r="I1446" s="33">
        <v>39200</v>
      </c>
      <c r="J1446" s="30">
        <f>+SUM(C1446:G1446)-(H1446+I1446)</f>
        <v>800</v>
      </c>
      <c r="L1446" s="5"/>
      <c r="M1446" s="5"/>
      <c r="N1446" s="5"/>
      <c r="O1446" s="5"/>
    </row>
    <row r="1447" spans="1:15" ht="16.5">
      <c r="A1447" s="27" t="s">
        <v>79</v>
      </c>
      <c r="B1447" s="8" t="str">
        <f>+A1184</f>
        <v>JUILLET</v>
      </c>
      <c r="C1447" s="28">
        <v>19060</v>
      </c>
      <c r="D1447" s="29"/>
      <c r="E1447" s="29">
        <v>20000</v>
      </c>
      <c r="F1447" s="29"/>
      <c r="G1447" s="29"/>
      <c r="H1447" s="55"/>
      <c r="I1447" s="33">
        <v>36000</v>
      </c>
      <c r="J1447" s="30">
        <f t="shared" ref="J1447:J1454" si="676">+SUM(C1447:G1447)-(H1447+I1447)</f>
        <v>3060</v>
      </c>
      <c r="L1447" s="5"/>
      <c r="M1447" s="5"/>
      <c r="N1447" s="5"/>
      <c r="O1447" s="5"/>
    </row>
    <row r="1448" spans="1:15" ht="16.5">
      <c r="A1448" s="27" t="s">
        <v>79</v>
      </c>
      <c r="B1448" s="8" t="str">
        <f>+A1185</f>
        <v>JUILLET</v>
      </c>
      <c r="C1448" s="28">
        <v>8395</v>
      </c>
      <c r="D1448" s="29"/>
      <c r="E1448" s="29">
        <v>20000</v>
      </c>
      <c r="F1448" s="100"/>
      <c r="G1448" s="100"/>
      <c r="H1448" s="32"/>
      <c r="I1448" s="54">
        <v>20000</v>
      </c>
      <c r="J1448" s="101">
        <f t="shared" si="676"/>
        <v>8395</v>
      </c>
      <c r="L1448" s="5"/>
      <c r="M1448" s="5"/>
      <c r="N1448" s="5"/>
      <c r="O1448" s="5"/>
    </row>
    <row r="1449" spans="1:15" ht="16.5">
      <c r="A1449" s="27" t="s">
        <v>79</v>
      </c>
      <c r="B1449" s="8" t="str">
        <f>+A1186</f>
        <v>JUILLET</v>
      </c>
      <c r="C1449" s="28">
        <v>0</v>
      </c>
      <c r="D1449" s="56"/>
      <c r="E1449" s="29">
        <v>100000</v>
      </c>
      <c r="F1449" s="100">
        <v>102200</v>
      </c>
      <c r="G1449" s="100"/>
      <c r="H1449" s="32"/>
      <c r="I1449" s="32">
        <v>204000</v>
      </c>
      <c r="J1449" s="101">
        <f>+SUM(C1449:G1449)-(H1449+I1449)</f>
        <v>-1800</v>
      </c>
      <c r="L1449" s="5"/>
      <c r="M1449" s="5"/>
      <c r="N1449" s="5"/>
      <c r="O1449" s="5"/>
    </row>
    <row r="1450" spans="1:15" ht="16.5">
      <c r="A1450" s="27" t="s">
        <v>79</v>
      </c>
      <c r="B1450" s="8" t="e">
        <f>+#REF!</f>
        <v>#REF!</v>
      </c>
      <c r="C1450" s="28">
        <v>7559</v>
      </c>
      <c r="D1450" s="56"/>
      <c r="E1450" s="29">
        <v>866200</v>
      </c>
      <c r="F1450" s="100"/>
      <c r="G1450" s="100"/>
      <c r="H1450" s="32">
        <v>252200</v>
      </c>
      <c r="I1450" s="33">
        <v>605575</v>
      </c>
      <c r="J1450" s="101">
        <f t="shared" si="676"/>
        <v>15984</v>
      </c>
      <c r="L1450" s="5"/>
      <c r="M1450" s="5"/>
      <c r="N1450" s="5"/>
      <c r="O1450" s="5"/>
    </row>
    <row r="1451" spans="1:15" ht="16.5">
      <c r="A1451" s="27" t="s">
        <v>79</v>
      </c>
      <c r="B1451" s="8" t="str">
        <f t="shared" ref="B1451:B1454" si="677">+A1187</f>
        <v>JUILLET</v>
      </c>
      <c r="C1451" s="28">
        <v>214000</v>
      </c>
      <c r="D1451" s="29"/>
      <c r="E1451" s="29">
        <v>724100</v>
      </c>
      <c r="F1451" s="100"/>
      <c r="G1451" s="100"/>
      <c r="H1451" s="32"/>
      <c r="I1451" s="33">
        <v>960000</v>
      </c>
      <c r="J1451" s="101">
        <f>+SUM(C1451:G1451)-(H1451+I1451)</f>
        <v>-21900</v>
      </c>
      <c r="L1451" s="5"/>
      <c r="M1451" s="5"/>
      <c r="N1451" s="5"/>
      <c r="O1451" s="5"/>
    </row>
    <row r="1452" spans="1:15" ht="16.5">
      <c r="A1452" s="27" t="s">
        <v>79</v>
      </c>
      <c r="B1452" s="8" t="str">
        <f t="shared" si="677"/>
        <v>JUILLET</v>
      </c>
      <c r="C1452" s="28">
        <v>-13805</v>
      </c>
      <c r="D1452" s="29"/>
      <c r="E1452" s="29">
        <v>333400</v>
      </c>
      <c r="F1452" s="29">
        <v>150000</v>
      </c>
      <c r="G1452" s="29"/>
      <c r="H1452" s="32">
        <v>129000</v>
      </c>
      <c r="I1452" s="33">
        <v>338905</v>
      </c>
      <c r="J1452" s="30">
        <f>+SUM(C1452:G1452)-(H1452+I1452)</f>
        <v>1690</v>
      </c>
      <c r="L1452" s="5"/>
      <c r="M1452" s="5"/>
      <c r="N1452" s="5"/>
      <c r="O1452" s="5"/>
    </row>
    <row r="1453" spans="1:15" ht="16.5">
      <c r="A1453" s="27" t="s">
        <v>79</v>
      </c>
      <c r="B1453" s="8" t="str">
        <f t="shared" si="677"/>
        <v>JUILLET</v>
      </c>
      <c r="C1453" s="28">
        <v>84350</v>
      </c>
      <c r="D1453" s="29"/>
      <c r="E1453" s="29">
        <v>669400</v>
      </c>
      <c r="F1453" s="29"/>
      <c r="G1453" s="29"/>
      <c r="H1453" s="32">
        <v>100000</v>
      </c>
      <c r="I1453" s="33">
        <v>674700</v>
      </c>
      <c r="J1453" s="30">
        <f>+SUM(C1453:G1453)-(H1453+I1453)</f>
        <v>-20950</v>
      </c>
      <c r="L1453" s="5"/>
      <c r="M1453" s="5"/>
      <c r="N1453" s="5"/>
      <c r="O1453" s="5"/>
    </row>
    <row r="1454" spans="1:15" ht="16.5">
      <c r="A1454" s="27" t="s">
        <v>79</v>
      </c>
      <c r="B1454" s="8" t="str">
        <f t="shared" si="677"/>
        <v>JUILLET</v>
      </c>
      <c r="C1454" s="28">
        <v>-216251</v>
      </c>
      <c r="D1454" s="29"/>
      <c r="E1454" s="29">
        <v>242000</v>
      </c>
      <c r="F1454" s="29"/>
      <c r="G1454" s="29"/>
      <c r="H1454" s="32"/>
      <c r="I1454" s="54">
        <v>34830</v>
      </c>
      <c r="J1454" s="30">
        <f t="shared" si="676"/>
        <v>-9081</v>
      </c>
      <c r="L1454" s="5"/>
      <c r="M1454" s="5"/>
      <c r="N1454" s="5"/>
      <c r="O1454" s="5"/>
    </row>
    <row r="1455" spans="1:15" ht="16.5">
      <c r="A1455" s="27" t="s">
        <v>79</v>
      </c>
      <c r="B1455" s="8" t="s">
        <v>33</v>
      </c>
      <c r="C1455" s="28">
        <v>2025</v>
      </c>
      <c r="D1455" s="29"/>
      <c r="E1455" s="29">
        <v>25000</v>
      </c>
      <c r="F1455" s="29"/>
      <c r="G1455" s="29"/>
      <c r="H1455" s="32">
        <v>3025</v>
      </c>
      <c r="I1455" s="33">
        <v>24000</v>
      </c>
      <c r="J1455" s="30">
        <f>+SUM(C1455:G1455)-(H1455+I1455)</f>
        <v>0</v>
      </c>
      <c r="L1455" s="5"/>
      <c r="M1455" s="5"/>
      <c r="N1455" s="5"/>
      <c r="O1455" s="5"/>
    </row>
    <row r="1456" spans="1:15" ht="16.5">
      <c r="A1456" s="27" t="s">
        <v>79</v>
      </c>
      <c r="B1456" s="8" t="s">
        <v>32</v>
      </c>
      <c r="C1456" s="28">
        <v>10000</v>
      </c>
      <c r="D1456" s="31"/>
      <c r="E1456" s="29">
        <v>0</v>
      </c>
      <c r="F1456" s="31"/>
      <c r="G1456" s="31"/>
      <c r="H1456" s="32"/>
      <c r="I1456" s="33">
        <v>4700</v>
      </c>
      <c r="J1456" s="30">
        <f>+SUM(C1456:G1456)-(H1456+I1456)</f>
        <v>5300</v>
      </c>
      <c r="L1456" s="5"/>
      <c r="M1456" s="5"/>
      <c r="N1456" s="5"/>
      <c r="O1456" s="5"/>
    </row>
    <row r="1457" spans="1:15">
      <c r="A1457" s="34" t="s">
        <v>60</v>
      </c>
      <c r="B1457" s="35"/>
      <c r="C1457" s="35"/>
      <c r="D1457" s="35"/>
      <c r="E1457" s="35"/>
      <c r="F1457" s="35"/>
      <c r="G1457" s="35"/>
      <c r="H1457" s="35"/>
      <c r="I1457" s="35"/>
      <c r="J1457" s="36"/>
      <c r="L1457" s="5"/>
      <c r="M1457" s="5"/>
      <c r="N1457" s="5"/>
      <c r="O1457" s="5"/>
    </row>
    <row r="1458" spans="1:15">
      <c r="A1458" s="27" t="s">
        <v>79</v>
      </c>
      <c r="B1458" s="37" t="s">
        <v>61</v>
      </c>
      <c r="C1458" s="38">
        <v>791675</v>
      </c>
      <c r="D1458" s="39">
        <v>3185100</v>
      </c>
      <c r="E1458" s="39"/>
      <c r="F1458" s="39"/>
      <c r="G1458" s="40">
        <v>237025</v>
      </c>
      <c r="H1458" s="47">
        <v>3045100</v>
      </c>
      <c r="I1458" s="41">
        <v>876121</v>
      </c>
      <c r="J1458" s="42">
        <f>+SUM(C1458:G1458)-(H1458+I1458)</f>
        <v>292579</v>
      </c>
      <c r="L1458" s="5"/>
      <c r="M1458" s="5"/>
      <c r="N1458" s="5"/>
      <c r="O1458" s="5"/>
    </row>
    <row r="1459" spans="1:15">
      <c r="A1459" s="43" t="s">
        <v>62</v>
      </c>
      <c r="B1459" s="24"/>
      <c r="C1459" s="35"/>
      <c r="D1459" s="24"/>
      <c r="E1459" s="24"/>
      <c r="F1459" s="24"/>
      <c r="G1459" s="24"/>
      <c r="H1459" s="24"/>
      <c r="I1459" s="24"/>
      <c r="J1459" s="36"/>
      <c r="L1459" s="5"/>
      <c r="M1459" s="5"/>
      <c r="N1459" s="5"/>
      <c r="O1459" s="5"/>
    </row>
    <row r="1460" spans="1:15">
      <c r="A1460" s="27" t="s">
        <v>79</v>
      </c>
      <c r="B1460" s="37" t="s">
        <v>63</v>
      </c>
      <c r="C1460" s="44">
        <v>8039273</v>
      </c>
      <c r="D1460" s="52">
        <v>0</v>
      </c>
      <c r="E1460" s="49"/>
      <c r="F1460" s="49"/>
      <c r="G1460" s="49"/>
      <c r="H1460" s="51">
        <v>3000000</v>
      </c>
      <c r="I1460" s="53">
        <v>224679</v>
      </c>
      <c r="J1460" s="30">
        <f>+SUM(C1460:G1460)-(H1460+I1460)</f>
        <v>4814594</v>
      </c>
      <c r="L1460" s="5"/>
      <c r="M1460" s="5"/>
      <c r="N1460" s="5"/>
      <c r="O1460" s="5"/>
    </row>
    <row r="1461" spans="1:15">
      <c r="A1461" s="27" t="s">
        <v>79</v>
      </c>
      <c r="B1461" s="37" t="s">
        <v>64</v>
      </c>
      <c r="C1461" s="44">
        <v>13283340</v>
      </c>
      <c r="D1461" s="49">
        <v>0</v>
      </c>
      <c r="E1461" s="48"/>
      <c r="F1461" s="48"/>
      <c r="G1461" s="48"/>
      <c r="H1461" s="32">
        <v>185100</v>
      </c>
      <c r="I1461" s="50">
        <v>8352406</v>
      </c>
      <c r="J1461" s="30">
        <f>SUM(C1461:G1461)-(H1461+I1461)</f>
        <v>4745834</v>
      </c>
    </row>
    <row r="1462" spans="1:15">
      <c r="A1462" s="45" t="s">
        <v>79</v>
      </c>
      <c r="B1462" s="145" t="s">
        <v>82</v>
      </c>
      <c r="C1462" s="44">
        <v>3721074</v>
      </c>
      <c r="D1462" s="45"/>
      <c r="E1462" s="45"/>
      <c r="F1462" s="45"/>
      <c r="G1462" s="45"/>
      <c r="H1462" s="45"/>
      <c r="I1462" s="45"/>
      <c r="J1462" s="101">
        <f>SUM(C1462:G1462)-(H1462+I1462)</f>
        <v>3721074</v>
      </c>
    </row>
    <row r="1463" spans="1:15">
      <c r="A1463" s="45" t="s">
        <v>79</v>
      </c>
      <c r="B1463" s="145" t="s">
        <v>83</v>
      </c>
      <c r="C1463" s="44">
        <v>249769</v>
      </c>
      <c r="D1463" s="49"/>
      <c r="E1463" s="49"/>
      <c r="F1463" s="49"/>
      <c r="G1463" s="49"/>
      <c r="H1463" s="32"/>
      <c r="I1463" s="50"/>
      <c r="J1463" s="101">
        <f>SUM(C1463:G1463)-(H1463+I1463)</f>
        <v>249769</v>
      </c>
    </row>
    <row r="1464" spans="1:15">
      <c r="A1464" s="45" t="s">
        <v>79</v>
      </c>
      <c r="B1464" s="146" t="s">
        <v>84</v>
      </c>
      <c r="C1464" s="44">
        <v>233614</v>
      </c>
      <c r="D1464" s="49"/>
      <c r="E1464" s="49"/>
      <c r="F1464" s="49"/>
      <c r="G1464" s="49"/>
      <c r="H1464" s="32"/>
      <c r="I1464" s="50"/>
      <c r="J1464" s="101">
        <f>SUM(C1464:G1464)-(H1464+I1464)</f>
        <v>233614</v>
      </c>
    </row>
    <row r="1465" spans="1:15">
      <c r="A1465" s="45" t="s">
        <v>79</v>
      </c>
      <c r="B1465" s="147" t="s">
        <v>85</v>
      </c>
      <c r="C1465" s="44">
        <v>330169</v>
      </c>
      <c r="D1465" s="45"/>
      <c r="E1465" s="45"/>
      <c r="F1465" s="45"/>
      <c r="G1465" s="45"/>
      <c r="H1465" s="45"/>
      <c r="I1465" s="45"/>
      <c r="J1465" s="101">
        <f>SUM(C1465:G1465)-(H1465+I1465)</f>
        <v>330169</v>
      </c>
    </row>
    <row r="1466" spans="1:15" ht="15.75">
      <c r="C1466" s="9"/>
      <c r="I1466" s="9"/>
      <c r="J1466" s="105">
        <f>+SUM(J1446:J1465)</f>
        <v>14369131</v>
      </c>
    </row>
    <row r="1467" spans="1:15">
      <c r="C1467" s="9"/>
      <c r="I1467" s="9"/>
      <c r="J1467" s="9"/>
    </row>
    <row r="1468" spans="1:15" s="70" customFormat="1">
      <c r="A1468" s="69" t="s">
        <v>65</v>
      </c>
      <c r="B1468" s="69"/>
      <c r="C1468" s="69"/>
      <c r="D1468" s="69"/>
      <c r="E1468" s="69"/>
      <c r="F1468" s="69"/>
      <c r="G1468" s="69"/>
      <c r="H1468" s="69"/>
      <c r="I1468" s="69"/>
      <c r="J1468" s="17"/>
      <c r="L1468" s="71"/>
      <c r="M1468" s="71"/>
      <c r="N1468" s="71"/>
      <c r="O1468" s="71"/>
    </row>
    <row r="1469" spans="1:15" s="70" customFormat="1">
      <c r="A1469" s="19"/>
      <c r="B1469" s="17"/>
      <c r="C1469" s="72"/>
      <c r="D1469" s="72"/>
      <c r="E1469" s="72"/>
      <c r="F1469" s="72"/>
      <c r="G1469" s="72"/>
      <c r="H1469" s="17"/>
      <c r="I1469" s="17"/>
      <c r="J1469" s="69"/>
      <c r="L1469" s="71"/>
      <c r="M1469" s="71"/>
      <c r="N1469" s="71"/>
      <c r="O1469" s="71"/>
    </row>
    <row r="1470" spans="1:15" s="70" customFormat="1">
      <c r="A1470" s="242" t="s">
        <v>53</v>
      </c>
      <c r="B1470" s="244" t="s">
        <v>54</v>
      </c>
      <c r="C1470" s="246" t="s">
        <v>67</v>
      </c>
      <c r="D1470" s="265" t="s">
        <v>55</v>
      </c>
      <c r="E1470" s="266"/>
      <c r="F1470" s="266"/>
      <c r="G1470" s="267"/>
      <c r="H1470" s="268" t="s">
        <v>56</v>
      </c>
      <c r="I1470" s="270" t="s">
        <v>57</v>
      </c>
      <c r="J1470" s="17"/>
      <c r="L1470" s="71"/>
      <c r="M1470" s="71"/>
      <c r="N1470" s="71"/>
      <c r="O1470" s="71"/>
    </row>
    <row r="1471" spans="1:15" s="70" customFormat="1">
      <c r="A1471" s="243"/>
      <c r="B1471" s="245"/>
      <c r="C1471" s="247"/>
      <c r="D1471" s="21" t="s">
        <v>24</v>
      </c>
      <c r="E1471" s="21" t="s">
        <v>25</v>
      </c>
      <c r="F1471" s="22" t="s">
        <v>69</v>
      </c>
      <c r="G1471" s="21" t="s">
        <v>58</v>
      </c>
      <c r="H1471" s="269"/>
      <c r="I1471" s="271"/>
      <c r="J1471" s="240" t="s">
        <v>68</v>
      </c>
      <c r="L1471" s="71"/>
      <c r="M1471" s="71"/>
      <c r="N1471" s="71"/>
      <c r="O1471" s="71"/>
    </row>
    <row r="1472" spans="1:15" s="70" customFormat="1">
      <c r="A1472" s="73"/>
      <c r="B1472" s="74" t="s">
        <v>59</v>
      </c>
      <c r="C1472" s="75"/>
      <c r="D1472" s="75"/>
      <c r="E1472" s="75"/>
      <c r="F1472" s="75"/>
      <c r="G1472" s="75"/>
      <c r="H1472" s="75"/>
      <c r="I1472" s="76"/>
      <c r="J1472" s="241"/>
      <c r="L1472" s="71"/>
      <c r="M1472" s="71"/>
      <c r="N1472" s="71"/>
      <c r="O1472" s="71"/>
    </row>
    <row r="1473" spans="1:15" s="70" customFormat="1" ht="16.5">
      <c r="A1473" s="77" t="s">
        <v>66</v>
      </c>
      <c r="B1473" s="8" t="s">
        <v>47</v>
      </c>
      <c r="C1473" s="78">
        <v>40560</v>
      </c>
      <c r="D1473" s="29"/>
      <c r="E1473" s="29">
        <v>0</v>
      </c>
      <c r="F1473" s="29"/>
      <c r="G1473" s="29"/>
      <c r="H1473" s="79"/>
      <c r="I1473" s="80">
        <f>+SUM([1]COMPTA_CREPIN!$F$3050:$F$3066)</f>
        <v>21500</v>
      </c>
      <c r="J1473" s="30">
        <f>+SUM(C1473:G1473)-(H1473+I1473)</f>
        <v>19060</v>
      </c>
      <c r="L1473" s="71"/>
      <c r="M1473" s="71"/>
      <c r="N1473" s="71"/>
      <c r="O1473" s="71"/>
    </row>
    <row r="1474" spans="1:15" s="70" customFormat="1" ht="16.5">
      <c r="A1474" s="77" t="s">
        <v>66</v>
      </c>
      <c r="B1474" s="8" t="s">
        <v>28</v>
      </c>
      <c r="C1474" s="78">
        <v>227975</v>
      </c>
      <c r="D1474" s="29"/>
      <c r="E1474" s="29">
        <f>+'[2]Compta Dalia (2)'!$E$1908+'[2]Compta Dalia (2)'!$E$1909+'[2]Compta Dalia (2)'!$E$1911+'[2]Compta Dalia (2)'!$E$1917</f>
        <v>119600</v>
      </c>
      <c r="F1474" s="29"/>
      <c r="G1474" s="29"/>
      <c r="H1474" s="79">
        <f>+'[2]Compta Dalia (2)'!$F$1919</f>
        <v>1635</v>
      </c>
      <c r="I1474" s="80">
        <v>345940</v>
      </c>
      <c r="J1474" s="30">
        <f t="shared" ref="J1474:J1481" si="678">+SUM(C1474:G1474)-(H1474+I1474)</f>
        <v>0</v>
      </c>
      <c r="L1474" s="71"/>
      <c r="M1474" s="71"/>
      <c r="N1474" s="71"/>
      <c r="O1474" s="71"/>
    </row>
    <row r="1475" spans="1:15" s="70" customFormat="1" ht="16.5">
      <c r="A1475" s="77" t="s">
        <v>66</v>
      </c>
      <c r="B1475" s="8" t="s">
        <v>31</v>
      </c>
      <c r="C1475" s="78">
        <v>-605</v>
      </c>
      <c r="D1475" s="29"/>
      <c r="E1475" s="29">
        <f>+'[3]compta (3)'!$E$2556+'[3]compta (3)'!$E$2557+'[3]compta (3)'!$E$2558</f>
        <v>30000</v>
      </c>
      <c r="F1475" s="29"/>
      <c r="G1475" s="29"/>
      <c r="H1475" s="81"/>
      <c r="I1475" s="82">
        <f>'[3]compta (3)'!$F$2559</f>
        <v>21000</v>
      </c>
      <c r="J1475" s="30">
        <f t="shared" si="678"/>
        <v>8395</v>
      </c>
      <c r="L1475" s="71"/>
      <c r="M1475" s="71"/>
      <c r="N1475" s="71"/>
      <c r="O1475" s="71"/>
    </row>
    <row r="1476" spans="1:15" s="70" customFormat="1" ht="16.5">
      <c r="A1476" s="77" t="s">
        <v>66</v>
      </c>
      <c r="B1476" s="99" t="s">
        <v>26</v>
      </c>
      <c r="C1476" s="78">
        <v>264659</v>
      </c>
      <c r="D1476" s="100"/>
      <c r="E1476" s="100">
        <f>+'[4]compta (2)'!$E$2521+'[4]compta (2)'!$E$2525+'[4]compta (2)'!$E$2527+'[4]compta (2)'!$E$2529</f>
        <v>325000</v>
      </c>
      <c r="F1476" s="100"/>
      <c r="G1476" s="100"/>
      <c r="H1476" s="32">
        <f>'[4]compta (2)'!$F$2528+60000</f>
        <v>75000</v>
      </c>
      <c r="I1476" s="32">
        <f>'[4]compta (2)'!$F$2522+'[4]compta (2)'!$F$2523+'[4]compta (2)'!$F$2524+'[4]compta (2)'!$F$2526+'[4]compta (2)'!$F$2530+'[4]compta (2)'!$F$2532+'[4]compta (2)'!$F$2533+'[4]compta (2)'!$F$2534</f>
        <v>507100</v>
      </c>
      <c r="J1476" s="101">
        <f t="shared" si="678"/>
        <v>7559</v>
      </c>
      <c r="L1476" s="71"/>
      <c r="M1476" s="71"/>
      <c r="N1476" s="71"/>
      <c r="O1476" s="71"/>
    </row>
    <row r="1477" spans="1:15" s="70" customFormat="1" ht="16.5">
      <c r="A1477" s="77" t="s">
        <v>66</v>
      </c>
      <c r="B1477" s="99" t="s">
        <v>48</v>
      </c>
      <c r="C1477" s="78">
        <v>272500</v>
      </c>
      <c r="D1477" s="100"/>
      <c r="E1477" s="100">
        <f>+'[5]COMPTA_I23C (2)'!$E$4171+'[5]COMPTA_I23C (2)'!$E$4172+'[5]COMPTA_I23C (2)'!$E$4174+'[5]COMPTA_I23C (2)'!$E$4178+'[5]COMPTA_I23C (2)'!$E$4180+'[5]COMPTA_I23C (2)'!$E$4181</f>
        <v>695000</v>
      </c>
      <c r="F1477" s="100"/>
      <c r="G1477" s="100"/>
      <c r="H1477" s="32"/>
      <c r="I1477" s="78">
        <v>753500</v>
      </c>
      <c r="J1477" s="101">
        <f t="shared" si="678"/>
        <v>214000</v>
      </c>
      <c r="L1477" s="71"/>
      <c r="M1477" s="71"/>
      <c r="N1477" s="71"/>
      <c r="O1477" s="71"/>
    </row>
    <row r="1478" spans="1:15" s="70" customFormat="1" ht="16.5">
      <c r="A1478" s="77" t="s">
        <v>66</v>
      </c>
      <c r="B1478" s="8" t="s">
        <v>35</v>
      </c>
      <c r="C1478" s="78">
        <v>284595</v>
      </c>
      <c r="D1478" s="29"/>
      <c r="E1478" s="29">
        <f>+'[6]Feuil1 (2)'!$E$2684+'[6]Feuil1 (2)'!$E$2689+'[6]Feuil1 (2)'!$E$2691</f>
        <v>275000</v>
      </c>
      <c r="F1478" s="29">
        <f>'[4]compta (2)'!$F$2531</f>
        <v>60000</v>
      </c>
      <c r="G1478" s="29"/>
      <c r="H1478" s="81"/>
      <c r="I1478" s="80">
        <v>633400</v>
      </c>
      <c r="J1478" s="30">
        <f t="shared" si="678"/>
        <v>-13805</v>
      </c>
      <c r="L1478" s="71"/>
      <c r="M1478" s="71"/>
      <c r="N1478" s="71"/>
      <c r="O1478" s="71"/>
    </row>
    <row r="1479" spans="1:15" s="70" customFormat="1" ht="16.5">
      <c r="A1479" s="77" t="s">
        <v>66</v>
      </c>
      <c r="B1479" s="8" t="s">
        <v>27</v>
      </c>
      <c r="C1479" s="78">
        <v>-1750</v>
      </c>
      <c r="D1479" s="29"/>
      <c r="E1479" s="29">
        <f>+'[7]Compta Jospin (2)'!$E$1583+'[7]Compta Jospin (2)'!$E$1584+'[7]Compta Jospin (2)'!$E$1587</f>
        <v>96400</v>
      </c>
      <c r="F1479" s="29"/>
      <c r="G1479" s="29"/>
      <c r="H1479" s="81">
        <f>+'[7]Compta Jospin (2)'!$F$1592</f>
        <v>950</v>
      </c>
      <c r="I1479" s="80">
        <v>93700</v>
      </c>
      <c r="J1479" s="30">
        <f t="shared" si="678"/>
        <v>0</v>
      </c>
      <c r="L1479" s="71"/>
      <c r="M1479" s="71"/>
      <c r="N1479" s="71"/>
      <c r="O1479" s="71"/>
    </row>
    <row r="1480" spans="1:15" s="70" customFormat="1" ht="16.5">
      <c r="A1480" s="77" t="s">
        <v>66</v>
      </c>
      <c r="B1480" s="8" t="s">
        <v>29</v>
      </c>
      <c r="C1480" s="78">
        <v>265600</v>
      </c>
      <c r="D1480" s="29"/>
      <c r="E1480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480" s="29"/>
      <c r="G1480" s="29"/>
      <c r="H1480" s="81"/>
      <c r="I1480" s="80">
        <v>1036850</v>
      </c>
      <c r="J1480" s="30">
        <f t="shared" si="678"/>
        <v>84350</v>
      </c>
      <c r="L1480" s="71"/>
      <c r="M1480" s="71"/>
      <c r="N1480" s="71"/>
      <c r="O1480" s="71"/>
    </row>
    <row r="1481" spans="1:15" s="70" customFormat="1" ht="16.5">
      <c r="A1481" s="77" t="s">
        <v>66</v>
      </c>
      <c r="B1481" s="8" t="s">
        <v>49</v>
      </c>
      <c r="C1481" s="78">
        <f t="shared" ref="C1481" si="679">+C1454</f>
        <v>-216251</v>
      </c>
      <c r="D1481" s="29"/>
      <c r="E1481" s="29">
        <v>0</v>
      </c>
      <c r="F1481" s="29"/>
      <c r="G1481" s="29"/>
      <c r="H1481" s="81"/>
      <c r="I1481" s="82">
        <v>0</v>
      </c>
      <c r="J1481" s="30">
        <f t="shared" si="678"/>
        <v>-216251</v>
      </c>
      <c r="L1481" s="71"/>
      <c r="M1481" s="71"/>
      <c r="N1481" s="71"/>
      <c r="O1481" s="71"/>
    </row>
    <row r="1482" spans="1:15" s="70" customFormat="1" ht="16.5">
      <c r="A1482" s="77" t="s">
        <v>66</v>
      </c>
      <c r="B1482" s="8" t="s">
        <v>33</v>
      </c>
      <c r="C1482" s="78">
        <v>1025</v>
      </c>
      <c r="D1482" s="29"/>
      <c r="E1482" s="29">
        <f>+'[9]compta shely'!$E$90+'[9]compta shely'!$E$97+'[9]compta shely'!$E$100</f>
        <v>25000</v>
      </c>
      <c r="F1482" s="29"/>
      <c r="G1482" s="29"/>
      <c r="H1482" s="81"/>
      <c r="I1482" s="80">
        <v>24000</v>
      </c>
      <c r="J1482" s="30">
        <f>+SUM(C1482:G1482)-(H1482+I1482)</f>
        <v>2025</v>
      </c>
      <c r="L1482" s="71"/>
      <c r="M1482" s="71"/>
      <c r="N1482" s="71"/>
      <c r="O1482" s="71"/>
    </row>
    <row r="1483" spans="1:15" s="70" customFormat="1" ht="16.5">
      <c r="A1483" s="31" t="s">
        <v>66</v>
      </c>
      <c r="B1483" s="8" t="s">
        <v>32</v>
      </c>
      <c r="C1483" s="78">
        <v>0</v>
      </c>
      <c r="D1483" s="31"/>
      <c r="E1483" s="31">
        <f>+'[10]compta ted'!$E$11</f>
        <v>10000</v>
      </c>
      <c r="F1483" s="31"/>
      <c r="G1483" s="31"/>
      <c r="H1483" s="81"/>
      <c r="I1483" s="80">
        <v>0</v>
      </c>
      <c r="J1483" s="30">
        <f>+SUM(C1483:G1483)-(H1483+I1483)</f>
        <v>10000</v>
      </c>
      <c r="L1483" s="71"/>
      <c r="M1483" s="71"/>
      <c r="N1483" s="71"/>
      <c r="O1483" s="71"/>
    </row>
    <row r="1484" spans="1:15" s="70" customFormat="1">
      <c r="A1484" s="83" t="s">
        <v>60</v>
      </c>
      <c r="B1484" s="84"/>
      <c r="C1484" s="84"/>
      <c r="D1484" s="84"/>
      <c r="E1484" s="84"/>
      <c r="F1484" s="84"/>
      <c r="G1484" s="84"/>
      <c r="H1484" s="84"/>
      <c r="I1484" s="84"/>
      <c r="J1484" s="85"/>
      <c r="L1484" s="71"/>
      <c r="M1484" s="71"/>
      <c r="N1484" s="71"/>
      <c r="O1484" s="71"/>
    </row>
    <row r="1485" spans="1:15" s="70" customFormat="1">
      <c r="A1485" s="31" t="s">
        <v>66</v>
      </c>
      <c r="B1485" s="37" t="s">
        <v>61</v>
      </c>
      <c r="C1485" s="38">
        <v>954796</v>
      </c>
      <c r="D1485" s="29">
        <v>3000000</v>
      </c>
      <c r="E1485" s="29"/>
      <c r="F1485" s="29"/>
      <c r="G1485" s="86">
        <v>17585</v>
      </c>
      <c r="H1485" s="87">
        <v>2431600</v>
      </c>
      <c r="I1485" s="88">
        <v>749106</v>
      </c>
      <c r="J1485" s="42">
        <f>+SUM(C1485:G1485)-(H1485+I1485)</f>
        <v>791675</v>
      </c>
      <c r="L1485" s="71"/>
      <c r="M1485" s="71"/>
      <c r="N1485" s="71"/>
      <c r="O1485" s="71"/>
    </row>
    <row r="1486" spans="1:15" s="70" customFormat="1">
      <c r="A1486" s="89" t="s">
        <v>62</v>
      </c>
      <c r="B1486" s="74"/>
      <c r="C1486" s="84"/>
      <c r="D1486" s="74"/>
      <c r="E1486" s="74"/>
      <c r="F1486" s="74"/>
      <c r="G1486" s="74"/>
      <c r="H1486" s="74"/>
      <c r="I1486" s="74"/>
      <c r="J1486" s="85"/>
      <c r="L1486" s="71"/>
      <c r="M1486" s="71"/>
      <c r="N1486" s="71"/>
      <c r="O1486" s="71"/>
    </row>
    <row r="1487" spans="1:15" s="70" customFormat="1">
      <c r="A1487" s="31" t="s">
        <v>66</v>
      </c>
      <c r="B1487" s="37" t="s">
        <v>63</v>
      </c>
      <c r="C1487" s="78">
        <v>705838</v>
      </c>
      <c r="D1487" s="90">
        <v>10801800</v>
      </c>
      <c r="E1487" s="91"/>
      <c r="F1487" s="91"/>
      <c r="G1487" s="91"/>
      <c r="H1487" s="92">
        <v>3000000</v>
      </c>
      <c r="I1487" s="93">
        <v>468365</v>
      </c>
      <c r="J1487" s="30">
        <f>+SUM(C1487:G1487)-(H1487+I1487)</f>
        <v>8039273</v>
      </c>
      <c r="L1487" s="71"/>
      <c r="M1487" s="71"/>
      <c r="N1487" s="71"/>
      <c r="O1487" s="71"/>
    </row>
    <row r="1488" spans="1:15" s="70" customFormat="1">
      <c r="A1488" s="31" t="s">
        <v>66</v>
      </c>
      <c r="B1488" s="37" t="s">
        <v>64</v>
      </c>
      <c r="C1488" s="78">
        <v>14874402</v>
      </c>
      <c r="D1488" s="91">
        <v>3279785</v>
      </c>
      <c r="E1488" s="94"/>
      <c r="F1488" s="94"/>
      <c r="G1488" s="94"/>
      <c r="H1488" s="95"/>
      <c r="I1488" s="96">
        <v>4870847</v>
      </c>
      <c r="J1488" s="30">
        <f>SUM(C1488:G1488)-(H1488+I1488)</f>
        <v>13283340</v>
      </c>
      <c r="L1488" s="71"/>
      <c r="M1488" s="71"/>
      <c r="N1488" s="71"/>
      <c r="O1488" s="71"/>
    </row>
    <row r="1489" spans="1:15" s="70" customFormat="1">
      <c r="L1489" s="71"/>
      <c r="M1489" s="71"/>
      <c r="N1489" s="71"/>
      <c r="O1489" s="71"/>
    </row>
    <row r="1490" spans="1:15" s="70" customFormat="1">
      <c r="C1490" s="97">
        <f>+SUM(C1473:C1488)</f>
        <v>17673344</v>
      </c>
      <c r="I1490" s="97">
        <f>SUM(I1473:I1488)</f>
        <v>9525308</v>
      </c>
      <c r="J1490" s="97">
        <f>+SUM(J1473:J1488)</f>
        <v>22229621</v>
      </c>
      <c r="L1490" s="71"/>
      <c r="M1490" s="71"/>
      <c r="N1490" s="71"/>
      <c r="O1490" s="71"/>
    </row>
    <row r="1491" spans="1:15">
      <c r="C1491" s="9"/>
      <c r="I1491" s="9"/>
      <c r="J1491" s="9"/>
    </row>
    <row r="1492" spans="1:15">
      <c r="A1492" s="62" t="s">
        <v>70</v>
      </c>
      <c r="B1492" s="62"/>
    </row>
    <row r="1493" spans="1:15">
      <c r="A1493" s="63" t="s">
        <v>71</v>
      </c>
      <c r="B1493" s="63"/>
      <c r="C1493" s="63"/>
      <c r="D1493" s="63"/>
      <c r="E1493" s="63"/>
      <c r="F1493" s="63"/>
      <c r="G1493" s="63"/>
      <c r="H1493" s="63"/>
      <c r="I1493" s="63"/>
      <c r="J1493" s="63"/>
      <c r="L1493" s="5"/>
      <c r="M1493" s="5"/>
      <c r="N1493" s="5"/>
      <c r="O1493" s="5"/>
    </row>
    <row r="1495" spans="1:15" ht="15" customHeight="1">
      <c r="A1495" s="253" t="s">
        <v>53</v>
      </c>
      <c r="B1495" s="253" t="s">
        <v>54</v>
      </c>
      <c r="C1495" s="264" t="s">
        <v>73</v>
      </c>
      <c r="D1495" s="259" t="s">
        <v>55</v>
      </c>
      <c r="E1495" s="259"/>
      <c r="F1495" s="259"/>
      <c r="G1495" s="259"/>
      <c r="H1495" s="260" t="s">
        <v>56</v>
      </c>
      <c r="I1495" s="262" t="s">
        <v>57</v>
      </c>
      <c r="J1495" s="255" t="s">
        <v>74</v>
      </c>
      <c r="K1495" s="256"/>
      <c r="L1495" s="5"/>
      <c r="M1495" s="5"/>
      <c r="N1495" s="5"/>
      <c r="O1495" s="5"/>
    </row>
    <row r="1496" spans="1:15" ht="28.5" customHeight="1">
      <c r="A1496" s="254"/>
      <c r="B1496" s="254"/>
      <c r="C1496" s="254"/>
      <c r="D1496" s="67" t="s">
        <v>24</v>
      </c>
      <c r="E1496" s="64" t="s">
        <v>25</v>
      </c>
      <c r="F1496" s="64" t="s">
        <v>27</v>
      </c>
      <c r="G1496" s="64" t="s">
        <v>58</v>
      </c>
      <c r="H1496" s="261"/>
      <c r="I1496" s="263"/>
      <c r="J1496" s="257"/>
      <c r="K1496" s="258"/>
      <c r="L1496" s="5"/>
      <c r="M1496" s="5"/>
      <c r="N1496" s="5"/>
      <c r="O1496" s="5"/>
    </row>
    <row r="1497" spans="1:15">
      <c r="A1497" s="45"/>
      <c r="B1497" s="45" t="s">
        <v>59</v>
      </c>
      <c r="C1497" s="47"/>
      <c r="D1497" s="47"/>
      <c r="E1497" s="47"/>
      <c r="F1497" s="47"/>
      <c r="G1497" s="47"/>
      <c r="H1497" s="47"/>
      <c r="I1497" s="47"/>
      <c r="J1497" s="47"/>
      <c r="K1497" s="45"/>
      <c r="L1497" s="5"/>
      <c r="M1497" s="5"/>
      <c r="N1497" s="5"/>
      <c r="O1497" s="5"/>
    </row>
    <row r="1498" spans="1:15">
      <c r="A1498" s="45" t="s">
        <v>72</v>
      </c>
      <c r="B1498" s="45" t="s">
        <v>47</v>
      </c>
      <c r="C1498" s="47">
        <v>89360</v>
      </c>
      <c r="D1498" s="47"/>
      <c r="E1498" s="47">
        <v>13000</v>
      </c>
      <c r="F1498" s="47"/>
      <c r="G1498" s="47"/>
      <c r="H1498" s="47"/>
      <c r="I1498" s="47">
        <v>61800</v>
      </c>
      <c r="J1498" s="47">
        <v>40560</v>
      </c>
      <c r="K1498" s="45"/>
      <c r="L1498" s="5"/>
      <c r="M1498" s="5"/>
      <c r="N1498" s="5"/>
      <c r="O1498" s="5"/>
    </row>
    <row r="1499" spans="1:15">
      <c r="A1499" s="45" t="s">
        <v>72</v>
      </c>
      <c r="B1499" s="45" t="s">
        <v>28</v>
      </c>
      <c r="C1499" s="47">
        <v>-1025</v>
      </c>
      <c r="D1499" s="47"/>
      <c r="E1499" s="47">
        <v>684500</v>
      </c>
      <c r="F1499" s="47"/>
      <c r="G1499" s="47"/>
      <c r="H1499" s="47"/>
      <c r="I1499" s="47">
        <v>455500</v>
      </c>
      <c r="J1499" s="47">
        <v>227975</v>
      </c>
      <c r="K1499" s="45"/>
      <c r="L1499" s="5"/>
      <c r="M1499" s="5"/>
      <c r="N1499" s="5"/>
      <c r="O1499" s="5"/>
    </row>
    <row r="1500" spans="1:15">
      <c r="A1500" s="45" t="s">
        <v>72</v>
      </c>
      <c r="B1500" s="45" t="s">
        <v>31</v>
      </c>
      <c r="C1500" s="47">
        <v>14395</v>
      </c>
      <c r="D1500" s="47"/>
      <c r="E1500" s="47">
        <v>40000</v>
      </c>
      <c r="F1500" s="47"/>
      <c r="G1500" s="47"/>
      <c r="H1500" s="47"/>
      <c r="I1500" s="47">
        <v>55000</v>
      </c>
      <c r="J1500" s="47">
        <v>-605</v>
      </c>
      <c r="K1500" s="45"/>
      <c r="L1500" s="5"/>
      <c r="M1500" s="5"/>
      <c r="N1500" s="5"/>
      <c r="O1500" s="5"/>
    </row>
    <row r="1501" spans="1:15">
      <c r="A1501" s="45" t="s">
        <v>72</v>
      </c>
      <c r="B1501" s="45" t="s">
        <v>26</v>
      </c>
      <c r="C1501" s="47">
        <v>8559</v>
      </c>
      <c r="D1501" s="47"/>
      <c r="E1501" s="47">
        <v>428750</v>
      </c>
      <c r="F1501" s="47">
        <v>280200</v>
      </c>
      <c r="G1501" s="47"/>
      <c r="H1501" s="47"/>
      <c r="I1501" s="47">
        <v>452850</v>
      </c>
      <c r="J1501" s="47">
        <v>264659</v>
      </c>
      <c r="K1501" s="45"/>
      <c r="L1501" s="5"/>
      <c r="M1501" s="5"/>
      <c r="N1501" s="5"/>
      <c r="O1501" s="5"/>
    </row>
    <row r="1502" spans="1:15">
      <c r="A1502" s="45" t="s">
        <v>72</v>
      </c>
      <c r="B1502" s="45" t="s">
        <v>48</v>
      </c>
      <c r="C1502" s="47">
        <v>-5750</v>
      </c>
      <c r="D1502" s="47"/>
      <c r="E1502" s="47">
        <v>1161750</v>
      </c>
      <c r="F1502" s="47"/>
      <c r="G1502" s="47"/>
      <c r="H1502" s="47">
        <v>124000</v>
      </c>
      <c r="I1502" s="47">
        <v>759500</v>
      </c>
      <c r="J1502" s="47">
        <v>272500</v>
      </c>
      <c r="K1502" s="45"/>
      <c r="L1502" s="5"/>
      <c r="M1502" s="5"/>
      <c r="N1502" s="5"/>
      <c r="O1502" s="5"/>
    </row>
    <row r="1503" spans="1:15">
      <c r="A1503" s="45" t="s">
        <v>72</v>
      </c>
      <c r="B1503" s="45" t="s">
        <v>35</v>
      </c>
      <c r="C1503" s="47">
        <v>12995</v>
      </c>
      <c r="D1503" s="47"/>
      <c r="E1503" s="47">
        <v>726000</v>
      </c>
      <c r="F1503" s="47"/>
      <c r="G1503" s="47"/>
      <c r="H1503" s="47"/>
      <c r="I1503" s="47">
        <v>454400</v>
      </c>
      <c r="J1503" s="47">
        <v>284595</v>
      </c>
      <c r="K1503" s="45"/>
      <c r="L1503" s="5"/>
      <c r="M1503" s="5"/>
      <c r="N1503" s="5"/>
      <c r="O1503" s="5"/>
    </row>
    <row r="1504" spans="1:15">
      <c r="A1504" s="45" t="s">
        <v>72</v>
      </c>
      <c r="B1504" s="45" t="s">
        <v>27</v>
      </c>
      <c r="C1504" s="47">
        <v>6050</v>
      </c>
      <c r="D1504" s="47"/>
      <c r="E1504" s="47">
        <v>736300</v>
      </c>
      <c r="F1504" s="47"/>
      <c r="G1504" s="47"/>
      <c r="H1504" s="47">
        <v>405200</v>
      </c>
      <c r="I1504" s="47">
        <v>338900</v>
      </c>
      <c r="J1504" s="47">
        <v>-1750</v>
      </c>
      <c r="K1504" s="45"/>
      <c r="L1504" s="5"/>
      <c r="M1504" s="5"/>
      <c r="N1504" s="5"/>
      <c r="O1504" s="5"/>
    </row>
    <row r="1505" spans="1:15">
      <c r="A1505" s="45" t="s">
        <v>72</v>
      </c>
      <c r="B1505" s="45" t="s">
        <v>29</v>
      </c>
      <c r="C1505" s="47">
        <v>142400</v>
      </c>
      <c r="D1505" s="47"/>
      <c r="E1505" s="47">
        <v>1014000</v>
      </c>
      <c r="F1505" s="47"/>
      <c r="G1505" s="47"/>
      <c r="H1505" s="47">
        <v>100000</v>
      </c>
      <c r="I1505" s="47">
        <v>790800</v>
      </c>
      <c r="J1505" s="47">
        <v>265600</v>
      </c>
      <c r="K1505" s="45"/>
      <c r="L1505" s="5"/>
      <c r="M1505" s="5"/>
      <c r="N1505" s="5"/>
      <c r="O1505" s="5"/>
    </row>
    <row r="1506" spans="1:15">
      <c r="A1506" s="45" t="s">
        <v>72</v>
      </c>
      <c r="B1506" s="45" t="s">
        <v>49</v>
      </c>
      <c r="C1506" s="47">
        <v>-221251.00072999997</v>
      </c>
      <c r="D1506" s="47"/>
      <c r="E1506" s="47">
        <v>485000</v>
      </c>
      <c r="F1506" s="47"/>
      <c r="G1506" s="47"/>
      <c r="H1506" s="47">
        <v>5000</v>
      </c>
      <c r="I1506" s="47">
        <v>475000</v>
      </c>
      <c r="J1506" s="47">
        <v>-216251.00072999997</v>
      </c>
      <c r="K1506" s="45"/>
      <c r="L1506" s="5"/>
      <c r="M1506" s="5"/>
      <c r="N1506" s="5"/>
      <c r="O1506" s="5"/>
    </row>
    <row r="1507" spans="1:15">
      <c r="A1507" s="45" t="s">
        <v>72</v>
      </c>
      <c r="B1507" s="45" t="s">
        <v>33</v>
      </c>
      <c r="C1507" s="47">
        <v>14225</v>
      </c>
      <c r="D1507" s="47"/>
      <c r="E1507" s="47">
        <v>30000</v>
      </c>
      <c r="F1507" s="47"/>
      <c r="G1507" s="47"/>
      <c r="H1507" s="47"/>
      <c r="I1507" s="47">
        <v>43200</v>
      </c>
      <c r="J1507" s="47">
        <v>1025</v>
      </c>
      <c r="K1507" s="45"/>
      <c r="L1507" s="5"/>
      <c r="M1507" s="5"/>
      <c r="N1507" s="5"/>
      <c r="O1507" s="5"/>
    </row>
    <row r="1508" spans="1:15">
      <c r="A1508" s="65" t="s">
        <v>60</v>
      </c>
      <c r="B1508" s="65"/>
      <c r="C1508" s="66"/>
      <c r="D1508" s="66"/>
      <c r="E1508" s="66"/>
      <c r="F1508" s="66"/>
      <c r="G1508" s="66"/>
      <c r="H1508" s="66"/>
      <c r="I1508" s="66"/>
      <c r="J1508" s="66"/>
      <c r="K1508" s="65"/>
      <c r="L1508" s="5"/>
      <c r="M1508" s="5"/>
      <c r="N1508" s="5"/>
      <c r="O1508" s="5"/>
    </row>
    <row r="1509" spans="1:15">
      <c r="A1509" s="45" t="s">
        <v>72</v>
      </c>
      <c r="B1509" s="45" t="s">
        <v>61</v>
      </c>
      <c r="C1509" s="47">
        <v>494738</v>
      </c>
      <c r="D1509" s="47">
        <v>6000000</v>
      </c>
      <c r="E1509" s="47"/>
      <c r="F1509" s="47"/>
      <c r="G1509" s="47">
        <v>105000</v>
      </c>
      <c r="H1509" s="47">
        <v>5070300</v>
      </c>
      <c r="I1509" s="47">
        <v>574642</v>
      </c>
      <c r="J1509" s="47">
        <v>954796</v>
      </c>
      <c r="K1509" s="45"/>
      <c r="L1509" s="5"/>
      <c r="M1509" s="5"/>
      <c r="N1509" s="5"/>
      <c r="O1509" s="5"/>
    </row>
    <row r="1510" spans="1:15">
      <c r="A1510" s="65" t="s">
        <v>62</v>
      </c>
      <c r="B1510" s="65"/>
      <c r="C1510" s="66"/>
      <c r="D1510" s="66"/>
      <c r="E1510" s="66"/>
      <c r="F1510" s="66"/>
      <c r="G1510" s="66"/>
      <c r="H1510" s="66"/>
      <c r="I1510" s="66"/>
      <c r="J1510" s="66"/>
      <c r="K1510" s="65"/>
      <c r="L1510" s="5"/>
      <c r="M1510" s="5"/>
      <c r="N1510" s="5"/>
      <c r="O1510" s="5"/>
    </row>
    <row r="1511" spans="1:15">
      <c r="A1511" s="45" t="s">
        <v>72</v>
      </c>
      <c r="B1511" s="45" t="s">
        <v>63</v>
      </c>
      <c r="C1511" s="47">
        <v>11363703</v>
      </c>
      <c r="D1511" s="47"/>
      <c r="E1511" s="47"/>
      <c r="F1511" s="47"/>
      <c r="G1511" s="47"/>
      <c r="H1511" s="47">
        <v>10000000</v>
      </c>
      <c r="I1511" s="47">
        <v>657865</v>
      </c>
      <c r="J1511" s="47">
        <v>705838</v>
      </c>
      <c r="K1511" s="45"/>
      <c r="L1511" s="5"/>
      <c r="M1511" s="5"/>
      <c r="N1511" s="5"/>
      <c r="O1511" s="5"/>
    </row>
    <row r="1512" spans="1:15">
      <c r="A1512" s="45" t="s">
        <v>72</v>
      </c>
      <c r="B1512" s="45" t="s">
        <v>64</v>
      </c>
      <c r="C1512" s="47">
        <v>4902843</v>
      </c>
      <c r="D1512" s="47">
        <v>17119140</v>
      </c>
      <c r="E1512" s="47"/>
      <c r="F1512" s="47"/>
      <c r="G1512" s="47"/>
      <c r="H1512" s="47"/>
      <c r="I1512" s="47">
        <v>7147581</v>
      </c>
      <c r="J1512" s="47">
        <v>14874402</v>
      </c>
      <c r="K1512" s="45"/>
      <c r="L1512" s="5"/>
      <c r="M1512" s="5"/>
      <c r="N1512" s="5"/>
      <c r="O1512" s="5"/>
    </row>
    <row r="1513" spans="1:15">
      <c r="A1513" s="45"/>
      <c r="B1513" s="45"/>
      <c r="C1513" s="47"/>
      <c r="D1513" s="47"/>
      <c r="E1513" s="47"/>
      <c r="F1513" s="47"/>
      <c r="G1513" s="47"/>
      <c r="H1513" s="47"/>
      <c r="I1513" s="47"/>
      <c r="J1513" s="47"/>
      <c r="K1513" s="45"/>
      <c r="L1513" s="5"/>
      <c r="M1513" s="5"/>
      <c r="N1513" s="5"/>
      <c r="O1513" s="5"/>
    </row>
    <row r="1514" spans="1:15">
      <c r="A1514" s="45"/>
      <c r="B1514" s="45"/>
      <c r="C1514" s="47"/>
      <c r="D1514" s="47"/>
      <c r="E1514" s="47"/>
      <c r="F1514" s="47"/>
      <c r="G1514" s="47"/>
      <c r="H1514" s="47"/>
      <c r="I1514" s="47">
        <v>12267038</v>
      </c>
      <c r="J1514" s="47">
        <v>17673343.99927</v>
      </c>
      <c r="K1514" s="45" t="b">
        <v>1</v>
      </c>
      <c r="L1514" s="5"/>
      <c r="M1514" s="5"/>
      <c r="N1514" s="5"/>
      <c r="O1514" s="5"/>
    </row>
    <row r="1515" spans="1:15">
      <c r="J1515" s="68" t="b">
        <f>J1514=[11]TABLEAU!$I$16</f>
        <v>1</v>
      </c>
      <c r="L1515" s="5"/>
      <c r="M1515" s="5"/>
      <c r="N1515" s="5"/>
      <c r="O1515" s="5"/>
    </row>
  </sheetData>
  <mergeCells count="133">
    <mergeCell ref="A1034:A1035"/>
    <mergeCell ref="B1034:B1035"/>
    <mergeCell ref="C1034:C1035"/>
    <mergeCell ref="D1034:G1034"/>
    <mergeCell ref="H1034:H1035"/>
    <mergeCell ref="I1034:I1035"/>
    <mergeCell ref="J1035:J1036"/>
    <mergeCell ref="A987:A988"/>
    <mergeCell ref="B987:B988"/>
    <mergeCell ref="C987:C988"/>
    <mergeCell ref="D987:G987"/>
    <mergeCell ref="H987:H988"/>
    <mergeCell ref="I987:I988"/>
    <mergeCell ref="J988:J989"/>
    <mergeCell ref="A1082:A1083"/>
    <mergeCell ref="B1082:B1083"/>
    <mergeCell ref="C1082:C1083"/>
    <mergeCell ref="D1082:G1082"/>
    <mergeCell ref="H1082:H1083"/>
    <mergeCell ref="I1082:I1083"/>
    <mergeCell ref="J1083:J1084"/>
    <mergeCell ref="A1203:A1204"/>
    <mergeCell ref="B1203:B1204"/>
    <mergeCell ref="C1203:C1204"/>
    <mergeCell ref="D1203:G1203"/>
    <mergeCell ref="H1203:H1204"/>
    <mergeCell ref="I1132:I1133"/>
    <mergeCell ref="J1133:J1134"/>
    <mergeCell ref="A1132:A1133"/>
    <mergeCell ref="B1132:B1133"/>
    <mergeCell ref="C1132:C1133"/>
    <mergeCell ref="D1132:G1132"/>
    <mergeCell ref="H1132:H1133"/>
    <mergeCell ref="I1155:I1156"/>
    <mergeCell ref="J1156:J1157"/>
    <mergeCell ref="A1155:A1156"/>
    <mergeCell ref="B1155:B1156"/>
    <mergeCell ref="C1155:C1156"/>
    <mergeCell ref="B1179:B1180"/>
    <mergeCell ref="C1179:C1180"/>
    <mergeCell ref="D1179:G1179"/>
    <mergeCell ref="H1179:H1180"/>
    <mergeCell ref="H1280:H1281"/>
    <mergeCell ref="B1228:B1229"/>
    <mergeCell ref="C1228:C1229"/>
    <mergeCell ref="D1228:G1228"/>
    <mergeCell ref="H1228:H1229"/>
    <mergeCell ref="A1495:A1496"/>
    <mergeCell ref="J1444:J1445"/>
    <mergeCell ref="A1443:A1444"/>
    <mergeCell ref="B1443:B1444"/>
    <mergeCell ref="C1443:C1444"/>
    <mergeCell ref="D1443:G1443"/>
    <mergeCell ref="H1443:H1444"/>
    <mergeCell ref="I1443:I1444"/>
    <mergeCell ref="B1495:B1496"/>
    <mergeCell ref="J1495:K1496"/>
    <mergeCell ref="D1495:G1495"/>
    <mergeCell ref="H1495:H1496"/>
    <mergeCell ref="I1495:I1496"/>
    <mergeCell ref="C1495:C1496"/>
    <mergeCell ref="B1470:B1471"/>
    <mergeCell ref="C1470:C1471"/>
    <mergeCell ref="A1470:A1471"/>
    <mergeCell ref="D1470:G1470"/>
    <mergeCell ref="H1470:H1471"/>
    <mergeCell ref="J1471:J1472"/>
    <mergeCell ref="I1470:I1471"/>
    <mergeCell ref="I1280:I1281"/>
    <mergeCell ref="J1281:J1282"/>
    <mergeCell ref="A1280:A1281"/>
    <mergeCell ref="B1280:B1281"/>
    <mergeCell ref="C1280:C1281"/>
    <mergeCell ref="D1280:G1280"/>
    <mergeCell ref="J1417:J1418"/>
    <mergeCell ref="A1416:A1417"/>
    <mergeCell ref="B1416:B1417"/>
    <mergeCell ref="C1416:C1417"/>
    <mergeCell ref="D1416:G1416"/>
    <mergeCell ref="H1416:H1417"/>
    <mergeCell ref="I1307:I1308"/>
    <mergeCell ref="J1308:J1309"/>
    <mergeCell ref="A1307:A1308"/>
    <mergeCell ref="B1307:B1308"/>
    <mergeCell ref="C1307:C1308"/>
    <mergeCell ref="D1307:G1307"/>
    <mergeCell ref="H1307:H1308"/>
    <mergeCell ref="B1363:B1364"/>
    <mergeCell ref="C1363:C1364"/>
    <mergeCell ref="D1363:G1363"/>
    <mergeCell ref="H1363:H1364"/>
    <mergeCell ref="I1416:I1417"/>
    <mergeCell ref="I1390:I1391"/>
    <mergeCell ref="J1391:J1392"/>
    <mergeCell ref="A1390:A1391"/>
    <mergeCell ref="B1390:B1391"/>
    <mergeCell ref="C1390:C1391"/>
    <mergeCell ref="D1390:G1390"/>
    <mergeCell ref="H1390:H1391"/>
    <mergeCell ref="I1335:I1336"/>
    <mergeCell ref="J1336:J1337"/>
    <mergeCell ref="A1335:A1336"/>
    <mergeCell ref="B1335:B1336"/>
    <mergeCell ref="C1335:C1336"/>
    <mergeCell ref="D1335:G1335"/>
    <mergeCell ref="H1335:H1336"/>
    <mergeCell ref="I1363:I1364"/>
    <mergeCell ref="J1364:J1365"/>
    <mergeCell ref="A1363:A1364"/>
    <mergeCell ref="I1254:I1255"/>
    <mergeCell ref="J1255:J1256"/>
    <mergeCell ref="A1254:A1255"/>
    <mergeCell ref="B1254:B1255"/>
    <mergeCell ref="C1254:C1255"/>
    <mergeCell ref="D1254:G1254"/>
    <mergeCell ref="H1254:H1255"/>
    <mergeCell ref="A1107:A1108"/>
    <mergeCell ref="B1107:B1108"/>
    <mergeCell ref="C1107:C1108"/>
    <mergeCell ref="D1107:G1107"/>
    <mergeCell ref="H1107:H1108"/>
    <mergeCell ref="I1107:I1108"/>
    <mergeCell ref="J1108:J1109"/>
    <mergeCell ref="I1179:I1180"/>
    <mergeCell ref="J1180:J1181"/>
    <mergeCell ref="A1179:A1180"/>
    <mergeCell ref="A1228:A1229"/>
    <mergeCell ref="I1203:I1204"/>
    <mergeCell ref="I1228:I1229"/>
    <mergeCell ref="J1204:J1205"/>
    <mergeCell ref="J1229:J1230"/>
    <mergeCell ref="D1155:G1155"/>
    <mergeCell ref="H1155:H11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0"/>
  <sheetViews>
    <sheetView workbookViewId="0">
      <selection activeCell="J403" sqref="J403:J405"/>
    </sheetView>
  </sheetViews>
  <sheetFormatPr baseColWidth="10" defaultColWidth="11.5703125" defaultRowHeight="15"/>
  <cols>
    <col min="1" max="1" width="12.5703125" customWidth="1"/>
    <col min="2" max="2" width="15.42578125" customWidth="1"/>
    <col min="3" max="5" width="8" customWidth="1"/>
    <col min="6" max="6" width="10.85546875" customWidth="1"/>
  </cols>
  <sheetData>
    <row r="3" spans="1:6">
      <c r="A3" s="1" t="s">
        <v>822</v>
      </c>
      <c r="B3" t="s">
        <v>312</v>
      </c>
    </row>
    <row r="4" spans="1:6">
      <c r="A4" s="2" t="s">
        <v>352</v>
      </c>
      <c r="B4" s="237">
        <v>891000</v>
      </c>
    </row>
    <row r="5" spans="1:6">
      <c r="A5" s="2" t="s">
        <v>102</v>
      </c>
      <c r="B5" s="237">
        <v>7996888</v>
      </c>
    </row>
    <row r="6" spans="1:6">
      <c r="A6" s="2" t="s">
        <v>287</v>
      </c>
      <c r="B6" s="237">
        <v>4526455</v>
      </c>
    </row>
    <row r="7" spans="1:6">
      <c r="A7" s="2" t="s">
        <v>823</v>
      </c>
      <c r="B7" s="237">
        <v>13414343</v>
      </c>
    </row>
    <row r="13" spans="1:6">
      <c r="A13" s="1" t="s">
        <v>312</v>
      </c>
      <c r="B13" s="1" t="s">
        <v>821</v>
      </c>
    </row>
    <row r="14" spans="1:6">
      <c r="A14" s="1" t="s">
        <v>822</v>
      </c>
      <c r="B14" t="s">
        <v>352</v>
      </c>
      <c r="C14" t="s">
        <v>102</v>
      </c>
      <c r="D14" t="s">
        <v>287</v>
      </c>
      <c r="E14" t="s">
        <v>819</v>
      </c>
      <c r="F14" t="s">
        <v>823</v>
      </c>
    </row>
    <row r="15" spans="1:6">
      <c r="A15" s="2" t="s">
        <v>198</v>
      </c>
      <c r="B15" s="237">
        <v>891000</v>
      </c>
      <c r="C15" s="237"/>
      <c r="D15" s="237">
        <v>2737355</v>
      </c>
      <c r="E15" s="237">
        <v>401000</v>
      </c>
      <c r="F15" s="237">
        <v>4029355</v>
      </c>
    </row>
    <row r="16" spans="1:6">
      <c r="A16" s="2" t="s">
        <v>199</v>
      </c>
      <c r="B16" s="237"/>
      <c r="C16" s="237">
        <v>7996888</v>
      </c>
      <c r="D16" s="237">
        <v>1789100</v>
      </c>
      <c r="E16" s="237">
        <v>1105000</v>
      </c>
      <c r="F16" s="237">
        <v>10890988</v>
      </c>
    </row>
    <row r="17" spans="1:6">
      <c r="A17" s="2" t="s">
        <v>823</v>
      </c>
      <c r="B17" s="237">
        <v>891000</v>
      </c>
      <c r="C17" s="237">
        <v>7996888</v>
      </c>
      <c r="D17" s="237">
        <v>4526455</v>
      </c>
      <c r="E17" s="237">
        <v>1506000</v>
      </c>
      <c r="F17" s="237">
        <v>14920343</v>
      </c>
    </row>
    <row r="19" spans="1:6">
      <c r="C19" s="179">
        <f>(C16*100%)/E16</f>
        <v>7.2370027149321263</v>
      </c>
      <c r="D19" s="180" t="s">
        <v>200</v>
      </c>
    </row>
    <row r="20" spans="1:6">
      <c r="C20" s="179">
        <f>((D16+B16)*100%)/E16</f>
        <v>1.6190950226244345</v>
      </c>
      <c r="D20" s="180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2"/>
  <sheetViews>
    <sheetView topLeftCell="A3" workbookViewId="0">
      <pane xSplit="1" topLeftCell="AL1" activePane="topRight" state="frozen"/>
      <selection pane="topRight" activeCell="AQ22" sqref="AQ22"/>
    </sheetView>
  </sheetViews>
  <sheetFormatPr baseColWidth="10" defaultColWidth="11.5703125" defaultRowHeight="15"/>
  <cols>
    <col min="1" max="1" width="15.140625" customWidth="1"/>
    <col min="2" max="2" width="15.5703125" customWidth="1"/>
    <col min="3" max="3" width="18.140625" customWidth="1"/>
    <col min="4" max="4" width="15.42578125" customWidth="1"/>
    <col min="5" max="5" width="18.140625" customWidth="1"/>
    <col min="6" max="6" width="15.42578125" customWidth="1"/>
    <col min="7" max="7" width="18.140625" customWidth="1"/>
    <col min="8" max="8" width="15.42578125" customWidth="1"/>
    <col min="9" max="9" width="18.140625" customWidth="1"/>
    <col min="10" max="10" width="15.42578125" customWidth="1"/>
    <col min="11" max="11" width="18.140625" customWidth="1"/>
    <col min="12" max="12" width="15.42578125" customWidth="1"/>
    <col min="13" max="13" width="18.140625" customWidth="1"/>
    <col min="14" max="14" width="15.42578125" customWidth="1"/>
    <col min="15" max="15" width="18.140625" customWidth="1"/>
    <col min="16" max="16" width="15.42578125" customWidth="1"/>
    <col min="17" max="17" width="18.140625" customWidth="1"/>
    <col min="18" max="18" width="15.42578125" customWidth="1"/>
    <col min="19" max="19" width="18.140625" customWidth="1"/>
    <col min="20" max="20" width="15.42578125" customWidth="1"/>
    <col min="21" max="21" width="18.140625" customWidth="1"/>
    <col min="22" max="22" width="15.42578125" customWidth="1"/>
    <col min="23" max="23" width="18.140625" customWidth="1"/>
    <col min="24" max="24" width="15.42578125" customWidth="1"/>
    <col min="25" max="25" width="18.140625" customWidth="1"/>
    <col min="26" max="26" width="15.42578125" customWidth="1"/>
    <col min="27" max="27" width="18.140625" customWidth="1"/>
    <col min="28" max="28" width="15.42578125" customWidth="1"/>
    <col min="29" max="29" width="18.140625" customWidth="1"/>
    <col min="30" max="30" width="15.42578125" customWidth="1"/>
    <col min="31" max="31" width="18.140625" customWidth="1"/>
    <col min="32" max="32" width="16.5703125" customWidth="1"/>
    <col min="33" max="33" width="18.140625" customWidth="1"/>
    <col min="34" max="34" width="15.42578125" customWidth="1"/>
    <col min="35" max="35" width="18.140625" customWidth="1"/>
    <col min="36" max="36" width="15.42578125" customWidth="1"/>
    <col min="37" max="37" width="18.140625" customWidth="1"/>
    <col min="38" max="38" width="20.140625" customWidth="1"/>
    <col min="39" max="39" width="23" customWidth="1"/>
    <col min="40" max="40" width="22.42578125" customWidth="1"/>
    <col min="41" max="41" width="19.85546875" customWidth="1"/>
    <col min="42" max="42" width="15" customWidth="1"/>
    <col min="43" max="43" width="14.42578125" customWidth="1"/>
  </cols>
  <sheetData>
    <row r="3" spans="1:45">
      <c r="B3" s="1" t="s">
        <v>821</v>
      </c>
    </row>
    <row r="4" spans="1:45">
      <c r="B4" t="s">
        <v>335</v>
      </c>
      <c r="D4" t="s">
        <v>229</v>
      </c>
      <c r="F4" t="s">
        <v>267</v>
      </c>
      <c r="H4" t="s">
        <v>501</v>
      </c>
      <c r="J4" t="s">
        <v>381</v>
      </c>
      <c r="L4" t="s">
        <v>238</v>
      </c>
      <c r="N4" t="s">
        <v>505</v>
      </c>
      <c r="P4" t="s">
        <v>431</v>
      </c>
      <c r="R4" t="s">
        <v>174</v>
      </c>
      <c r="T4" t="s">
        <v>3</v>
      </c>
      <c r="V4" t="s">
        <v>385</v>
      </c>
      <c r="X4" t="s">
        <v>171</v>
      </c>
      <c r="Z4" t="s">
        <v>373</v>
      </c>
      <c r="AB4" t="s">
        <v>34</v>
      </c>
      <c r="AD4" t="s">
        <v>319</v>
      </c>
      <c r="AF4" t="s">
        <v>301</v>
      </c>
      <c r="AH4" t="s">
        <v>344</v>
      </c>
      <c r="AJ4" t="s">
        <v>75</v>
      </c>
      <c r="AL4" t="s">
        <v>311</v>
      </c>
      <c r="AM4" t="s">
        <v>309</v>
      </c>
    </row>
    <row r="5" spans="1:45">
      <c r="A5" s="1" t="s">
        <v>822</v>
      </c>
      <c r="B5" t="s">
        <v>312</v>
      </c>
      <c r="C5" t="s">
        <v>310</v>
      </c>
      <c r="D5" t="s">
        <v>312</v>
      </c>
      <c r="E5" t="s">
        <v>310</v>
      </c>
      <c r="F5" t="s">
        <v>312</v>
      </c>
      <c r="G5" t="s">
        <v>310</v>
      </c>
      <c r="H5" t="s">
        <v>312</v>
      </c>
      <c r="I5" t="s">
        <v>310</v>
      </c>
      <c r="J5" t="s">
        <v>312</v>
      </c>
      <c r="K5" t="s">
        <v>310</v>
      </c>
      <c r="L5" t="s">
        <v>312</v>
      </c>
      <c r="M5" t="s">
        <v>310</v>
      </c>
      <c r="N5" t="s">
        <v>312</v>
      </c>
      <c r="O5" t="s">
        <v>310</v>
      </c>
      <c r="P5" t="s">
        <v>312</v>
      </c>
      <c r="Q5" t="s">
        <v>310</v>
      </c>
      <c r="R5" t="s">
        <v>312</v>
      </c>
      <c r="S5" t="s">
        <v>310</v>
      </c>
      <c r="T5" t="s">
        <v>312</v>
      </c>
      <c r="U5" t="s">
        <v>310</v>
      </c>
      <c r="V5" t="s">
        <v>312</v>
      </c>
      <c r="W5" t="s">
        <v>310</v>
      </c>
      <c r="X5" t="s">
        <v>312</v>
      </c>
      <c r="Y5" t="s">
        <v>310</v>
      </c>
      <c r="Z5" t="s">
        <v>312</v>
      </c>
      <c r="AA5" t="s">
        <v>310</v>
      </c>
      <c r="AB5" t="s">
        <v>312</v>
      </c>
      <c r="AC5" t="s">
        <v>310</v>
      </c>
      <c r="AD5" t="s">
        <v>312</v>
      </c>
      <c r="AE5" t="s">
        <v>310</v>
      </c>
      <c r="AF5" t="s">
        <v>312</v>
      </c>
      <c r="AG5" t="s">
        <v>310</v>
      </c>
      <c r="AH5" t="s">
        <v>312</v>
      </c>
      <c r="AI5" t="s">
        <v>310</v>
      </c>
      <c r="AJ5" t="s">
        <v>312</v>
      </c>
      <c r="AK5" t="s">
        <v>310</v>
      </c>
      <c r="AP5" s="45" t="s">
        <v>42</v>
      </c>
      <c r="AQ5" s="45" t="s">
        <v>43</v>
      </c>
      <c r="AR5" s="45" t="s">
        <v>44</v>
      </c>
      <c r="AS5" s="45" t="s">
        <v>45</v>
      </c>
    </row>
    <row r="6" spans="1:45">
      <c r="A6" s="2" t="s">
        <v>24</v>
      </c>
      <c r="B6" s="237">
        <v>23345</v>
      </c>
      <c r="C6" s="237"/>
      <c r="D6" s="237"/>
      <c r="E6" s="237"/>
      <c r="F6" s="237"/>
      <c r="G6" s="237"/>
      <c r="H6" s="237"/>
      <c r="I6" s="237"/>
      <c r="J6" s="237">
        <v>150000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>
        <v>6000000</v>
      </c>
      <c r="AK6" s="237"/>
      <c r="AL6" s="237">
        <v>6173345</v>
      </c>
      <c r="AM6" s="237"/>
      <c r="AO6" s="181" t="str">
        <f>A6</f>
        <v>BCI</v>
      </c>
      <c r="AP6" s="47">
        <f>AK6</f>
        <v>0</v>
      </c>
      <c r="AQ6" s="47">
        <f>AJ6</f>
        <v>6000000</v>
      </c>
      <c r="AR6" s="47">
        <f>AL6-AQ6</f>
        <v>173345</v>
      </c>
      <c r="AS6" s="47">
        <v>0</v>
      </c>
    </row>
    <row r="7" spans="1:45">
      <c r="A7" s="2" t="s">
        <v>148</v>
      </c>
      <c r="B7" s="237">
        <v>14701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>
        <v>4432440</v>
      </c>
      <c r="O7" s="237"/>
      <c r="P7" s="237"/>
      <c r="Q7" s="237"/>
      <c r="R7" s="237">
        <v>1000000</v>
      </c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>
        <v>2000000</v>
      </c>
      <c r="AK7" s="237"/>
      <c r="AL7" s="237">
        <v>7447141</v>
      </c>
      <c r="AM7" s="237"/>
      <c r="AO7" s="181" t="str">
        <f t="shared" ref="AO7:AO20" si="0">A7</f>
        <v>BCI-Sous Compte</v>
      </c>
      <c r="AP7" s="47">
        <f t="shared" ref="AP7:AP19" si="1">AK7</f>
        <v>0</v>
      </c>
      <c r="AQ7" s="47">
        <f t="shared" ref="AQ7:AQ19" si="2">AJ7</f>
        <v>2000000</v>
      </c>
      <c r="AR7" s="47">
        <f t="shared" ref="AR7:AR19" si="3">AL7-AQ7</f>
        <v>5447141</v>
      </c>
      <c r="AS7" s="47">
        <f>H9</f>
        <v>0</v>
      </c>
    </row>
    <row r="8" spans="1:45">
      <c r="A8" s="2" t="s">
        <v>25</v>
      </c>
      <c r="B8" s="237"/>
      <c r="C8" s="237"/>
      <c r="D8" s="237">
        <v>867000</v>
      </c>
      <c r="E8" s="237"/>
      <c r="F8" s="237">
        <v>45050</v>
      </c>
      <c r="G8" s="237"/>
      <c r="H8" s="237"/>
      <c r="I8" s="237"/>
      <c r="J8" s="237">
        <v>558000</v>
      </c>
      <c r="K8" s="237"/>
      <c r="L8" s="237">
        <v>244150</v>
      </c>
      <c r="M8" s="237"/>
      <c r="N8" s="237">
        <v>154370</v>
      </c>
      <c r="O8" s="237"/>
      <c r="P8" s="237">
        <v>258000</v>
      </c>
      <c r="Q8" s="237"/>
      <c r="R8" s="237">
        <v>59828</v>
      </c>
      <c r="S8" s="237"/>
      <c r="T8" s="237">
        <v>95625</v>
      </c>
      <c r="U8" s="237"/>
      <c r="V8" s="237">
        <v>11000</v>
      </c>
      <c r="W8" s="237"/>
      <c r="X8" s="237">
        <v>411500</v>
      </c>
      <c r="Y8" s="237"/>
      <c r="Z8" s="237">
        <v>108684</v>
      </c>
      <c r="AA8" s="237"/>
      <c r="AB8" s="237"/>
      <c r="AC8" s="237"/>
      <c r="AD8" s="237"/>
      <c r="AE8" s="237"/>
      <c r="AF8" s="237"/>
      <c r="AG8" s="237"/>
      <c r="AH8" s="237"/>
      <c r="AI8" s="237"/>
      <c r="AJ8" s="237">
        <v>5730800</v>
      </c>
      <c r="AK8" s="237">
        <v>8502900</v>
      </c>
      <c r="AL8" s="237">
        <v>8544007</v>
      </c>
      <c r="AM8" s="237">
        <v>8502900</v>
      </c>
      <c r="AO8" s="181" t="str">
        <f t="shared" si="0"/>
        <v>Caisse</v>
      </c>
      <c r="AP8" s="47">
        <f t="shared" si="1"/>
        <v>8502900</v>
      </c>
      <c r="AQ8" s="47">
        <f t="shared" si="2"/>
        <v>5730800</v>
      </c>
      <c r="AR8" s="47">
        <f t="shared" si="3"/>
        <v>2813207</v>
      </c>
      <c r="AS8" s="47">
        <v>0</v>
      </c>
    </row>
    <row r="9" spans="1:45">
      <c r="A9" s="2" t="s">
        <v>47</v>
      </c>
      <c r="B9" s="237"/>
      <c r="C9" s="237"/>
      <c r="D9" s="237">
        <v>600000</v>
      </c>
      <c r="E9" s="237"/>
      <c r="F9" s="237"/>
      <c r="G9" s="237"/>
      <c r="H9" s="237"/>
      <c r="I9" s="237"/>
      <c r="J9" s="237"/>
      <c r="K9" s="237"/>
      <c r="L9" s="237">
        <v>7000</v>
      </c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>
        <v>258250</v>
      </c>
      <c r="AC9" s="237"/>
      <c r="AD9" s="237"/>
      <c r="AE9" s="237"/>
      <c r="AF9" s="237">
        <v>766500</v>
      </c>
      <c r="AG9" s="237"/>
      <c r="AH9" s="237"/>
      <c r="AI9" s="237"/>
      <c r="AJ9" s="237">
        <v>280000</v>
      </c>
      <c r="AK9" s="237">
        <v>1652000</v>
      </c>
      <c r="AL9" s="237">
        <v>1911750</v>
      </c>
      <c r="AM9" s="237">
        <v>1652000</v>
      </c>
      <c r="AO9" s="181" t="str">
        <f t="shared" si="0"/>
        <v>Crépin</v>
      </c>
      <c r="AP9" s="47">
        <f t="shared" si="1"/>
        <v>1652000</v>
      </c>
      <c r="AQ9" s="47">
        <f t="shared" si="2"/>
        <v>280000</v>
      </c>
      <c r="AR9" s="47">
        <f t="shared" si="3"/>
        <v>1631750</v>
      </c>
      <c r="AS9" s="47">
        <v>0</v>
      </c>
    </row>
    <row r="10" spans="1:45">
      <c r="A10" s="2" t="s">
        <v>299</v>
      </c>
      <c r="B10" s="237"/>
      <c r="C10" s="237"/>
      <c r="D10" s="237"/>
      <c r="E10" s="237"/>
      <c r="F10" s="237"/>
      <c r="G10" s="237"/>
      <c r="H10" s="237">
        <v>79000</v>
      </c>
      <c r="I10" s="237"/>
      <c r="J10" s="237"/>
      <c r="K10" s="237"/>
      <c r="L10" s="237">
        <v>43800</v>
      </c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>
        <v>114000</v>
      </c>
      <c r="AE10" s="237"/>
      <c r="AF10" s="237">
        <v>570250</v>
      </c>
      <c r="AG10" s="237"/>
      <c r="AH10" s="237"/>
      <c r="AI10" s="237"/>
      <c r="AJ10" s="237"/>
      <c r="AK10" s="237">
        <v>719800</v>
      </c>
      <c r="AL10" s="237">
        <v>807050</v>
      </c>
      <c r="AM10" s="237">
        <v>719800</v>
      </c>
      <c r="AO10" s="181" t="str">
        <f t="shared" si="0"/>
        <v>Donald-Roméo</v>
      </c>
      <c r="AP10" s="47">
        <f t="shared" si="1"/>
        <v>719800</v>
      </c>
      <c r="AQ10" s="47">
        <f t="shared" si="2"/>
        <v>0</v>
      </c>
      <c r="AR10" s="47">
        <f t="shared" si="3"/>
        <v>807050</v>
      </c>
      <c r="AS10" s="47">
        <v>0</v>
      </c>
    </row>
    <row r="11" spans="1:45">
      <c r="A11" s="2" t="s">
        <v>308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>
        <v>13000</v>
      </c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>
        <v>39750</v>
      </c>
      <c r="AC11" s="237"/>
      <c r="AD11" s="237"/>
      <c r="AE11" s="237"/>
      <c r="AF11" s="237">
        <v>195000</v>
      </c>
      <c r="AG11" s="237"/>
      <c r="AH11" s="237"/>
      <c r="AI11" s="237"/>
      <c r="AJ11" s="237">
        <v>629250</v>
      </c>
      <c r="AK11" s="237">
        <v>520000</v>
      </c>
      <c r="AL11" s="237">
        <v>877000</v>
      </c>
      <c r="AM11" s="237">
        <v>520000</v>
      </c>
      <c r="AO11" s="181" t="str">
        <f t="shared" si="0"/>
        <v>DOVI</v>
      </c>
      <c r="AP11" s="47">
        <f t="shared" si="1"/>
        <v>520000</v>
      </c>
      <c r="AQ11" s="47">
        <f t="shared" si="2"/>
        <v>629250</v>
      </c>
      <c r="AR11" s="47">
        <f t="shared" si="3"/>
        <v>247750</v>
      </c>
      <c r="AS11" s="47">
        <v>0</v>
      </c>
    </row>
    <row r="12" spans="1:45">
      <c r="A12" s="2" t="s">
        <v>31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>
        <v>128000</v>
      </c>
      <c r="AC12" s="237"/>
      <c r="AD12" s="237"/>
      <c r="AE12" s="237"/>
      <c r="AF12" s="237">
        <v>507500</v>
      </c>
      <c r="AG12" s="237"/>
      <c r="AH12" s="237"/>
      <c r="AI12" s="237"/>
      <c r="AJ12" s="237"/>
      <c r="AK12" s="237">
        <v>562000</v>
      </c>
      <c r="AL12" s="237">
        <v>635500</v>
      </c>
      <c r="AM12" s="237">
        <v>562000</v>
      </c>
      <c r="AO12" s="181" t="str">
        <f t="shared" si="0"/>
        <v>Evariste</v>
      </c>
      <c r="AP12" s="47">
        <f t="shared" si="1"/>
        <v>562000</v>
      </c>
      <c r="AQ12" s="47">
        <f t="shared" si="2"/>
        <v>0</v>
      </c>
      <c r="AR12" s="47">
        <f t="shared" si="3"/>
        <v>635500</v>
      </c>
      <c r="AS12" s="47">
        <v>0</v>
      </c>
    </row>
    <row r="13" spans="1:45">
      <c r="A13" s="2" t="s">
        <v>143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>
        <v>44500</v>
      </c>
      <c r="AC13" s="237"/>
      <c r="AD13" s="237"/>
      <c r="AE13" s="237"/>
      <c r="AF13" s="237"/>
      <c r="AG13" s="237"/>
      <c r="AH13" s="237"/>
      <c r="AI13" s="237"/>
      <c r="AJ13" s="237">
        <v>91650</v>
      </c>
      <c r="AK13" s="237"/>
      <c r="AL13" s="237">
        <v>136150</v>
      </c>
      <c r="AM13" s="237"/>
      <c r="AO13" s="181" t="str">
        <f t="shared" si="0"/>
        <v>Grace</v>
      </c>
      <c r="AP13" s="47">
        <f t="shared" si="1"/>
        <v>0</v>
      </c>
      <c r="AQ13" s="47">
        <f t="shared" si="2"/>
        <v>91650</v>
      </c>
      <c r="AR13" s="47">
        <f t="shared" si="3"/>
        <v>44500</v>
      </c>
      <c r="AS13" s="47">
        <v>0</v>
      </c>
    </row>
    <row r="14" spans="1:45">
      <c r="A14" s="2" t="s">
        <v>197</v>
      </c>
      <c r="B14" s="237"/>
      <c r="C14" s="237"/>
      <c r="D14" s="237"/>
      <c r="E14" s="237"/>
      <c r="F14" s="237"/>
      <c r="G14" s="237"/>
      <c r="H14" s="237">
        <v>20000</v>
      </c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>
        <v>140800</v>
      </c>
      <c r="AC14" s="237"/>
      <c r="AD14" s="237"/>
      <c r="AE14" s="237"/>
      <c r="AF14" s="237">
        <v>205000</v>
      </c>
      <c r="AG14" s="237"/>
      <c r="AH14" s="237"/>
      <c r="AI14" s="237"/>
      <c r="AJ14" s="237">
        <v>20000</v>
      </c>
      <c r="AK14" s="237">
        <v>298000</v>
      </c>
      <c r="AL14" s="237">
        <v>385800</v>
      </c>
      <c r="AM14" s="237">
        <v>298000</v>
      </c>
      <c r="AO14" s="181" t="str">
        <f t="shared" si="0"/>
        <v>Hurielle</v>
      </c>
      <c r="AP14" s="47">
        <f t="shared" si="1"/>
        <v>298000</v>
      </c>
      <c r="AQ14" s="47">
        <f t="shared" si="2"/>
        <v>20000</v>
      </c>
      <c r="AR14" s="47">
        <f t="shared" si="3"/>
        <v>365800</v>
      </c>
      <c r="AS14" s="47">
        <v>0</v>
      </c>
    </row>
    <row r="15" spans="1:45">
      <c r="A15" s="2" t="s">
        <v>317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>
        <v>160600</v>
      </c>
      <c r="AC15" s="237"/>
      <c r="AD15" s="237"/>
      <c r="AE15" s="237"/>
      <c r="AF15" s="237">
        <v>383000</v>
      </c>
      <c r="AG15" s="237"/>
      <c r="AH15" s="237"/>
      <c r="AI15" s="237"/>
      <c r="AJ15" s="237"/>
      <c r="AK15" s="237">
        <v>564000</v>
      </c>
      <c r="AL15" s="237">
        <v>543600</v>
      </c>
      <c r="AM15" s="237">
        <v>564000</v>
      </c>
      <c r="AO15" s="181" t="str">
        <f t="shared" si="0"/>
        <v>IT87</v>
      </c>
      <c r="AP15" s="47">
        <f t="shared" si="1"/>
        <v>564000</v>
      </c>
      <c r="AQ15" s="47">
        <f t="shared" si="2"/>
        <v>0</v>
      </c>
      <c r="AR15" s="47">
        <f t="shared" si="3"/>
        <v>543600</v>
      </c>
      <c r="AS15" s="47">
        <v>0</v>
      </c>
    </row>
    <row r="16" spans="1:45">
      <c r="A16" s="2" t="s">
        <v>93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>
        <v>192100</v>
      </c>
      <c r="AC16" s="237"/>
      <c r="AD16" s="237"/>
      <c r="AE16" s="237"/>
      <c r="AF16" s="237">
        <v>206100</v>
      </c>
      <c r="AG16" s="237"/>
      <c r="AH16" s="237"/>
      <c r="AI16" s="237"/>
      <c r="AJ16" s="237">
        <v>15000</v>
      </c>
      <c r="AK16" s="237">
        <v>270000</v>
      </c>
      <c r="AL16" s="237">
        <v>413200</v>
      </c>
      <c r="AM16" s="237">
        <v>270000</v>
      </c>
      <c r="AO16" s="181" t="str">
        <f t="shared" si="0"/>
        <v>Merveille</v>
      </c>
      <c r="AP16" s="47">
        <f t="shared" si="1"/>
        <v>270000</v>
      </c>
      <c r="AQ16" s="47">
        <f t="shared" si="2"/>
        <v>15000</v>
      </c>
      <c r="AR16" s="47">
        <f t="shared" si="3"/>
        <v>398200</v>
      </c>
      <c r="AS16" s="47">
        <v>0</v>
      </c>
    </row>
    <row r="17" spans="1:45">
      <c r="A17" s="2" t="s">
        <v>300</v>
      </c>
      <c r="B17" s="237"/>
      <c r="C17" s="237"/>
      <c r="D17" s="237"/>
      <c r="E17" s="237"/>
      <c r="F17" s="237"/>
      <c r="G17" s="237"/>
      <c r="H17" s="237">
        <v>7000</v>
      </c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>
        <v>87100</v>
      </c>
      <c r="AC17" s="237"/>
      <c r="AD17" s="237"/>
      <c r="AE17" s="237"/>
      <c r="AF17" s="237">
        <v>259500</v>
      </c>
      <c r="AG17" s="237"/>
      <c r="AH17" s="237"/>
      <c r="AI17" s="237"/>
      <c r="AJ17" s="237">
        <v>17000</v>
      </c>
      <c r="AK17" s="237">
        <v>290000</v>
      </c>
      <c r="AL17" s="237">
        <v>370600</v>
      </c>
      <c r="AM17" s="237">
        <v>290000</v>
      </c>
      <c r="AO17" s="181" t="str">
        <f t="shared" si="0"/>
        <v>Oracle</v>
      </c>
      <c r="AP17" s="47">
        <f t="shared" si="1"/>
        <v>290000</v>
      </c>
      <c r="AQ17" s="47">
        <f t="shared" si="2"/>
        <v>17000</v>
      </c>
      <c r="AR17" s="47">
        <f t="shared" si="3"/>
        <v>353600</v>
      </c>
      <c r="AS17" s="47">
        <v>0</v>
      </c>
    </row>
    <row r="18" spans="1:45">
      <c r="A18" s="2" t="s">
        <v>29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>
        <v>154200</v>
      </c>
      <c r="AC18" s="237"/>
      <c r="AD18" s="237"/>
      <c r="AE18" s="237"/>
      <c r="AF18" s="237">
        <v>495000</v>
      </c>
      <c r="AG18" s="237"/>
      <c r="AH18" s="237">
        <v>20000</v>
      </c>
      <c r="AI18" s="237"/>
      <c r="AJ18" s="237"/>
      <c r="AK18" s="237">
        <v>631000</v>
      </c>
      <c r="AL18" s="237">
        <v>669200</v>
      </c>
      <c r="AM18" s="237">
        <v>631000</v>
      </c>
      <c r="AO18" s="181" t="str">
        <f t="shared" si="0"/>
        <v>P29</v>
      </c>
      <c r="AP18" s="47">
        <f t="shared" si="1"/>
        <v>631000</v>
      </c>
      <c r="AQ18" s="47">
        <f t="shared" si="2"/>
        <v>0</v>
      </c>
      <c r="AR18" s="47">
        <f t="shared" si="3"/>
        <v>669200</v>
      </c>
      <c r="AS18" s="47">
        <v>0</v>
      </c>
    </row>
    <row r="19" spans="1:45">
      <c r="A19" s="2" t="s">
        <v>268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>
        <v>122000</v>
      </c>
      <c r="AC19" s="237"/>
      <c r="AD19" s="237"/>
      <c r="AE19" s="237"/>
      <c r="AF19" s="237">
        <v>610000</v>
      </c>
      <c r="AG19" s="237"/>
      <c r="AH19" s="237">
        <v>57700</v>
      </c>
      <c r="AI19" s="237"/>
      <c r="AJ19" s="237"/>
      <c r="AK19" s="237">
        <v>774000</v>
      </c>
      <c r="AL19" s="237">
        <v>789700</v>
      </c>
      <c r="AM19" s="237">
        <v>774000</v>
      </c>
      <c r="AO19" s="181" t="str">
        <f t="shared" si="0"/>
        <v>T73</v>
      </c>
      <c r="AP19" s="47">
        <f t="shared" si="1"/>
        <v>774000</v>
      </c>
      <c r="AQ19" s="47">
        <f t="shared" si="2"/>
        <v>0</v>
      </c>
      <c r="AR19" s="47">
        <f t="shared" si="3"/>
        <v>789700</v>
      </c>
      <c r="AS19" s="47">
        <v>0</v>
      </c>
    </row>
    <row r="20" spans="1:45">
      <c r="A20" s="2" t="s">
        <v>823</v>
      </c>
      <c r="B20" s="237">
        <v>38046</v>
      </c>
      <c r="C20" s="237"/>
      <c r="D20" s="237">
        <v>1467000</v>
      </c>
      <c r="E20" s="237"/>
      <c r="F20" s="237">
        <v>45050</v>
      </c>
      <c r="G20" s="237"/>
      <c r="H20" s="237">
        <v>106000</v>
      </c>
      <c r="I20" s="237"/>
      <c r="J20" s="237">
        <v>708000</v>
      </c>
      <c r="K20" s="237"/>
      <c r="L20" s="237">
        <v>294950</v>
      </c>
      <c r="M20" s="237"/>
      <c r="N20" s="237">
        <v>4599810</v>
      </c>
      <c r="O20" s="237"/>
      <c r="P20" s="237">
        <v>258000</v>
      </c>
      <c r="Q20" s="237"/>
      <c r="R20" s="237">
        <v>1059828</v>
      </c>
      <c r="S20" s="237"/>
      <c r="T20" s="237">
        <v>95625</v>
      </c>
      <c r="U20" s="237"/>
      <c r="V20" s="237">
        <v>11000</v>
      </c>
      <c r="W20" s="237"/>
      <c r="X20" s="237">
        <v>411500</v>
      </c>
      <c r="Y20" s="237"/>
      <c r="Z20" s="237">
        <v>108684</v>
      </c>
      <c r="AA20" s="237"/>
      <c r="AB20" s="237">
        <v>1327300</v>
      </c>
      <c r="AC20" s="237"/>
      <c r="AD20" s="237">
        <v>114000</v>
      </c>
      <c r="AE20" s="237"/>
      <c r="AF20" s="237">
        <v>4197850</v>
      </c>
      <c r="AG20" s="237"/>
      <c r="AH20" s="237">
        <v>77700</v>
      </c>
      <c r="AI20" s="237"/>
      <c r="AJ20" s="237">
        <v>14783700</v>
      </c>
      <c r="AK20" s="237">
        <v>14783700</v>
      </c>
      <c r="AL20" s="237">
        <v>29704043</v>
      </c>
      <c r="AM20" s="237">
        <v>14783700</v>
      </c>
      <c r="AO20" s="181" t="str">
        <f t="shared" si="0"/>
        <v>Grand Total</v>
      </c>
      <c r="AP20" s="47">
        <f>SUM(AP6:AP19)</f>
        <v>14783700</v>
      </c>
      <c r="AQ20" s="47">
        <f t="shared" ref="AQ20:AS20" si="4">SUM(AQ6:AQ19)</f>
        <v>14783700</v>
      </c>
      <c r="AR20" s="47">
        <f t="shared" si="4"/>
        <v>14920343</v>
      </c>
      <c r="AS20" s="47">
        <f t="shared" si="4"/>
        <v>0</v>
      </c>
    </row>
    <row r="22" spans="1:45">
      <c r="AP22" s="229">
        <f>+AQ20-AP20</f>
        <v>0</v>
      </c>
      <c r="AQ22" s="229" t="b">
        <f>AR20=Récapitulatif!N19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F20"/>
  <sheetViews>
    <sheetView workbookViewId="0">
      <selection activeCell="I13" sqref="I13"/>
    </sheetView>
  </sheetViews>
  <sheetFormatPr baseColWidth="10" defaultColWidth="8.7109375" defaultRowHeight="15"/>
  <cols>
    <col min="1" max="1" width="12.5703125" bestFit="1" customWidth="1"/>
    <col min="2" max="2" width="12.42578125" customWidth="1"/>
    <col min="3" max="3" width="7" customWidth="1"/>
    <col min="4" max="5" width="8" customWidth="1"/>
    <col min="6" max="6" width="10.85546875" bestFit="1" customWidth="1"/>
  </cols>
  <sheetData>
    <row r="3" spans="1:6">
      <c r="A3" s="1" t="s">
        <v>822</v>
      </c>
      <c r="B3" t="s">
        <v>825</v>
      </c>
    </row>
    <row r="4" spans="1:6">
      <c r="A4" s="2" t="s">
        <v>819</v>
      </c>
      <c r="B4" s="237">
        <v>1506000</v>
      </c>
    </row>
    <row r="5" spans="1:6">
      <c r="A5" s="2" t="s">
        <v>352</v>
      </c>
      <c r="B5" s="237">
        <v>891000</v>
      </c>
    </row>
    <row r="6" spans="1:6">
      <c r="A6" s="2" t="s">
        <v>102</v>
      </c>
      <c r="B6" s="237">
        <v>7996888</v>
      </c>
    </row>
    <row r="7" spans="1:6">
      <c r="A7" s="2" t="s">
        <v>287</v>
      </c>
      <c r="B7" s="237">
        <v>4526455</v>
      </c>
    </row>
    <row r="8" spans="1:6">
      <c r="A8" s="2" t="s">
        <v>823</v>
      </c>
      <c r="B8" s="237">
        <v>14920343</v>
      </c>
    </row>
    <row r="13" spans="1:6">
      <c r="A13" s="1" t="s">
        <v>825</v>
      </c>
      <c r="B13" s="1" t="s">
        <v>821</v>
      </c>
    </row>
    <row r="14" spans="1:6">
      <c r="A14" s="1" t="s">
        <v>822</v>
      </c>
      <c r="B14" t="s">
        <v>819</v>
      </c>
      <c r="C14" t="s">
        <v>352</v>
      </c>
      <c r="D14" t="s">
        <v>102</v>
      </c>
      <c r="E14" t="s">
        <v>287</v>
      </c>
      <c r="F14" t="s">
        <v>823</v>
      </c>
    </row>
    <row r="15" spans="1:6">
      <c r="A15" s="2" t="s">
        <v>198</v>
      </c>
      <c r="B15" s="237">
        <v>401000</v>
      </c>
      <c r="C15" s="237">
        <v>891000</v>
      </c>
      <c r="D15" s="237"/>
      <c r="E15" s="237">
        <v>2737355</v>
      </c>
      <c r="F15" s="237">
        <v>4029355</v>
      </c>
    </row>
    <row r="16" spans="1:6">
      <c r="A16" s="2" t="s">
        <v>199</v>
      </c>
      <c r="B16" s="237">
        <v>1105000</v>
      </c>
      <c r="C16" s="237"/>
      <c r="D16" s="237">
        <v>7996888</v>
      </c>
      <c r="E16" s="237">
        <v>1789100</v>
      </c>
      <c r="F16" s="237">
        <v>10890988</v>
      </c>
    </row>
    <row r="17" spans="1:6">
      <c r="A17" s="2" t="s">
        <v>823</v>
      </c>
      <c r="B17" s="237">
        <v>1506000</v>
      </c>
      <c r="C17" s="237">
        <v>891000</v>
      </c>
      <c r="D17" s="237">
        <v>7996888</v>
      </c>
      <c r="E17" s="237">
        <v>4526455</v>
      </c>
      <c r="F17" s="237">
        <v>14920343</v>
      </c>
    </row>
    <row r="19" spans="1:6">
      <c r="D19" s="179">
        <f>(D16*100%)/F16</f>
        <v>0.73426653302712297</v>
      </c>
      <c r="E19" s="180" t="s">
        <v>200</v>
      </c>
    </row>
    <row r="20" spans="1:6">
      <c r="D20" s="179">
        <f>((B16+E16)*100%)/F16</f>
        <v>0.26573346697287703</v>
      </c>
      <c r="E20" s="180" t="s">
        <v>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8"/>
  <sheetViews>
    <sheetView workbookViewId="0">
      <selection activeCell="A3" sqref="A3:XFD8"/>
    </sheetView>
  </sheetViews>
  <sheetFormatPr baseColWidth="10" defaultColWidth="8.7109375" defaultRowHeight="15"/>
  <cols>
    <col min="1" max="1" width="12.5703125" customWidth="1"/>
    <col min="2" max="2" width="15.5703125" bestFit="1" customWidth="1"/>
    <col min="3" max="3" width="7" customWidth="1"/>
    <col min="4" max="5" width="8" customWidth="1"/>
    <col min="6" max="6" width="9" customWidth="1"/>
    <col min="7" max="7" width="10.85546875" bestFit="1" customWidth="1"/>
  </cols>
  <sheetData>
    <row r="3" spans="1:7">
      <c r="A3" s="1" t="s">
        <v>825</v>
      </c>
      <c r="B3" s="1" t="s">
        <v>821</v>
      </c>
    </row>
    <row r="4" spans="1:7">
      <c r="A4" s="1" t="s">
        <v>822</v>
      </c>
      <c r="B4" t="s">
        <v>819</v>
      </c>
      <c r="C4" t="s">
        <v>352</v>
      </c>
      <c r="D4" t="s">
        <v>102</v>
      </c>
      <c r="E4" t="s">
        <v>287</v>
      </c>
      <c r="F4" t="s">
        <v>824</v>
      </c>
      <c r="G4" t="s">
        <v>823</v>
      </c>
    </row>
    <row r="5" spans="1:7">
      <c r="A5" s="2" t="s">
        <v>198</v>
      </c>
      <c r="B5" s="237">
        <v>401000</v>
      </c>
      <c r="C5" s="237">
        <v>891000</v>
      </c>
      <c r="D5" s="237"/>
      <c r="E5" s="237">
        <v>2737355</v>
      </c>
      <c r="F5" s="237"/>
      <c r="G5" s="237">
        <v>4029355</v>
      </c>
    </row>
    <row r="6" spans="1:7">
      <c r="A6" s="2" t="s">
        <v>199</v>
      </c>
      <c r="B6" s="237">
        <v>1105000</v>
      </c>
      <c r="C6" s="237"/>
      <c r="D6" s="237">
        <v>7996888</v>
      </c>
      <c r="E6" s="237">
        <v>1789100</v>
      </c>
      <c r="F6" s="237"/>
      <c r="G6" s="237">
        <v>10890988</v>
      </c>
    </row>
    <row r="7" spans="1:7">
      <c r="A7" s="2" t="s">
        <v>824</v>
      </c>
      <c r="B7" s="237"/>
      <c r="C7" s="237"/>
      <c r="D7" s="237"/>
      <c r="E7" s="237"/>
      <c r="F7" s="237">
        <v>14783700</v>
      </c>
      <c r="G7" s="237">
        <v>14783700</v>
      </c>
    </row>
    <row r="8" spans="1:7">
      <c r="A8" s="2" t="s">
        <v>823</v>
      </c>
      <c r="B8" s="237">
        <v>1506000</v>
      </c>
      <c r="C8" s="237">
        <v>891000</v>
      </c>
      <c r="D8" s="237">
        <v>7996888</v>
      </c>
      <c r="E8" s="237">
        <v>4526455</v>
      </c>
      <c r="F8" s="237">
        <v>14783700</v>
      </c>
      <c r="G8" s="237">
        <v>29704043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268"/>
  <sheetViews>
    <sheetView tabSelected="1" zoomScale="68" zoomScaleNormal="68" workbookViewId="0">
      <pane ySplit="12" topLeftCell="A13" activePane="bottomLeft" state="frozen"/>
      <selection pane="bottomLeft" activeCell="L3" sqref="L3"/>
    </sheetView>
  </sheetViews>
  <sheetFormatPr baseColWidth="10" defaultColWidth="11.5703125" defaultRowHeight="15"/>
  <cols>
    <col min="1" max="1" width="15" customWidth="1"/>
    <col min="2" max="2" width="83.7109375" customWidth="1"/>
    <col min="3" max="3" width="16.85546875" customWidth="1"/>
    <col min="4" max="4" width="13.85546875" customWidth="1"/>
    <col min="5" max="5" width="14.85546875" customWidth="1"/>
    <col min="6" max="6" width="13.5703125" customWidth="1"/>
    <col min="7" max="7" width="18.140625" customWidth="1"/>
    <col min="8" max="8" width="15.140625" customWidth="1"/>
    <col min="9" max="9" width="10.140625" customWidth="1"/>
    <col min="10" max="10" width="10.85546875" customWidth="1"/>
    <col min="11" max="11" width="9.140625" customWidth="1"/>
    <col min="12" max="12" width="9.85546875" customWidth="1"/>
    <col min="13" max="13" width="16" customWidth="1"/>
    <col min="14" max="14" width="9.140625" customWidth="1"/>
    <col min="16" max="16" width="11.42578125" style="209"/>
  </cols>
  <sheetData>
    <row r="1" spans="1:18" s="159" customFormat="1" ht="26.25" customHeight="1">
      <c r="A1" s="272" t="s">
        <v>353</v>
      </c>
      <c r="B1" s="272"/>
      <c r="C1" s="272"/>
      <c r="D1" s="272"/>
      <c r="E1" s="273"/>
      <c r="F1" s="274"/>
      <c r="G1" s="272"/>
      <c r="H1" s="272"/>
      <c r="I1" s="275"/>
      <c r="J1" s="272"/>
      <c r="K1" s="272"/>
      <c r="L1" s="272"/>
      <c r="M1" s="272"/>
      <c r="N1" s="272"/>
      <c r="O1" s="276"/>
      <c r="P1" s="213"/>
    </row>
    <row r="2" spans="1:18" s="157" customFormat="1" ht="16.5">
      <c r="A2" s="189"/>
      <c r="B2" s="196" t="s">
        <v>321</v>
      </c>
      <c r="C2" s="197">
        <v>19545576</v>
      </c>
      <c r="D2" s="192"/>
      <c r="E2" s="193"/>
      <c r="F2" s="198"/>
      <c r="G2" s="199"/>
      <c r="J2" s="191"/>
      <c r="N2" s="192"/>
      <c r="O2" s="200"/>
      <c r="P2" s="214"/>
    </row>
    <row r="3" spans="1:18" s="157" customFormat="1" ht="16.5">
      <c r="A3" s="189"/>
      <c r="C3" s="192"/>
      <c r="D3" s="192"/>
      <c r="E3" s="193"/>
      <c r="F3" s="198"/>
      <c r="G3" s="199"/>
      <c r="J3" s="191"/>
      <c r="N3" s="192"/>
      <c r="O3" s="200"/>
      <c r="P3" s="214"/>
    </row>
    <row r="4" spans="1:18" s="157" customFormat="1" ht="16.5">
      <c r="A4" s="189"/>
      <c r="B4" s="201" t="s">
        <v>6</v>
      </c>
      <c r="C4" s="202" t="s">
        <v>7</v>
      </c>
      <c r="D4" s="192"/>
      <c r="E4" s="193"/>
      <c r="F4" s="198"/>
      <c r="G4" s="199"/>
      <c r="I4" s="58"/>
      <c r="J4" s="191"/>
      <c r="N4" s="192"/>
      <c r="O4" s="200"/>
      <c r="P4" s="214"/>
    </row>
    <row r="5" spans="1:18" s="157" customFormat="1" ht="16.5">
      <c r="A5" s="189"/>
      <c r="B5" s="157" t="s">
        <v>8</v>
      </c>
      <c r="C5" s="203">
        <f>SUM(E13:E1064)</f>
        <v>14783700</v>
      </c>
      <c r="D5" s="192"/>
      <c r="E5" s="204" t="s">
        <v>100</v>
      </c>
      <c r="F5" s="198"/>
      <c r="G5" s="199"/>
      <c r="H5" s="194"/>
      <c r="J5" s="191"/>
      <c r="N5" s="192"/>
      <c r="O5" s="200"/>
      <c r="P5" s="214"/>
    </row>
    <row r="6" spans="1:18" s="157" customFormat="1" ht="18">
      <c r="A6" s="189"/>
      <c r="B6" s="157" t="s">
        <v>9</v>
      </c>
      <c r="C6" s="203">
        <f>SUM(F13:F1065)</f>
        <v>29704043</v>
      </c>
      <c r="D6" s="192"/>
      <c r="E6" s="233">
        <f>+C7-Récapitulatif!I19</f>
        <v>0</v>
      </c>
      <c r="F6" s="198"/>
      <c r="G6" s="199"/>
      <c r="J6" s="205"/>
      <c r="K6" s="195"/>
      <c r="N6" s="192"/>
      <c r="O6" s="200"/>
      <c r="P6" s="214"/>
    </row>
    <row r="7" spans="1:18" s="157" customFormat="1" ht="16.5">
      <c r="A7" s="189"/>
      <c r="B7" s="206" t="s">
        <v>10</v>
      </c>
      <c r="C7" s="207">
        <f>C2+C5-C6</f>
        <v>4625233</v>
      </c>
      <c r="D7" s="208">
        <f>C7-Récapitulatif!I19</f>
        <v>0</v>
      </c>
      <c r="E7" s="193"/>
      <c r="F7" s="198"/>
      <c r="G7" s="199"/>
      <c r="J7" s="191"/>
      <c r="K7" s="195"/>
      <c r="N7" s="192"/>
      <c r="O7" s="200"/>
      <c r="P7" s="214"/>
    </row>
    <row r="8" spans="1:18" s="157" customFormat="1" ht="16.5">
      <c r="A8" s="189"/>
      <c r="C8" s="192"/>
      <c r="D8" s="192"/>
      <c r="E8" s="193"/>
      <c r="F8" s="198"/>
      <c r="G8" s="199"/>
      <c r="J8" s="191"/>
      <c r="N8" s="192"/>
      <c r="O8" s="200"/>
      <c r="P8" s="214"/>
    </row>
    <row r="9" spans="1:18" s="190" customFormat="1" ht="16.5">
      <c r="P9" s="215"/>
    </row>
    <row r="10" spans="1:18" s="190" customFormat="1" ht="16.5">
      <c r="P10" s="215"/>
    </row>
    <row r="11" spans="1:18" s="190" customFormat="1" ht="16.5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15"/>
    </row>
    <row r="12" spans="1:18" s="190" customFormat="1" ht="16.5">
      <c r="A12" s="221" t="s">
        <v>0</v>
      </c>
      <c r="B12" s="222" t="s">
        <v>11</v>
      </c>
      <c r="C12" s="226" t="s">
        <v>12</v>
      </c>
      <c r="D12" s="226" t="s">
        <v>13</v>
      </c>
      <c r="E12" s="224" t="s">
        <v>14</v>
      </c>
      <c r="F12" s="230" t="s">
        <v>15</v>
      </c>
      <c r="G12" s="225" t="s">
        <v>16</v>
      </c>
      <c r="H12" s="222" t="s">
        <v>17</v>
      </c>
      <c r="I12" s="222" t="s">
        <v>18</v>
      </c>
      <c r="J12" s="226" t="s">
        <v>19</v>
      </c>
      <c r="K12" s="222" t="s">
        <v>20</v>
      </c>
      <c r="L12" s="222" t="s">
        <v>21</v>
      </c>
      <c r="M12" s="222" t="s">
        <v>81</v>
      </c>
      <c r="N12" s="223" t="s">
        <v>23</v>
      </c>
      <c r="O12" s="222" t="s">
        <v>22</v>
      </c>
      <c r="P12" s="231"/>
      <c r="Q12" s="157"/>
      <c r="R12" s="157"/>
    </row>
    <row r="13" spans="1:18" s="190" customFormat="1" ht="16.5">
      <c r="A13" s="216">
        <v>45170</v>
      </c>
      <c r="B13" s="191" t="s">
        <v>359</v>
      </c>
      <c r="C13" s="191"/>
      <c r="D13" s="191"/>
      <c r="E13" s="234"/>
      <c r="F13" s="235"/>
      <c r="G13" s="236">
        <f>+C2</f>
        <v>19545576</v>
      </c>
      <c r="H13" s="191"/>
      <c r="I13" s="157"/>
      <c r="J13" s="191"/>
      <c r="K13" s="191"/>
      <c r="L13" s="191"/>
      <c r="M13" s="191"/>
      <c r="N13" s="191"/>
      <c r="O13" s="191"/>
      <c r="P13" s="217"/>
      <c r="Q13" s="191"/>
      <c r="R13" s="191"/>
    </row>
    <row r="14" spans="1:18" s="190" customFormat="1" ht="16.5">
      <c r="A14" s="218">
        <v>45170</v>
      </c>
      <c r="B14" s="190" t="s">
        <v>317</v>
      </c>
      <c r="C14" s="190" t="s">
        <v>75</v>
      </c>
      <c r="E14" s="211"/>
      <c r="F14" s="227">
        <v>20000</v>
      </c>
      <c r="G14" s="211">
        <f t="shared" ref="G14:G24" si="0">+G13+E14-F14</f>
        <v>19525576</v>
      </c>
      <c r="H14" s="190" t="s">
        <v>25</v>
      </c>
      <c r="N14" s="157"/>
      <c r="Q14" s="219"/>
      <c r="R14" s="219"/>
    </row>
    <row r="15" spans="1:18" s="278" customFormat="1" ht="16.5">
      <c r="A15" s="277">
        <v>45170</v>
      </c>
      <c r="B15" s="278" t="s">
        <v>360</v>
      </c>
      <c r="C15" s="279" t="s">
        <v>171</v>
      </c>
      <c r="D15" s="278" t="s">
        <v>2</v>
      </c>
      <c r="F15" s="211">
        <f>21000+16000+16000</f>
        <v>53000</v>
      </c>
      <c r="G15" s="211">
        <f t="shared" si="0"/>
        <v>19472576</v>
      </c>
      <c r="H15" s="278" t="s">
        <v>25</v>
      </c>
      <c r="I15" s="278" t="s">
        <v>331</v>
      </c>
      <c r="J15" s="278" t="s">
        <v>102</v>
      </c>
      <c r="K15" s="279" t="s">
        <v>199</v>
      </c>
      <c r="L15" s="279" t="s">
        <v>631</v>
      </c>
      <c r="M15" s="278" t="s">
        <v>656</v>
      </c>
      <c r="N15" s="279" t="s">
        <v>650</v>
      </c>
      <c r="Q15" s="211"/>
      <c r="R15" s="280"/>
    </row>
    <row r="16" spans="1:18" s="278" customFormat="1" ht="16.5">
      <c r="A16" s="281">
        <v>45170</v>
      </c>
      <c r="B16" s="279" t="s">
        <v>361</v>
      </c>
      <c r="C16" s="279" t="s">
        <v>171</v>
      </c>
      <c r="D16" s="278" t="s">
        <v>154</v>
      </c>
      <c r="E16" s="279"/>
      <c r="F16" s="282">
        <v>69000</v>
      </c>
      <c r="G16" s="211">
        <f t="shared" si="0"/>
        <v>19403576</v>
      </c>
      <c r="H16" s="278" t="s">
        <v>25</v>
      </c>
      <c r="I16" s="278" t="s">
        <v>331</v>
      </c>
      <c r="J16" s="278" t="s">
        <v>102</v>
      </c>
      <c r="K16" s="279" t="s">
        <v>199</v>
      </c>
      <c r="L16" s="279" t="s">
        <v>631</v>
      </c>
      <c r="M16" s="278" t="s">
        <v>657</v>
      </c>
      <c r="N16" s="279" t="s">
        <v>650</v>
      </c>
      <c r="O16" s="279"/>
      <c r="Q16" s="211"/>
      <c r="R16" s="280"/>
    </row>
    <row r="17" spans="1:18" s="278" customFormat="1" ht="16.5">
      <c r="A17" s="277">
        <v>45170</v>
      </c>
      <c r="B17" s="278" t="s">
        <v>362</v>
      </c>
      <c r="C17" s="278" t="s">
        <v>171</v>
      </c>
      <c r="D17" s="278" t="s">
        <v>818</v>
      </c>
      <c r="F17" s="278">
        <v>36000</v>
      </c>
      <c r="G17" s="211">
        <f t="shared" si="0"/>
        <v>19367576</v>
      </c>
      <c r="H17" s="278" t="s">
        <v>25</v>
      </c>
      <c r="I17" s="283" t="s">
        <v>331</v>
      </c>
      <c r="J17" s="278" t="s">
        <v>102</v>
      </c>
      <c r="K17" s="279" t="s">
        <v>199</v>
      </c>
      <c r="L17" s="279" t="s">
        <v>631</v>
      </c>
      <c r="M17" s="278" t="s">
        <v>658</v>
      </c>
      <c r="N17" s="279" t="s">
        <v>650</v>
      </c>
      <c r="O17" s="284"/>
      <c r="Q17" s="211"/>
      <c r="R17" s="280"/>
    </row>
    <row r="18" spans="1:18" s="278" customFormat="1" ht="16.5">
      <c r="A18" s="285">
        <v>45170</v>
      </c>
      <c r="B18" s="279" t="s">
        <v>363</v>
      </c>
      <c r="C18" s="279" t="s">
        <v>171</v>
      </c>
      <c r="D18" s="278" t="s">
        <v>818</v>
      </c>
      <c r="F18" s="279">
        <v>21000</v>
      </c>
      <c r="G18" s="211">
        <f t="shared" si="0"/>
        <v>19346576</v>
      </c>
      <c r="H18" s="278" t="s">
        <v>25</v>
      </c>
      <c r="I18" s="283" t="s">
        <v>331</v>
      </c>
      <c r="J18" s="278" t="s">
        <v>819</v>
      </c>
      <c r="K18" s="279" t="s">
        <v>198</v>
      </c>
      <c r="L18" s="279" t="s">
        <v>631</v>
      </c>
      <c r="N18" s="279"/>
      <c r="O18" s="279"/>
      <c r="Q18" s="211"/>
      <c r="R18" s="280"/>
    </row>
    <row r="19" spans="1:18" s="278" customFormat="1" ht="16.5">
      <c r="A19" s="281">
        <v>45170</v>
      </c>
      <c r="B19" s="279" t="s">
        <v>364</v>
      </c>
      <c r="C19" s="279" t="s">
        <v>171</v>
      </c>
      <c r="D19" s="278" t="s">
        <v>155</v>
      </c>
      <c r="E19" s="279"/>
      <c r="F19" s="286">
        <v>10000</v>
      </c>
      <c r="G19" s="211">
        <f t="shared" si="0"/>
        <v>19336576</v>
      </c>
      <c r="H19" s="278" t="s">
        <v>25</v>
      </c>
      <c r="I19" s="283" t="s">
        <v>331</v>
      </c>
      <c r="J19" s="278" t="s">
        <v>102</v>
      </c>
      <c r="K19" s="279" t="s">
        <v>199</v>
      </c>
      <c r="L19" s="279" t="s">
        <v>631</v>
      </c>
      <c r="M19" s="278" t="s">
        <v>659</v>
      </c>
      <c r="N19" s="279" t="s">
        <v>650</v>
      </c>
      <c r="O19" s="279"/>
      <c r="Q19" s="211"/>
      <c r="R19" s="280"/>
    </row>
    <row r="20" spans="1:18" s="278" customFormat="1" ht="16.5">
      <c r="A20" s="287">
        <v>45170</v>
      </c>
      <c r="B20" s="279" t="s">
        <v>365</v>
      </c>
      <c r="C20" s="279" t="s">
        <v>171</v>
      </c>
      <c r="D20" s="278" t="s">
        <v>2</v>
      </c>
      <c r="E20" s="279"/>
      <c r="F20" s="279">
        <v>10000</v>
      </c>
      <c r="G20" s="211">
        <f t="shared" si="0"/>
        <v>19326576</v>
      </c>
      <c r="H20" s="278" t="s">
        <v>25</v>
      </c>
      <c r="I20" s="283" t="s">
        <v>331</v>
      </c>
      <c r="J20" s="278" t="s">
        <v>102</v>
      </c>
      <c r="K20" s="279" t="s">
        <v>199</v>
      </c>
      <c r="L20" s="279" t="s">
        <v>631</v>
      </c>
      <c r="M20" s="278" t="s">
        <v>660</v>
      </c>
      <c r="N20" s="279" t="s">
        <v>650</v>
      </c>
      <c r="O20" s="279"/>
      <c r="Q20" s="211"/>
      <c r="R20" s="280"/>
    </row>
    <row r="21" spans="1:18" s="278" customFormat="1" ht="16.5">
      <c r="A21" s="281">
        <v>45170</v>
      </c>
      <c r="B21" s="279" t="s">
        <v>366</v>
      </c>
      <c r="C21" s="279" t="s">
        <v>171</v>
      </c>
      <c r="D21" s="278" t="s">
        <v>154</v>
      </c>
      <c r="F21" s="278">
        <v>15000</v>
      </c>
      <c r="G21" s="211">
        <f t="shared" si="0"/>
        <v>19311576</v>
      </c>
      <c r="H21" s="278" t="s">
        <v>25</v>
      </c>
      <c r="I21" s="283" t="s">
        <v>331</v>
      </c>
      <c r="J21" s="278" t="s">
        <v>102</v>
      </c>
      <c r="K21" s="279" t="s">
        <v>199</v>
      </c>
      <c r="L21" s="279" t="s">
        <v>631</v>
      </c>
      <c r="M21" s="278" t="s">
        <v>661</v>
      </c>
      <c r="N21" s="279" t="s">
        <v>650</v>
      </c>
      <c r="Q21" s="211"/>
      <c r="R21" s="280"/>
    </row>
    <row r="22" spans="1:18" s="278" customFormat="1" ht="16.5">
      <c r="A22" s="285">
        <v>45170</v>
      </c>
      <c r="B22" s="288" t="s">
        <v>367</v>
      </c>
      <c r="C22" s="279" t="s">
        <v>171</v>
      </c>
      <c r="D22" s="278" t="s">
        <v>818</v>
      </c>
      <c r="F22" s="227">
        <v>16000</v>
      </c>
      <c r="G22" s="211">
        <f t="shared" si="0"/>
        <v>19295576</v>
      </c>
      <c r="H22" s="278" t="s">
        <v>25</v>
      </c>
      <c r="I22" s="283" t="s">
        <v>331</v>
      </c>
      <c r="J22" s="278" t="s">
        <v>102</v>
      </c>
      <c r="K22" s="279" t="s">
        <v>199</v>
      </c>
      <c r="L22" s="279" t="s">
        <v>631</v>
      </c>
      <c r="M22" s="278" t="s">
        <v>662</v>
      </c>
      <c r="N22" s="279" t="s">
        <v>650</v>
      </c>
      <c r="Q22" s="211"/>
      <c r="R22" s="280"/>
    </row>
    <row r="23" spans="1:18" s="278" customFormat="1" ht="16.5">
      <c r="A23" s="277">
        <v>45170</v>
      </c>
      <c r="B23" s="278" t="s">
        <v>368</v>
      </c>
      <c r="C23" s="278" t="s">
        <v>171</v>
      </c>
      <c r="D23" s="278" t="s">
        <v>818</v>
      </c>
      <c r="F23" s="227">
        <v>5000</v>
      </c>
      <c r="G23" s="211">
        <f t="shared" si="0"/>
        <v>19290576</v>
      </c>
      <c r="H23" s="278" t="s">
        <v>25</v>
      </c>
      <c r="I23" s="283" t="s">
        <v>331</v>
      </c>
      <c r="J23" s="278" t="s">
        <v>819</v>
      </c>
      <c r="K23" s="279" t="s">
        <v>198</v>
      </c>
      <c r="L23" s="279" t="s">
        <v>631</v>
      </c>
      <c r="N23" s="279"/>
      <c r="Q23" s="211"/>
      <c r="R23" s="280"/>
    </row>
    <row r="24" spans="1:18" s="278" customFormat="1" ht="16.5">
      <c r="A24" s="277">
        <v>45170</v>
      </c>
      <c r="B24" s="288" t="s">
        <v>369</v>
      </c>
      <c r="C24" s="278" t="s">
        <v>171</v>
      </c>
      <c r="D24" s="278" t="s">
        <v>155</v>
      </c>
      <c r="F24" s="278">
        <v>11000</v>
      </c>
      <c r="G24" s="211">
        <f t="shared" si="0"/>
        <v>19279576</v>
      </c>
      <c r="H24" s="278" t="s">
        <v>25</v>
      </c>
      <c r="I24" s="283" t="s">
        <v>331</v>
      </c>
      <c r="J24" s="278" t="s">
        <v>102</v>
      </c>
      <c r="K24" s="279" t="s">
        <v>199</v>
      </c>
      <c r="L24" s="279" t="s">
        <v>631</v>
      </c>
      <c r="M24" s="278" t="s">
        <v>663</v>
      </c>
      <c r="N24" s="279" t="s">
        <v>650</v>
      </c>
      <c r="Q24" s="211"/>
      <c r="R24" s="280"/>
    </row>
    <row r="25" spans="1:18" s="278" customFormat="1" ht="16.5">
      <c r="A25" s="277">
        <v>45170</v>
      </c>
      <c r="B25" s="288" t="s">
        <v>340</v>
      </c>
      <c r="C25" s="283" t="s">
        <v>75</v>
      </c>
      <c r="E25" s="278">
        <v>20000</v>
      </c>
      <c r="F25" s="211"/>
      <c r="G25" s="211">
        <f>G24+E25-F25</f>
        <v>19299576</v>
      </c>
      <c r="H25" s="280" t="s">
        <v>317</v>
      </c>
      <c r="I25" s="279"/>
      <c r="K25" s="279"/>
      <c r="L25" s="279"/>
      <c r="N25" s="279"/>
      <c r="Q25" s="211"/>
      <c r="R25" s="280"/>
    </row>
    <row r="26" spans="1:18" s="278" customFormat="1" ht="16.5">
      <c r="A26" s="285">
        <v>45170</v>
      </c>
      <c r="B26" s="278" t="s">
        <v>444</v>
      </c>
      <c r="C26" s="279" t="s">
        <v>335</v>
      </c>
      <c r="D26" s="279" t="s">
        <v>326</v>
      </c>
      <c r="F26" s="278">
        <v>14701</v>
      </c>
      <c r="G26" s="211">
        <f>+G25+E26-F26</f>
        <v>19284875</v>
      </c>
      <c r="H26" s="278" t="s">
        <v>148</v>
      </c>
      <c r="I26" s="283" t="s">
        <v>334</v>
      </c>
      <c r="J26" s="278" t="s">
        <v>102</v>
      </c>
      <c r="K26" s="278" t="s">
        <v>199</v>
      </c>
      <c r="L26" s="279" t="s">
        <v>631</v>
      </c>
      <c r="M26" s="278" t="s">
        <v>664</v>
      </c>
      <c r="N26" s="279" t="s">
        <v>632</v>
      </c>
      <c r="O26" s="284"/>
      <c r="P26" s="284"/>
      <c r="Q26" s="280"/>
      <c r="R26" s="280"/>
    </row>
    <row r="27" spans="1:18" s="278" customFormat="1" ht="16.5">
      <c r="A27" s="277">
        <v>45171</v>
      </c>
      <c r="B27" s="278" t="s">
        <v>514</v>
      </c>
      <c r="C27" s="283" t="s">
        <v>75</v>
      </c>
      <c r="D27" s="211"/>
      <c r="F27" s="278">
        <v>30000</v>
      </c>
      <c r="G27" s="211">
        <f>G26+E27-F27</f>
        <v>19254875</v>
      </c>
      <c r="H27" s="279" t="s">
        <v>308</v>
      </c>
      <c r="I27" s="283"/>
      <c r="N27" s="279"/>
      <c r="Q27" s="211"/>
      <c r="R27" s="280"/>
    </row>
    <row r="28" spans="1:18" s="278" customFormat="1" ht="16.5">
      <c r="A28" s="281">
        <v>45171</v>
      </c>
      <c r="B28" s="278" t="s">
        <v>515</v>
      </c>
      <c r="C28" s="283" t="s">
        <v>75</v>
      </c>
      <c r="D28" s="279"/>
      <c r="F28" s="278">
        <v>40000</v>
      </c>
      <c r="G28" s="211">
        <f>G27+E28-F28</f>
        <v>19214875</v>
      </c>
      <c r="H28" s="279" t="s">
        <v>308</v>
      </c>
      <c r="I28" s="283"/>
      <c r="N28" s="279"/>
      <c r="O28" s="279"/>
      <c r="Q28" s="211"/>
      <c r="R28" s="280"/>
    </row>
    <row r="29" spans="1:18" s="278" customFormat="1" ht="16.5">
      <c r="A29" s="277">
        <v>45171</v>
      </c>
      <c r="B29" s="279" t="s">
        <v>350</v>
      </c>
      <c r="C29" s="283" t="s">
        <v>75</v>
      </c>
      <c r="E29" s="279">
        <v>30000</v>
      </c>
      <c r="F29" s="279"/>
      <c r="G29" s="289">
        <f>+G28+E29-F29</f>
        <v>19244875</v>
      </c>
      <c r="H29" s="279" t="s">
        <v>29</v>
      </c>
      <c r="I29" s="279"/>
      <c r="J29" s="279"/>
      <c r="K29" s="279"/>
      <c r="L29" s="279"/>
      <c r="M29" s="279"/>
      <c r="N29" s="279"/>
      <c r="O29" s="279"/>
      <c r="Q29" s="211"/>
      <c r="R29" s="280"/>
    </row>
    <row r="30" spans="1:18" s="278" customFormat="1" ht="16.5">
      <c r="A30" s="277">
        <v>45171</v>
      </c>
      <c r="B30" s="278" t="s">
        <v>607</v>
      </c>
      <c r="C30" s="283" t="s">
        <v>75</v>
      </c>
      <c r="E30" s="307">
        <v>40000</v>
      </c>
      <c r="F30" s="308"/>
      <c r="G30" s="211">
        <f>G29+E30-F30</f>
        <v>19284875</v>
      </c>
      <c r="H30" s="278" t="s">
        <v>268</v>
      </c>
      <c r="J30" s="307"/>
      <c r="K30" s="307"/>
      <c r="L30" s="307"/>
      <c r="M30" s="307"/>
      <c r="N30" s="307"/>
      <c r="O30" s="307"/>
      <c r="Q30" s="211"/>
      <c r="R30" s="280"/>
    </row>
    <row r="31" spans="1:18" s="278" customFormat="1" ht="16.5">
      <c r="A31" s="277">
        <v>45171</v>
      </c>
      <c r="B31" s="278" t="s">
        <v>636</v>
      </c>
      <c r="C31" s="279" t="s">
        <v>505</v>
      </c>
      <c r="D31" s="288" t="s">
        <v>506</v>
      </c>
      <c r="F31" s="278">
        <v>13000</v>
      </c>
      <c r="G31" s="211">
        <f>G30+E31-F31</f>
        <v>19271875</v>
      </c>
      <c r="H31" s="279" t="s">
        <v>308</v>
      </c>
      <c r="I31" s="283" t="s">
        <v>328</v>
      </c>
      <c r="J31" s="278" t="s">
        <v>352</v>
      </c>
      <c r="K31" s="290" t="s">
        <v>198</v>
      </c>
      <c r="L31" s="290" t="s">
        <v>631</v>
      </c>
      <c r="N31" s="279"/>
      <c r="Q31" s="211"/>
      <c r="R31" s="280"/>
    </row>
    <row r="32" spans="1:18" s="278" customFormat="1" ht="16.5">
      <c r="A32" s="277">
        <v>45171</v>
      </c>
      <c r="B32" s="278" t="s">
        <v>461</v>
      </c>
      <c r="C32" s="279" t="s">
        <v>301</v>
      </c>
      <c r="D32" s="278" t="s">
        <v>395</v>
      </c>
      <c r="E32" s="211"/>
      <c r="F32" s="227">
        <v>22000</v>
      </c>
      <c r="G32" s="211">
        <f>+G31+E32-F32</f>
        <v>19249875</v>
      </c>
      <c r="H32" s="278" t="s">
        <v>47</v>
      </c>
      <c r="I32" s="278" t="s">
        <v>331</v>
      </c>
      <c r="J32" s="278" t="s">
        <v>287</v>
      </c>
      <c r="K32" s="279" t="s">
        <v>198</v>
      </c>
      <c r="L32" s="279" t="s">
        <v>631</v>
      </c>
      <c r="Q32" s="211"/>
      <c r="R32" s="280"/>
    </row>
    <row r="33" spans="1:18" s="278" customFormat="1" ht="16.5">
      <c r="A33" s="277">
        <v>45171</v>
      </c>
      <c r="B33" s="278" t="s">
        <v>462</v>
      </c>
      <c r="C33" s="279" t="s">
        <v>229</v>
      </c>
      <c r="D33" s="278" t="s">
        <v>395</v>
      </c>
      <c r="F33" s="278">
        <v>10000</v>
      </c>
      <c r="G33" s="211">
        <f>+G32+E33-F33</f>
        <v>19239875</v>
      </c>
      <c r="H33" s="278" t="s">
        <v>47</v>
      </c>
      <c r="I33" s="278" t="s">
        <v>331</v>
      </c>
      <c r="J33" s="278" t="s">
        <v>352</v>
      </c>
      <c r="K33" s="279" t="s">
        <v>198</v>
      </c>
      <c r="L33" s="279" t="s">
        <v>631</v>
      </c>
      <c r="N33" s="279"/>
      <c r="Q33" s="211"/>
      <c r="R33" s="280"/>
    </row>
    <row r="34" spans="1:18" s="278" customFormat="1" ht="16.5">
      <c r="A34" s="285">
        <v>45171</v>
      </c>
      <c r="B34" s="278" t="s">
        <v>463</v>
      </c>
      <c r="C34" s="278" t="s">
        <v>229</v>
      </c>
      <c r="D34" s="278" t="s">
        <v>395</v>
      </c>
      <c r="F34" s="278">
        <v>20000</v>
      </c>
      <c r="G34" s="211">
        <f>+G33+E34-F34</f>
        <v>19219875</v>
      </c>
      <c r="H34" s="280" t="s">
        <v>47</v>
      </c>
      <c r="I34" s="278" t="s">
        <v>331</v>
      </c>
      <c r="J34" s="278" t="s">
        <v>352</v>
      </c>
      <c r="K34" s="279" t="s">
        <v>198</v>
      </c>
      <c r="L34" s="279" t="s">
        <v>631</v>
      </c>
      <c r="Q34" s="280"/>
      <c r="R34" s="280"/>
    </row>
    <row r="35" spans="1:18" s="278" customFormat="1" ht="16.5">
      <c r="A35" s="277">
        <v>45171</v>
      </c>
      <c r="B35" s="278" t="s">
        <v>490</v>
      </c>
      <c r="C35" s="279" t="s">
        <v>301</v>
      </c>
      <c r="D35" s="278" t="s">
        <v>395</v>
      </c>
      <c r="E35" s="211"/>
      <c r="F35" s="227">
        <v>8750</v>
      </c>
      <c r="G35" s="211">
        <f>G34+E35-F35</f>
        <v>19211125</v>
      </c>
      <c r="H35" s="278" t="s">
        <v>299</v>
      </c>
      <c r="I35" s="279" t="s">
        <v>328</v>
      </c>
      <c r="J35" s="278" t="s">
        <v>287</v>
      </c>
      <c r="K35" s="279" t="s">
        <v>198</v>
      </c>
      <c r="L35" s="279" t="s">
        <v>631</v>
      </c>
      <c r="N35" s="279"/>
      <c r="Q35" s="280"/>
      <c r="R35" s="280"/>
    </row>
    <row r="36" spans="1:18" s="278" customFormat="1" ht="16.5">
      <c r="A36" s="277">
        <v>45171</v>
      </c>
      <c r="B36" s="290" t="s">
        <v>520</v>
      </c>
      <c r="C36" s="278" t="s">
        <v>301</v>
      </c>
      <c r="D36" s="278" t="s">
        <v>395</v>
      </c>
      <c r="E36" s="228"/>
      <c r="F36" s="228">
        <v>15000</v>
      </c>
      <c r="G36" s="211">
        <f>+G35+E36-F36</f>
        <v>19196125</v>
      </c>
      <c r="H36" s="278" t="s">
        <v>31</v>
      </c>
      <c r="I36" s="278" t="s">
        <v>337</v>
      </c>
      <c r="J36" s="278" t="s">
        <v>287</v>
      </c>
      <c r="K36" s="279" t="s">
        <v>198</v>
      </c>
      <c r="L36" s="279" t="s">
        <v>631</v>
      </c>
      <c r="N36" s="279"/>
      <c r="Q36" s="280"/>
      <c r="R36" s="280"/>
    </row>
    <row r="37" spans="1:18" s="278" customFormat="1" ht="16.5">
      <c r="A37" s="277">
        <v>45171</v>
      </c>
      <c r="B37" s="279" t="s">
        <v>521</v>
      </c>
      <c r="C37" s="279" t="s">
        <v>34</v>
      </c>
      <c r="D37" s="278" t="s">
        <v>395</v>
      </c>
      <c r="F37" s="278">
        <v>25000</v>
      </c>
      <c r="G37" s="211">
        <f>+G36+E37-F37</f>
        <v>19171125</v>
      </c>
      <c r="H37" s="278" t="s">
        <v>31</v>
      </c>
      <c r="I37" s="278" t="s">
        <v>328</v>
      </c>
      <c r="J37" s="278" t="s">
        <v>287</v>
      </c>
      <c r="K37" s="279" t="s">
        <v>198</v>
      </c>
      <c r="L37" s="279" t="s">
        <v>631</v>
      </c>
      <c r="O37" s="284"/>
      <c r="Q37" s="280"/>
      <c r="R37" s="280"/>
    </row>
    <row r="38" spans="1:18" s="278" customFormat="1" ht="16.5">
      <c r="A38" s="277">
        <v>45171</v>
      </c>
      <c r="B38" s="278" t="s">
        <v>654</v>
      </c>
      <c r="C38" s="279" t="s">
        <v>301</v>
      </c>
      <c r="D38" s="278" t="s">
        <v>395</v>
      </c>
      <c r="F38" s="278">
        <v>10000</v>
      </c>
      <c r="G38" s="211">
        <f t="shared" ref="G38:G43" si="1">G37+E38-F38</f>
        <v>19161125</v>
      </c>
      <c r="H38" s="279" t="s">
        <v>197</v>
      </c>
      <c r="I38" s="283" t="s">
        <v>331</v>
      </c>
      <c r="J38" s="278" t="s">
        <v>287</v>
      </c>
      <c r="K38" s="279" t="s">
        <v>198</v>
      </c>
      <c r="L38" s="279" t="s">
        <v>631</v>
      </c>
      <c r="N38" s="279"/>
      <c r="O38" s="279"/>
      <c r="Q38" s="280"/>
      <c r="R38" s="280"/>
    </row>
    <row r="39" spans="1:18" s="278" customFormat="1" ht="16.5">
      <c r="A39" s="281">
        <v>45171</v>
      </c>
      <c r="B39" s="279" t="s">
        <v>530</v>
      </c>
      <c r="C39" s="278" t="s">
        <v>34</v>
      </c>
      <c r="D39" s="278" t="s">
        <v>154</v>
      </c>
      <c r="E39" s="279"/>
      <c r="F39" s="278">
        <v>13000</v>
      </c>
      <c r="G39" s="211">
        <f t="shared" si="1"/>
        <v>19148125</v>
      </c>
      <c r="H39" s="290" t="s">
        <v>197</v>
      </c>
      <c r="I39" s="283" t="s">
        <v>331</v>
      </c>
      <c r="J39" s="278" t="s">
        <v>102</v>
      </c>
      <c r="K39" s="278" t="s">
        <v>199</v>
      </c>
      <c r="L39" s="278" t="s">
        <v>631</v>
      </c>
      <c r="M39" s="278" t="s">
        <v>665</v>
      </c>
      <c r="N39" s="279" t="s">
        <v>651</v>
      </c>
      <c r="O39" s="279"/>
      <c r="Q39" s="280"/>
      <c r="R39" s="280"/>
    </row>
    <row r="40" spans="1:18" s="278" customFormat="1" ht="16.5">
      <c r="A40" s="277">
        <v>45171</v>
      </c>
      <c r="B40" s="278" t="s">
        <v>545</v>
      </c>
      <c r="C40" s="278" t="s">
        <v>301</v>
      </c>
      <c r="D40" s="279" t="s">
        <v>326</v>
      </c>
      <c r="E40" s="280"/>
      <c r="F40" s="278">
        <v>30000</v>
      </c>
      <c r="G40" s="211">
        <f t="shared" si="1"/>
        <v>19118125</v>
      </c>
      <c r="H40" s="290" t="s">
        <v>93</v>
      </c>
      <c r="I40" s="283" t="s">
        <v>331</v>
      </c>
      <c r="J40" s="278" t="s">
        <v>287</v>
      </c>
      <c r="K40" s="278" t="s">
        <v>199</v>
      </c>
      <c r="L40" s="278" t="s">
        <v>631</v>
      </c>
      <c r="M40" s="278" t="s">
        <v>666</v>
      </c>
      <c r="N40" s="278" t="s">
        <v>652</v>
      </c>
      <c r="Q40" s="280"/>
      <c r="R40" s="280"/>
    </row>
    <row r="41" spans="1:18" s="278" customFormat="1" ht="16.5">
      <c r="A41" s="277">
        <v>45171</v>
      </c>
      <c r="B41" s="278" t="s">
        <v>546</v>
      </c>
      <c r="C41" s="279" t="s">
        <v>34</v>
      </c>
      <c r="D41" s="279" t="s">
        <v>395</v>
      </c>
      <c r="F41" s="278">
        <v>60000</v>
      </c>
      <c r="G41" s="211">
        <f t="shared" si="1"/>
        <v>19058125</v>
      </c>
      <c r="H41" s="279" t="s">
        <v>93</v>
      </c>
      <c r="I41" s="278" t="s">
        <v>331</v>
      </c>
      <c r="J41" s="278" t="s">
        <v>287</v>
      </c>
      <c r="K41" s="279" t="s">
        <v>198</v>
      </c>
      <c r="L41" s="279" t="s">
        <v>631</v>
      </c>
      <c r="N41" s="279"/>
      <c r="Q41" s="280"/>
      <c r="R41" s="280"/>
    </row>
    <row r="42" spans="1:18" s="278" customFormat="1" ht="16.5">
      <c r="A42" s="277">
        <v>45171</v>
      </c>
      <c r="B42" s="278" t="s">
        <v>547</v>
      </c>
      <c r="C42" s="278" t="s">
        <v>301</v>
      </c>
      <c r="D42" s="278" t="s">
        <v>395</v>
      </c>
      <c r="F42" s="278">
        <v>3500</v>
      </c>
      <c r="G42" s="211">
        <f t="shared" si="1"/>
        <v>19054625</v>
      </c>
      <c r="H42" s="279" t="s">
        <v>93</v>
      </c>
      <c r="I42" s="278" t="s">
        <v>331</v>
      </c>
      <c r="J42" s="278" t="s">
        <v>287</v>
      </c>
      <c r="K42" s="279" t="s">
        <v>198</v>
      </c>
      <c r="L42" s="279" t="s">
        <v>631</v>
      </c>
      <c r="N42" s="279"/>
      <c r="Q42" s="280"/>
      <c r="R42" s="280"/>
    </row>
    <row r="43" spans="1:18" s="278" customFormat="1" ht="16.5">
      <c r="A43" s="277">
        <v>45171</v>
      </c>
      <c r="B43" s="278" t="s">
        <v>655</v>
      </c>
      <c r="C43" s="288" t="s">
        <v>301</v>
      </c>
      <c r="D43" s="278" t="s">
        <v>395</v>
      </c>
      <c r="E43" s="211"/>
      <c r="F43" s="227">
        <v>9000</v>
      </c>
      <c r="G43" s="211">
        <f t="shared" si="1"/>
        <v>19045625</v>
      </c>
      <c r="H43" s="278" t="s">
        <v>300</v>
      </c>
      <c r="I43" s="278" t="s">
        <v>328</v>
      </c>
      <c r="J43" s="278" t="s">
        <v>287</v>
      </c>
      <c r="K43" s="279" t="s">
        <v>198</v>
      </c>
      <c r="L43" s="279" t="s">
        <v>631</v>
      </c>
      <c r="M43" s="307"/>
      <c r="N43" s="307"/>
      <c r="O43" s="307"/>
      <c r="Q43" s="280"/>
      <c r="R43" s="280"/>
    </row>
    <row r="44" spans="1:18" s="278" customFormat="1" ht="16.5">
      <c r="A44" s="277">
        <v>45171</v>
      </c>
      <c r="B44" s="279" t="s">
        <v>593</v>
      </c>
      <c r="C44" s="279" t="s">
        <v>34</v>
      </c>
      <c r="D44" s="278" t="s">
        <v>818</v>
      </c>
      <c r="E44" s="279"/>
      <c r="F44" s="279">
        <v>15000</v>
      </c>
      <c r="G44" s="289">
        <f>+G43+E44-F44</f>
        <v>19030625</v>
      </c>
      <c r="H44" s="279" t="s">
        <v>29</v>
      </c>
      <c r="I44" s="279" t="s">
        <v>349</v>
      </c>
      <c r="J44" s="278" t="s">
        <v>102</v>
      </c>
      <c r="K44" s="278" t="s">
        <v>199</v>
      </c>
      <c r="L44" s="278" t="s">
        <v>631</v>
      </c>
      <c r="M44" s="278" t="s">
        <v>667</v>
      </c>
      <c r="N44" s="279" t="s">
        <v>651</v>
      </c>
      <c r="O44" s="279"/>
      <c r="P44" s="284"/>
      <c r="Q44" s="280"/>
      <c r="R44" s="280"/>
    </row>
    <row r="45" spans="1:18" s="278" customFormat="1" ht="16.5">
      <c r="A45" s="277">
        <v>45171</v>
      </c>
      <c r="B45" s="278" t="s">
        <v>608</v>
      </c>
      <c r="C45" s="278" t="s">
        <v>338</v>
      </c>
      <c r="D45" s="278" t="s">
        <v>818</v>
      </c>
      <c r="E45" s="307"/>
      <c r="F45" s="308">
        <v>30000</v>
      </c>
      <c r="G45" s="211">
        <f>G44+E45-F45</f>
        <v>19000625</v>
      </c>
      <c r="H45" s="278" t="s">
        <v>268</v>
      </c>
      <c r="I45" s="278" t="s">
        <v>328</v>
      </c>
      <c r="J45" s="278" t="s">
        <v>819</v>
      </c>
      <c r="K45" s="278" t="s">
        <v>199</v>
      </c>
      <c r="L45" s="278" t="s">
        <v>631</v>
      </c>
      <c r="M45" s="278" t="s">
        <v>668</v>
      </c>
      <c r="N45" s="278" t="s">
        <v>652</v>
      </c>
      <c r="O45" s="307"/>
      <c r="Q45" s="280"/>
      <c r="R45" s="280"/>
    </row>
    <row r="46" spans="1:18" s="278" customFormat="1" ht="16.5">
      <c r="A46" s="277">
        <v>45173</v>
      </c>
      <c r="B46" s="278" t="s">
        <v>464</v>
      </c>
      <c r="C46" s="283" t="s">
        <v>75</v>
      </c>
      <c r="E46" s="278">
        <v>58000</v>
      </c>
      <c r="G46" s="211">
        <f>+G45+E46-F46</f>
        <v>19058625</v>
      </c>
      <c r="H46" s="278" t="s">
        <v>47</v>
      </c>
      <c r="J46" s="279"/>
      <c r="K46" s="290"/>
      <c r="L46" s="290"/>
      <c r="N46" s="279"/>
      <c r="Q46" s="280"/>
      <c r="R46" s="280"/>
    </row>
    <row r="47" spans="1:18" s="278" customFormat="1" ht="16.5">
      <c r="A47" s="277">
        <v>45172</v>
      </c>
      <c r="B47" s="278" t="s">
        <v>465</v>
      </c>
      <c r="C47" s="279" t="s">
        <v>229</v>
      </c>
      <c r="D47" s="278" t="s">
        <v>395</v>
      </c>
      <c r="E47" s="211"/>
      <c r="F47" s="211">
        <v>140000</v>
      </c>
      <c r="G47" s="211">
        <f>+G46+E47-F47</f>
        <v>18918625</v>
      </c>
      <c r="H47" s="279" t="s">
        <v>47</v>
      </c>
      <c r="I47" s="279" t="s">
        <v>331</v>
      </c>
      <c r="J47" s="278" t="s">
        <v>352</v>
      </c>
      <c r="K47" s="279" t="s">
        <v>198</v>
      </c>
      <c r="L47" s="279" t="s">
        <v>631</v>
      </c>
      <c r="Q47" s="280"/>
      <c r="R47" s="280"/>
    </row>
    <row r="48" spans="1:18" s="278" customFormat="1" ht="16.5">
      <c r="A48" s="277">
        <v>45172</v>
      </c>
      <c r="B48" s="278" t="s">
        <v>491</v>
      </c>
      <c r="C48" s="279" t="s">
        <v>301</v>
      </c>
      <c r="D48" s="278" t="s">
        <v>154</v>
      </c>
      <c r="F48" s="278">
        <v>45000</v>
      </c>
      <c r="G48" s="211">
        <f t="shared" ref="G48:G55" si="2">G47+E48-F48</f>
        <v>18873625</v>
      </c>
      <c r="H48" s="278" t="s">
        <v>299</v>
      </c>
      <c r="I48" s="278" t="s">
        <v>328</v>
      </c>
      <c r="J48" s="278" t="s">
        <v>102</v>
      </c>
      <c r="K48" s="278" t="s">
        <v>199</v>
      </c>
      <c r="L48" s="278" t="s">
        <v>631</v>
      </c>
      <c r="M48" s="291" t="s">
        <v>669</v>
      </c>
      <c r="N48" s="278" t="s">
        <v>652</v>
      </c>
      <c r="Q48" s="280"/>
      <c r="R48" s="280"/>
    </row>
    <row r="49" spans="1:18" s="278" customFormat="1" ht="16.5">
      <c r="A49" s="281">
        <v>45172</v>
      </c>
      <c r="B49" s="278" t="s">
        <v>507</v>
      </c>
      <c r="C49" s="279" t="s">
        <v>338</v>
      </c>
      <c r="D49" s="278" t="s">
        <v>2</v>
      </c>
      <c r="F49" s="278">
        <v>45000</v>
      </c>
      <c r="G49" s="211">
        <f t="shared" si="2"/>
        <v>18828625</v>
      </c>
      <c r="H49" s="279" t="s">
        <v>308</v>
      </c>
      <c r="I49" s="283" t="s">
        <v>349</v>
      </c>
      <c r="J49" s="278" t="s">
        <v>287</v>
      </c>
      <c r="K49" s="278" t="s">
        <v>199</v>
      </c>
      <c r="L49" s="278" t="s">
        <v>631</v>
      </c>
      <c r="M49" s="291" t="s">
        <v>670</v>
      </c>
      <c r="N49" s="278" t="s">
        <v>652</v>
      </c>
      <c r="O49" s="279"/>
      <c r="P49" s="284"/>
      <c r="Q49" s="280"/>
      <c r="R49" s="280"/>
    </row>
    <row r="50" spans="1:18" s="278" customFormat="1" ht="16.5">
      <c r="A50" s="287">
        <v>45172</v>
      </c>
      <c r="B50" s="278" t="s">
        <v>508</v>
      </c>
      <c r="C50" s="279" t="s">
        <v>34</v>
      </c>
      <c r="D50" s="279" t="s">
        <v>2</v>
      </c>
      <c r="F50" s="278">
        <v>13000</v>
      </c>
      <c r="G50" s="211">
        <f t="shared" si="2"/>
        <v>18815625</v>
      </c>
      <c r="H50" s="279" t="s">
        <v>308</v>
      </c>
      <c r="I50" s="283" t="s">
        <v>349</v>
      </c>
      <c r="J50" s="278" t="s">
        <v>102</v>
      </c>
      <c r="K50" s="278" t="s">
        <v>199</v>
      </c>
      <c r="L50" s="278" t="s">
        <v>631</v>
      </c>
      <c r="M50" s="291" t="s">
        <v>671</v>
      </c>
      <c r="N50" s="279" t="s">
        <v>651</v>
      </c>
      <c r="Q50" s="280"/>
      <c r="R50" s="280"/>
    </row>
    <row r="51" spans="1:18" s="278" customFormat="1" ht="16.5">
      <c r="A51" s="277">
        <v>45172</v>
      </c>
      <c r="B51" s="279" t="s">
        <v>531</v>
      </c>
      <c r="C51" s="279" t="s">
        <v>301</v>
      </c>
      <c r="D51" s="278" t="s">
        <v>154</v>
      </c>
      <c r="E51" s="279"/>
      <c r="F51" s="278">
        <v>45000</v>
      </c>
      <c r="G51" s="211">
        <f t="shared" si="2"/>
        <v>18770625</v>
      </c>
      <c r="H51" s="279" t="s">
        <v>197</v>
      </c>
      <c r="I51" s="278" t="s">
        <v>331</v>
      </c>
      <c r="J51" s="278" t="s">
        <v>287</v>
      </c>
      <c r="K51" s="278" t="s">
        <v>199</v>
      </c>
      <c r="L51" s="278" t="s">
        <v>631</v>
      </c>
      <c r="M51" s="291" t="s">
        <v>672</v>
      </c>
      <c r="N51" s="278" t="s">
        <v>652</v>
      </c>
      <c r="O51" s="279"/>
      <c r="Q51" s="280"/>
      <c r="R51" s="280"/>
    </row>
    <row r="52" spans="1:18" s="278" customFormat="1" ht="16.5">
      <c r="A52" s="277">
        <v>45172</v>
      </c>
      <c r="B52" s="279" t="s">
        <v>548</v>
      </c>
      <c r="C52" s="279" t="s">
        <v>338</v>
      </c>
      <c r="D52" s="279" t="s">
        <v>326</v>
      </c>
      <c r="E52" s="279"/>
      <c r="F52" s="286">
        <v>15000</v>
      </c>
      <c r="G52" s="211">
        <f t="shared" si="2"/>
        <v>18755625</v>
      </c>
      <c r="H52" s="279" t="s">
        <v>93</v>
      </c>
      <c r="I52" s="278" t="s">
        <v>331</v>
      </c>
      <c r="J52" s="278" t="s">
        <v>287</v>
      </c>
      <c r="K52" s="278" t="s">
        <v>199</v>
      </c>
      <c r="L52" s="278" t="s">
        <v>631</v>
      </c>
      <c r="M52" s="291" t="s">
        <v>673</v>
      </c>
      <c r="N52" s="279" t="s">
        <v>652</v>
      </c>
      <c r="O52" s="279"/>
      <c r="P52" s="284"/>
      <c r="Q52" s="280"/>
      <c r="R52" s="280"/>
    </row>
    <row r="53" spans="1:18" s="278" customFormat="1" ht="16.5">
      <c r="A53" s="277">
        <v>45172</v>
      </c>
      <c r="B53" s="292" t="s">
        <v>549</v>
      </c>
      <c r="C53" s="279" t="s">
        <v>34</v>
      </c>
      <c r="D53" s="279" t="s">
        <v>326</v>
      </c>
      <c r="E53" s="280"/>
      <c r="F53" s="278">
        <v>8000</v>
      </c>
      <c r="G53" s="211">
        <f t="shared" si="2"/>
        <v>18747625</v>
      </c>
      <c r="H53" s="279" t="s">
        <v>93</v>
      </c>
      <c r="I53" s="278" t="s">
        <v>331</v>
      </c>
      <c r="J53" s="278" t="s">
        <v>102</v>
      </c>
      <c r="K53" s="278" t="s">
        <v>199</v>
      </c>
      <c r="L53" s="278" t="s">
        <v>631</v>
      </c>
      <c r="M53" s="291" t="s">
        <v>674</v>
      </c>
      <c r="N53" s="279" t="s">
        <v>651</v>
      </c>
      <c r="P53" s="293"/>
      <c r="Q53" s="280"/>
      <c r="R53" s="280"/>
    </row>
    <row r="54" spans="1:18" s="278" customFormat="1" ht="16.5">
      <c r="A54" s="277">
        <v>45172</v>
      </c>
      <c r="B54" s="278" t="s">
        <v>348</v>
      </c>
      <c r="C54" s="278" t="s">
        <v>34</v>
      </c>
      <c r="D54" s="278" t="s">
        <v>154</v>
      </c>
      <c r="E54" s="211"/>
      <c r="F54" s="227">
        <v>13000</v>
      </c>
      <c r="G54" s="211">
        <f t="shared" si="2"/>
        <v>18734625</v>
      </c>
      <c r="H54" s="278" t="s">
        <v>300</v>
      </c>
      <c r="I54" s="278" t="s">
        <v>328</v>
      </c>
      <c r="J54" s="278" t="s">
        <v>287</v>
      </c>
      <c r="K54" s="278" t="s">
        <v>199</v>
      </c>
      <c r="L54" s="278" t="s">
        <v>631</v>
      </c>
      <c r="M54" s="291" t="s">
        <v>675</v>
      </c>
      <c r="N54" s="279" t="s">
        <v>651</v>
      </c>
      <c r="O54" s="307"/>
      <c r="Q54" s="280"/>
      <c r="R54" s="280"/>
    </row>
    <row r="55" spans="1:18" s="278" customFormat="1" ht="16.5">
      <c r="A55" s="277">
        <v>45172</v>
      </c>
      <c r="B55" s="278" t="s">
        <v>577</v>
      </c>
      <c r="C55" s="288" t="s">
        <v>301</v>
      </c>
      <c r="D55" s="278" t="s">
        <v>154</v>
      </c>
      <c r="E55" s="211"/>
      <c r="F55" s="227">
        <v>45000</v>
      </c>
      <c r="G55" s="211">
        <f t="shared" si="2"/>
        <v>18689625</v>
      </c>
      <c r="H55" s="278" t="s">
        <v>300</v>
      </c>
      <c r="I55" s="278" t="s">
        <v>328</v>
      </c>
      <c r="J55" s="278" t="s">
        <v>287</v>
      </c>
      <c r="K55" s="278" t="s">
        <v>199</v>
      </c>
      <c r="L55" s="278" t="s">
        <v>631</v>
      </c>
      <c r="M55" s="291" t="s">
        <v>676</v>
      </c>
      <c r="N55" s="278" t="s">
        <v>652</v>
      </c>
      <c r="O55" s="307"/>
      <c r="Q55" s="280"/>
      <c r="R55" s="280"/>
    </row>
    <row r="56" spans="1:18" s="278" customFormat="1" ht="16.5">
      <c r="A56" s="277">
        <v>45172</v>
      </c>
      <c r="B56" s="279" t="s">
        <v>820</v>
      </c>
      <c r="C56" s="279" t="s">
        <v>301</v>
      </c>
      <c r="D56" s="278" t="s">
        <v>818</v>
      </c>
      <c r="E56" s="279"/>
      <c r="F56" s="279">
        <v>45000</v>
      </c>
      <c r="G56" s="289">
        <f>+G55+E56-F56</f>
        <v>18644625</v>
      </c>
      <c r="H56" s="279" t="s">
        <v>29</v>
      </c>
      <c r="I56" s="279" t="s">
        <v>349</v>
      </c>
      <c r="J56" s="278" t="s">
        <v>819</v>
      </c>
      <c r="K56" s="278" t="s">
        <v>199</v>
      </c>
      <c r="L56" s="278" t="s">
        <v>631</v>
      </c>
      <c r="M56" s="291" t="s">
        <v>677</v>
      </c>
      <c r="N56" s="278" t="s">
        <v>652</v>
      </c>
      <c r="O56" s="279"/>
      <c r="Q56" s="280"/>
      <c r="R56" s="280"/>
    </row>
    <row r="57" spans="1:18" s="278" customFormat="1" ht="16.5">
      <c r="A57" s="277">
        <v>45172</v>
      </c>
      <c r="B57" s="278" t="s">
        <v>609</v>
      </c>
      <c r="C57" s="278" t="s">
        <v>338</v>
      </c>
      <c r="D57" s="278" t="s">
        <v>818</v>
      </c>
      <c r="E57" s="307"/>
      <c r="F57" s="308">
        <v>15000</v>
      </c>
      <c r="G57" s="211">
        <f>G56+E57-F57</f>
        <v>18629625</v>
      </c>
      <c r="H57" s="278" t="s">
        <v>268</v>
      </c>
      <c r="I57" s="278" t="s">
        <v>328</v>
      </c>
      <c r="J57" s="278" t="s">
        <v>819</v>
      </c>
      <c r="K57" s="278" t="s">
        <v>199</v>
      </c>
      <c r="L57" s="278" t="s">
        <v>631</v>
      </c>
      <c r="M57" s="291" t="s">
        <v>678</v>
      </c>
      <c r="N57" s="278" t="s">
        <v>652</v>
      </c>
      <c r="O57" s="307"/>
      <c r="Q57" s="280"/>
      <c r="R57" s="280"/>
    </row>
    <row r="58" spans="1:18" s="278" customFormat="1" ht="16.5">
      <c r="A58" s="277">
        <v>45172</v>
      </c>
      <c r="B58" s="278" t="s">
        <v>610</v>
      </c>
      <c r="C58" s="278" t="s">
        <v>34</v>
      </c>
      <c r="D58" s="278" t="s">
        <v>818</v>
      </c>
      <c r="E58" s="307"/>
      <c r="F58" s="308">
        <v>8000</v>
      </c>
      <c r="G58" s="211">
        <f>G57+E58-F58</f>
        <v>18621625</v>
      </c>
      <c r="H58" s="278" t="s">
        <v>268</v>
      </c>
      <c r="I58" s="278" t="s">
        <v>328</v>
      </c>
      <c r="J58" s="278" t="s">
        <v>287</v>
      </c>
      <c r="K58" s="278" t="s">
        <v>199</v>
      </c>
      <c r="L58" s="278" t="s">
        <v>631</v>
      </c>
      <c r="M58" s="291" t="s">
        <v>679</v>
      </c>
      <c r="N58" s="279" t="s">
        <v>651</v>
      </c>
      <c r="O58" s="307"/>
      <c r="P58" s="284"/>
      <c r="Q58" s="280"/>
      <c r="R58" s="280"/>
    </row>
    <row r="59" spans="1:18" s="278" customFormat="1" ht="16.5">
      <c r="A59" s="277">
        <v>45173</v>
      </c>
      <c r="B59" s="278" t="s">
        <v>372</v>
      </c>
      <c r="C59" s="279" t="s">
        <v>373</v>
      </c>
      <c r="D59" s="279" t="s">
        <v>326</v>
      </c>
      <c r="F59" s="278">
        <v>6450</v>
      </c>
      <c r="G59" s="211">
        <f t="shared" ref="G59:G71" si="3">+G58+E59-F59</f>
        <v>18615175</v>
      </c>
      <c r="H59" s="279" t="s">
        <v>25</v>
      </c>
      <c r="I59" s="283" t="s">
        <v>328</v>
      </c>
      <c r="J59" s="278" t="s">
        <v>102</v>
      </c>
      <c r="K59" s="279" t="s">
        <v>199</v>
      </c>
      <c r="L59" s="278" t="s">
        <v>631</v>
      </c>
      <c r="M59" s="291" t="s">
        <v>680</v>
      </c>
      <c r="N59" s="279" t="s">
        <v>632</v>
      </c>
      <c r="O59" s="279"/>
      <c r="Q59" s="280"/>
      <c r="R59" s="280"/>
    </row>
    <row r="60" spans="1:18" s="278" customFormat="1" ht="16.5">
      <c r="A60" s="285">
        <v>45173</v>
      </c>
      <c r="B60" s="288" t="s">
        <v>370</v>
      </c>
      <c r="C60" s="279" t="s">
        <v>75</v>
      </c>
      <c r="E60" s="278">
        <v>2000000</v>
      </c>
      <c r="F60" s="227"/>
      <c r="G60" s="211">
        <f t="shared" si="3"/>
        <v>20615175</v>
      </c>
      <c r="H60" s="278" t="s">
        <v>25</v>
      </c>
      <c r="I60" s="283"/>
      <c r="K60" s="279"/>
      <c r="L60" s="279"/>
      <c r="N60" s="279"/>
      <c r="Q60" s="280"/>
      <c r="R60" s="280"/>
    </row>
    <row r="61" spans="1:18" s="278" customFormat="1" ht="16.5">
      <c r="A61" s="281">
        <v>45173</v>
      </c>
      <c r="B61" s="278" t="s">
        <v>329</v>
      </c>
      <c r="C61" s="279" t="s">
        <v>75</v>
      </c>
      <c r="F61" s="278">
        <v>58000</v>
      </c>
      <c r="G61" s="211">
        <f t="shared" si="3"/>
        <v>20557175</v>
      </c>
      <c r="H61" s="278" t="s">
        <v>25</v>
      </c>
      <c r="J61" s="279"/>
      <c r="K61" s="279"/>
      <c r="L61" s="279"/>
      <c r="N61" s="279"/>
      <c r="Q61" s="280"/>
      <c r="R61" s="280"/>
    </row>
    <row r="62" spans="1:18" s="278" customFormat="1" ht="16.5">
      <c r="A62" s="277">
        <v>45173</v>
      </c>
      <c r="B62" s="278" t="s">
        <v>377</v>
      </c>
      <c r="C62" s="279" t="s">
        <v>229</v>
      </c>
      <c r="D62" s="278" t="s">
        <v>2</v>
      </c>
      <c r="F62" s="278">
        <v>50000</v>
      </c>
      <c r="G62" s="211">
        <f t="shared" si="3"/>
        <v>20507175</v>
      </c>
      <c r="H62" s="279" t="s">
        <v>25</v>
      </c>
      <c r="I62" s="278" t="s">
        <v>337</v>
      </c>
      <c r="J62" s="278" t="s">
        <v>287</v>
      </c>
      <c r="K62" s="279" t="s">
        <v>198</v>
      </c>
      <c r="L62" s="279" t="s">
        <v>631</v>
      </c>
      <c r="N62" s="279"/>
      <c r="Q62" s="280"/>
      <c r="R62" s="280"/>
    </row>
    <row r="63" spans="1:18" s="278" customFormat="1" ht="16.5">
      <c r="A63" s="277">
        <v>45173</v>
      </c>
      <c r="B63" s="294" t="s">
        <v>378</v>
      </c>
      <c r="C63" s="279" t="s">
        <v>229</v>
      </c>
      <c r="D63" s="279" t="s">
        <v>326</v>
      </c>
      <c r="E63" s="295"/>
      <c r="F63" s="296">
        <v>20000</v>
      </c>
      <c r="G63" s="211">
        <f t="shared" si="3"/>
        <v>20487175</v>
      </c>
      <c r="H63" s="297" t="s">
        <v>25</v>
      </c>
      <c r="I63" s="278" t="s">
        <v>337</v>
      </c>
      <c r="J63" s="278" t="s">
        <v>287</v>
      </c>
      <c r="K63" s="279" t="s">
        <v>198</v>
      </c>
      <c r="L63" s="279" t="s">
        <v>631</v>
      </c>
      <c r="Q63" s="280"/>
      <c r="R63" s="280"/>
    </row>
    <row r="64" spans="1:18" s="278" customFormat="1" ht="16.5">
      <c r="A64" s="281">
        <v>45173</v>
      </c>
      <c r="B64" s="278" t="s">
        <v>379</v>
      </c>
      <c r="C64" s="279" t="s">
        <v>229</v>
      </c>
      <c r="D64" s="279" t="s">
        <v>154</v>
      </c>
      <c r="E64" s="211"/>
      <c r="F64" s="211">
        <v>20000</v>
      </c>
      <c r="G64" s="211">
        <f t="shared" si="3"/>
        <v>20467175</v>
      </c>
      <c r="H64" s="278" t="s">
        <v>25</v>
      </c>
      <c r="I64" s="278" t="s">
        <v>337</v>
      </c>
      <c r="J64" s="278" t="s">
        <v>287</v>
      </c>
      <c r="K64" s="279" t="s">
        <v>198</v>
      </c>
      <c r="L64" s="279" t="s">
        <v>631</v>
      </c>
      <c r="N64" s="279"/>
      <c r="Q64" s="280"/>
      <c r="R64" s="280"/>
    </row>
    <row r="65" spans="1:18" s="278" customFormat="1" ht="16.5">
      <c r="A65" s="277">
        <v>45173</v>
      </c>
      <c r="B65" s="278" t="s">
        <v>380</v>
      </c>
      <c r="C65" s="279" t="s">
        <v>238</v>
      </c>
      <c r="D65" s="279" t="s">
        <v>326</v>
      </c>
      <c r="F65" s="278">
        <v>10000</v>
      </c>
      <c r="G65" s="211">
        <f t="shared" si="3"/>
        <v>20457175</v>
      </c>
      <c r="H65" s="290" t="s">
        <v>25</v>
      </c>
      <c r="I65" s="279" t="s">
        <v>328</v>
      </c>
      <c r="J65" s="278" t="s">
        <v>102</v>
      </c>
      <c r="K65" s="278" t="s">
        <v>199</v>
      </c>
      <c r="L65" s="278" t="s">
        <v>631</v>
      </c>
      <c r="M65" s="291" t="s">
        <v>681</v>
      </c>
      <c r="N65" s="279" t="s">
        <v>634</v>
      </c>
      <c r="Q65" s="211"/>
      <c r="R65" s="280"/>
    </row>
    <row r="66" spans="1:18" s="278" customFormat="1" ht="14.45" customHeight="1">
      <c r="A66" s="277">
        <v>45173</v>
      </c>
      <c r="B66" s="227" t="s">
        <v>31</v>
      </c>
      <c r="C66" s="279" t="s">
        <v>75</v>
      </c>
      <c r="F66" s="286">
        <v>58000</v>
      </c>
      <c r="G66" s="211">
        <f t="shared" si="3"/>
        <v>20399175</v>
      </c>
      <c r="H66" s="278" t="s">
        <v>25</v>
      </c>
      <c r="J66" s="279"/>
      <c r="K66" s="279"/>
      <c r="L66" s="279"/>
      <c r="N66" s="279"/>
      <c r="Q66" s="211"/>
      <c r="R66" s="280"/>
    </row>
    <row r="67" spans="1:18" s="278" customFormat="1" ht="16.5">
      <c r="A67" s="277">
        <v>45173</v>
      </c>
      <c r="B67" s="279" t="s">
        <v>371</v>
      </c>
      <c r="C67" s="279" t="s">
        <v>75</v>
      </c>
      <c r="E67" s="279"/>
      <c r="F67" s="279">
        <v>99000</v>
      </c>
      <c r="G67" s="211">
        <f t="shared" si="3"/>
        <v>20300175</v>
      </c>
      <c r="H67" s="278" t="s">
        <v>25</v>
      </c>
      <c r="J67" s="279"/>
      <c r="K67" s="279"/>
      <c r="L67" s="279"/>
      <c r="N67" s="279"/>
      <c r="O67" s="279"/>
      <c r="Q67" s="280"/>
      <c r="R67" s="280"/>
    </row>
    <row r="68" spans="1:18" s="278" customFormat="1" ht="14.45" customHeight="1">
      <c r="A68" s="277">
        <v>45173</v>
      </c>
      <c r="B68" s="288" t="s">
        <v>330</v>
      </c>
      <c r="C68" s="279" t="s">
        <v>75</v>
      </c>
      <c r="E68" s="278">
        <v>15000</v>
      </c>
      <c r="F68" s="211"/>
      <c r="G68" s="211">
        <f t="shared" si="3"/>
        <v>20315175</v>
      </c>
      <c r="H68" s="282" t="s">
        <v>25</v>
      </c>
      <c r="J68" s="279"/>
      <c r="Q68" s="280"/>
      <c r="R68" s="280"/>
    </row>
    <row r="69" spans="1:18" s="278" customFormat="1" ht="14.45" customHeight="1">
      <c r="A69" s="277">
        <v>45173</v>
      </c>
      <c r="B69" s="278" t="s">
        <v>374</v>
      </c>
      <c r="C69" s="279" t="s">
        <v>75</v>
      </c>
      <c r="E69" s="278">
        <v>230000</v>
      </c>
      <c r="F69" s="295"/>
      <c r="G69" s="211">
        <f t="shared" si="3"/>
        <v>20545175</v>
      </c>
      <c r="H69" s="278" t="s">
        <v>25</v>
      </c>
      <c r="K69" s="279"/>
      <c r="L69" s="279"/>
      <c r="N69" s="279"/>
      <c r="Q69" s="280"/>
      <c r="R69" s="280"/>
    </row>
    <row r="70" spans="1:18" s="278" customFormat="1" ht="15" customHeight="1">
      <c r="A70" s="281">
        <v>45173</v>
      </c>
      <c r="B70" s="279" t="s">
        <v>375</v>
      </c>
      <c r="C70" s="278" t="s">
        <v>75</v>
      </c>
      <c r="E70" s="279">
        <v>20000</v>
      </c>
      <c r="F70" s="279"/>
      <c r="G70" s="211">
        <f t="shared" si="3"/>
        <v>20565175</v>
      </c>
      <c r="H70" s="279" t="s">
        <v>25</v>
      </c>
      <c r="K70" s="279"/>
      <c r="L70" s="279"/>
      <c r="N70" s="279"/>
      <c r="O70" s="279"/>
    </row>
    <row r="71" spans="1:18" s="278" customFormat="1" ht="14.45" customHeight="1">
      <c r="A71" s="277">
        <v>45173</v>
      </c>
      <c r="B71" s="278" t="s">
        <v>376</v>
      </c>
      <c r="C71" s="279" t="s">
        <v>75</v>
      </c>
      <c r="E71" s="211">
        <v>17000</v>
      </c>
      <c r="F71" s="211"/>
      <c r="G71" s="211">
        <f t="shared" si="3"/>
        <v>20582175</v>
      </c>
      <c r="H71" s="280" t="s">
        <v>25</v>
      </c>
      <c r="K71" s="279"/>
      <c r="L71" s="279"/>
      <c r="N71" s="279"/>
    </row>
    <row r="72" spans="1:18" s="278" customFormat="1" ht="14.45" customHeight="1">
      <c r="A72" s="277">
        <v>45173</v>
      </c>
      <c r="B72" s="278" t="s">
        <v>336</v>
      </c>
      <c r="C72" s="283" t="s">
        <v>75</v>
      </c>
      <c r="F72" s="278">
        <v>2000000</v>
      </c>
      <c r="G72" s="211">
        <f>+G70+E72-F72</f>
        <v>18565175</v>
      </c>
      <c r="H72" s="278" t="s">
        <v>148</v>
      </c>
      <c r="I72" s="283">
        <v>3667377</v>
      </c>
      <c r="L72" s="279"/>
      <c r="N72" s="279"/>
      <c r="O72" s="279"/>
    </row>
    <row r="73" spans="1:18" s="278" customFormat="1" ht="14.45" customHeight="1">
      <c r="A73" s="277">
        <v>45173</v>
      </c>
      <c r="B73" s="278" t="s">
        <v>345</v>
      </c>
      <c r="C73" s="283" t="s">
        <v>75</v>
      </c>
      <c r="E73" s="278">
        <v>99000</v>
      </c>
      <c r="F73" s="298"/>
      <c r="G73" s="211">
        <f>G72+E73-F73</f>
        <v>18664175</v>
      </c>
      <c r="H73" s="278" t="s">
        <v>299</v>
      </c>
    </row>
    <row r="74" spans="1:18" s="278" customFormat="1" ht="14.45" customHeight="1">
      <c r="A74" s="287">
        <v>45173</v>
      </c>
      <c r="B74" s="211" t="s">
        <v>346</v>
      </c>
      <c r="C74" s="283" t="s">
        <v>75</v>
      </c>
      <c r="E74" s="299">
        <v>58000</v>
      </c>
      <c r="G74" s="211">
        <f>+G73+E74-F74</f>
        <v>18722175</v>
      </c>
      <c r="H74" s="278" t="s">
        <v>31</v>
      </c>
      <c r="N74" s="279"/>
    </row>
    <row r="75" spans="1:18" s="278" customFormat="1" ht="14.45" customHeight="1">
      <c r="A75" s="287">
        <v>45173</v>
      </c>
      <c r="B75" s="278" t="s">
        <v>532</v>
      </c>
      <c r="C75" s="283" t="s">
        <v>75</v>
      </c>
      <c r="E75" s="211"/>
      <c r="F75" s="227">
        <v>20000</v>
      </c>
      <c r="G75" s="211">
        <f>G74+E75-F75</f>
        <v>18702175</v>
      </c>
      <c r="H75" s="278" t="s">
        <v>197</v>
      </c>
      <c r="I75" s="279"/>
      <c r="K75" s="279"/>
      <c r="L75" s="279"/>
      <c r="N75" s="279"/>
    </row>
    <row r="76" spans="1:18" s="278" customFormat="1" ht="14.45" customHeight="1">
      <c r="A76" s="287">
        <v>45173</v>
      </c>
      <c r="B76" s="278" t="s">
        <v>341</v>
      </c>
      <c r="C76" s="283" t="s">
        <v>75</v>
      </c>
      <c r="F76" s="278">
        <v>15000</v>
      </c>
      <c r="G76" s="211">
        <f>G75+E76-F76</f>
        <v>18687175</v>
      </c>
      <c r="H76" s="278" t="s">
        <v>93</v>
      </c>
      <c r="K76" s="279"/>
      <c r="L76" s="279"/>
      <c r="N76" s="279"/>
    </row>
    <row r="77" spans="1:18" s="278" customFormat="1" ht="16.5">
      <c r="A77" s="277">
        <v>45173</v>
      </c>
      <c r="B77" s="278" t="s">
        <v>578</v>
      </c>
      <c r="C77" s="283" t="s">
        <v>75</v>
      </c>
      <c r="E77" s="211"/>
      <c r="F77" s="227">
        <v>17000</v>
      </c>
      <c r="G77" s="211">
        <f>G76+E77-F77</f>
        <v>18670175</v>
      </c>
      <c r="H77" s="278" t="s">
        <v>300</v>
      </c>
      <c r="J77" s="307"/>
      <c r="K77" s="307"/>
      <c r="L77" s="307"/>
      <c r="M77" s="307"/>
      <c r="N77" s="307"/>
      <c r="O77" s="307"/>
    </row>
    <row r="78" spans="1:18" s="278" customFormat="1" ht="14.45" customHeight="1">
      <c r="A78" s="277">
        <v>45173</v>
      </c>
      <c r="B78" s="278" t="s">
        <v>445</v>
      </c>
      <c r="C78" s="279" t="s">
        <v>174</v>
      </c>
      <c r="D78" s="279" t="s">
        <v>326</v>
      </c>
      <c r="F78" s="278">
        <v>500000</v>
      </c>
      <c r="G78" s="211">
        <f>+G76+E78-F78</f>
        <v>18187175</v>
      </c>
      <c r="H78" s="278" t="s">
        <v>148</v>
      </c>
      <c r="I78" s="283">
        <v>3667387</v>
      </c>
      <c r="J78" s="278" t="s">
        <v>102</v>
      </c>
      <c r="K78" s="278" t="s">
        <v>199</v>
      </c>
      <c r="L78" s="279" t="s">
        <v>631</v>
      </c>
      <c r="M78" s="291" t="s">
        <v>682</v>
      </c>
      <c r="N78" s="279" t="s">
        <v>649</v>
      </c>
      <c r="O78" s="279"/>
    </row>
    <row r="79" spans="1:18" s="278" customFormat="1" ht="14.45" customHeight="1">
      <c r="A79" s="277">
        <v>45173</v>
      </c>
      <c r="B79" s="278" t="s">
        <v>446</v>
      </c>
      <c r="C79" s="278" t="s">
        <v>170</v>
      </c>
      <c r="D79" s="278" t="s">
        <v>818</v>
      </c>
      <c r="F79" s="278">
        <v>320000</v>
      </c>
      <c r="G79" s="211">
        <f t="shared" ref="G79:G90" si="4">+G78+E79-F79</f>
        <v>17867175</v>
      </c>
      <c r="H79" s="278" t="s">
        <v>148</v>
      </c>
      <c r="I79" s="283">
        <v>3667388</v>
      </c>
      <c r="J79" s="278" t="s">
        <v>102</v>
      </c>
      <c r="K79" s="278" t="s">
        <v>199</v>
      </c>
      <c r="L79" s="290" t="s">
        <v>631</v>
      </c>
      <c r="M79" s="291" t="s">
        <v>683</v>
      </c>
      <c r="N79" s="279" t="s">
        <v>643</v>
      </c>
    </row>
    <row r="80" spans="1:18" s="278" customFormat="1" ht="14.45" customHeight="1">
      <c r="A80" s="277">
        <v>45173</v>
      </c>
      <c r="B80" s="278" t="s">
        <v>447</v>
      </c>
      <c r="C80" s="278" t="s">
        <v>170</v>
      </c>
      <c r="D80" s="278" t="s">
        <v>818</v>
      </c>
      <c r="F80" s="278">
        <v>240000</v>
      </c>
      <c r="G80" s="211">
        <f t="shared" si="4"/>
        <v>17627175</v>
      </c>
      <c r="H80" s="278" t="s">
        <v>148</v>
      </c>
      <c r="I80" s="283">
        <v>3667376</v>
      </c>
      <c r="J80" s="278" t="s">
        <v>102</v>
      </c>
      <c r="K80" s="278" t="s">
        <v>199</v>
      </c>
      <c r="L80" s="290" t="s">
        <v>631</v>
      </c>
      <c r="M80" s="291" t="s">
        <v>684</v>
      </c>
      <c r="N80" s="279" t="s">
        <v>643</v>
      </c>
    </row>
    <row r="81" spans="1:18" s="278" customFormat="1" ht="14.45" customHeight="1">
      <c r="A81" s="277">
        <v>45174</v>
      </c>
      <c r="B81" s="278" t="s">
        <v>637</v>
      </c>
      <c r="C81" s="279" t="s">
        <v>381</v>
      </c>
      <c r="D81" s="278" t="s">
        <v>154</v>
      </c>
      <c r="F81" s="278">
        <v>84000</v>
      </c>
      <c r="G81" s="211">
        <f t="shared" si="4"/>
        <v>17543175</v>
      </c>
      <c r="H81" s="290" t="s">
        <v>25</v>
      </c>
      <c r="I81" s="279" t="s">
        <v>328</v>
      </c>
      <c r="J81" s="278" t="s">
        <v>352</v>
      </c>
      <c r="K81" s="278" t="s">
        <v>198</v>
      </c>
      <c r="L81" s="278" t="s">
        <v>631</v>
      </c>
      <c r="N81" s="279"/>
    </row>
    <row r="82" spans="1:18" s="278" customFormat="1" ht="14.45" customHeight="1">
      <c r="A82" s="277">
        <v>45174</v>
      </c>
      <c r="B82" s="278" t="s">
        <v>372</v>
      </c>
      <c r="C82" s="279" t="s">
        <v>373</v>
      </c>
      <c r="D82" s="279" t="s">
        <v>326</v>
      </c>
      <c r="E82" s="211"/>
      <c r="F82" s="211">
        <v>3390</v>
      </c>
      <c r="G82" s="211">
        <f t="shared" si="4"/>
        <v>17539785</v>
      </c>
      <c r="H82" s="278" t="s">
        <v>25</v>
      </c>
      <c r="I82" s="279" t="s">
        <v>331</v>
      </c>
      <c r="J82" s="278" t="s">
        <v>102</v>
      </c>
      <c r="K82" s="278" t="s">
        <v>199</v>
      </c>
      <c r="L82" s="278" t="s">
        <v>631</v>
      </c>
      <c r="M82" s="291" t="s">
        <v>685</v>
      </c>
      <c r="N82" s="279" t="s">
        <v>632</v>
      </c>
    </row>
    <row r="83" spans="1:18" s="278" customFormat="1" ht="14.45" customHeight="1">
      <c r="A83" s="277">
        <v>45174</v>
      </c>
      <c r="B83" s="278" t="s">
        <v>382</v>
      </c>
      <c r="C83" s="279" t="s">
        <v>238</v>
      </c>
      <c r="D83" s="279" t="s">
        <v>326</v>
      </c>
      <c r="F83" s="278">
        <v>32000</v>
      </c>
      <c r="G83" s="211">
        <f t="shared" si="4"/>
        <v>17507785</v>
      </c>
      <c r="H83" s="278" t="s">
        <v>25</v>
      </c>
      <c r="I83" s="278" t="s">
        <v>328</v>
      </c>
      <c r="J83" s="278" t="s">
        <v>102</v>
      </c>
      <c r="K83" s="278" t="s">
        <v>199</v>
      </c>
      <c r="L83" s="278" t="s">
        <v>631</v>
      </c>
      <c r="M83" s="291" t="s">
        <v>686</v>
      </c>
      <c r="N83" s="279" t="s">
        <v>634</v>
      </c>
      <c r="O83" s="279"/>
    </row>
    <row r="84" spans="1:18" s="278" customFormat="1" ht="16.5">
      <c r="A84" s="277">
        <v>45174</v>
      </c>
      <c r="B84" s="278" t="s">
        <v>29</v>
      </c>
      <c r="C84" s="279" t="s">
        <v>75</v>
      </c>
      <c r="F84" s="278">
        <v>40000</v>
      </c>
      <c r="G84" s="211">
        <f t="shared" si="4"/>
        <v>17467785</v>
      </c>
      <c r="H84" s="278" t="s">
        <v>25</v>
      </c>
      <c r="J84" s="279"/>
      <c r="K84" s="279"/>
      <c r="L84" s="279"/>
      <c r="N84" s="279"/>
    </row>
    <row r="85" spans="1:18" s="278" customFormat="1" ht="16.5">
      <c r="A85" s="277">
        <v>45174</v>
      </c>
      <c r="B85" s="278" t="s">
        <v>268</v>
      </c>
      <c r="C85" s="279" t="s">
        <v>75</v>
      </c>
      <c r="E85" s="211"/>
      <c r="F85" s="278">
        <v>40000</v>
      </c>
      <c r="G85" s="211">
        <f t="shared" si="4"/>
        <v>17427785</v>
      </c>
      <c r="H85" s="278" t="s">
        <v>25</v>
      </c>
      <c r="I85" s="279"/>
      <c r="K85" s="279"/>
      <c r="L85" s="279"/>
      <c r="N85" s="279"/>
    </row>
    <row r="86" spans="1:18" s="278" customFormat="1" ht="16.5">
      <c r="A86" s="277">
        <v>45174</v>
      </c>
      <c r="B86" s="278" t="s">
        <v>329</v>
      </c>
      <c r="C86" s="278" t="s">
        <v>75</v>
      </c>
      <c r="F86" s="278">
        <v>54000</v>
      </c>
      <c r="G86" s="211">
        <f t="shared" si="4"/>
        <v>17373785</v>
      </c>
      <c r="H86" s="278" t="s">
        <v>25</v>
      </c>
      <c r="I86" s="279"/>
      <c r="N86" s="279"/>
      <c r="Q86" s="280"/>
      <c r="R86" s="280"/>
    </row>
    <row r="87" spans="1:18" s="278" customFormat="1" ht="14.45" customHeight="1">
      <c r="A87" s="277">
        <v>45174</v>
      </c>
      <c r="B87" s="278" t="s">
        <v>31</v>
      </c>
      <c r="C87" s="278" t="s">
        <v>75</v>
      </c>
      <c r="F87" s="286">
        <v>29000</v>
      </c>
      <c r="G87" s="211">
        <f t="shared" si="4"/>
        <v>17344785</v>
      </c>
      <c r="H87" s="290" t="s">
        <v>25</v>
      </c>
      <c r="I87" s="283"/>
      <c r="N87" s="279"/>
    </row>
    <row r="88" spans="1:18" s="278" customFormat="1" ht="16.5">
      <c r="A88" s="277">
        <v>45174</v>
      </c>
      <c r="B88" s="278" t="s">
        <v>317</v>
      </c>
      <c r="C88" s="279" t="s">
        <v>75</v>
      </c>
      <c r="E88" s="211"/>
      <c r="F88" s="220">
        <v>40000</v>
      </c>
      <c r="G88" s="211">
        <f t="shared" si="4"/>
        <v>17304785</v>
      </c>
      <c r="H88" s="279" t="s">
        <v>25</v>
      </c>
      <c r="K88" s="279"/>
      <c r="L88" s="279"/>
      <c r="Q88" s="280"/>
      <c r="R88" s="280"/>
    </row>
    <row r="89" spans="1:18" s="278" customFormat="1" ht="16.5">
      <c r="A89" s="277">
        <v>45174</v>
      </c>
      <c r="B89" s="279" t="s">
        <v>464</v>
      </c>
      <c r="C89" s="283" t="s">
        <v>75</v>
      </c>
      <c r="E89" s="279">
        <v>54000</v>
      </c>
      <c r="F89" s="279"/>
      <c r="G89" s="211">
        <f t="shared" si="4"/>
        <v>17358785</v>
      </c>
      <c r="H89" s="278" t="s">
        <v>47</v>
      </c>
      <c r="J89" s="279"/>
      <c r="K89" s="279"/>
      <c r="L89" s="279"/>
      <c r="N89" s="279"/>
      <c r="O89" s="279"/>
      <c r="P89" s="280"/>
      <c r="Q89" s="280"/>
      <c r="R89" s="280"/>
    </row>
    <row r="90" spans="1:18" s="278" customFormat="1" ht="16.5">
      <c r="A90" s="277">
        <v>45174</v>
      </c>
      <c r="B90" s="294" t="s">
        <v>346</v>
      </c>
      <c r="C90" s="283" t="s">
        <v>75</v>
      </c>
      <c r="E90" s="295">
        <v>29000</v>
      </c>
      <c r="F90" s="296"/>
      <c r="G90" s="211">
        <f t="shared" si="4"/>
        <v>17387785</v>
      </c>
      <c r="H90" s="278" t="s">
        <v>31</v>
      </c>
      <c r="J90" s="279"/>
      <c r="K90" s="290"/>
      <c r="L90" s="290"/>
      <c r="N90" s="279"/>
      <c r="P90" s="280"/>
      <c r="Q90" s="280"/>
      <c r="R90" s="280"/>
    </row>
    <row r="91" spans="1:18" s="278" customFormat="1" ht="16.5">
      <c r="A91" s="285">
        <v>45174</v>
      </c>
      <c r="B91" s="278" t="s">
        <v>340</v>
      </c>
      <c r="C91" s="283" t="s">
        <v>75</v>
      </c>
      <c r="E91" s="278">
        <v>40000</v>
      </c>
      <c r="G91" s="211">
        <f>G90+E91-F91</f>
        <v>17427785</v>
      </c>
      <c r="H91" s="278" t="s">
        <v>317</v>
      </c>
      <c r="J91" s="290"/>
      <c r="K91" s="290"/>
      <c r="L91" s="290"/>
      <c r="N91" s="279"/>
      <c r="P91" s="280"/>
      <c r="Q91" s="280"/>
      <c r="R91" s="280"/>
    </row>
    <row r="92" spans="1:18" s="278" customFormat="1" ht="16.5">
      <c r="A92" s="277">
        <v>45174</v>
      </c>
      <c r="B92" s="279" t="s">
        <v>350</v>
      </c>
      <c r="C92" s="283" t="s">
        <v>75</v>
      </c>
      <c r="E92" s="279">
        <v>40000</v>
      </c>
      <c r="F92" s="279"/>
      <c r="G92" s="289">
        <f>+G91+E92-F92</f>
        <v>17467785</v>
      </c>
      <c r="H92" s="279" t="s">
        <v>29</v>
      </c>
      <c r="I92" s="279"/>
      <c r="J92" s="279"/>
      <c r="K92" s="279"/>
      <c r="L92" s="279"/>
      <c r="M92" s="279"/>
      <c r="N92" s="279"/>
      <c r="O92" s="279"/>
      <c r="P92" s="280"/>
      <c r="Q92" s="280"/>
      <c r="R92" s="280"/>
    </row>
    <row r="93" spans="1:18" s="278" customFormat="1" ht="16.5">
      <c r="A93" s="277">
        <v>45174</v>
      </c>
      <c r="B93" s="278" t="s">
        <v>343</v>
      </c>
      <c r="C93" s="283" t="s">
        <v>75</v>
      </c>
      <c r="E93" s="307">
        <v>40000</v>
      </c>
      <c r="F93" s="307"/>
      <c r="G93" s="211">
        <f>G92+E93-F93</f>
        <v>17507785</v>
      </c>
      <c r="H93" s="278" t="s">
        <v>268</v>
      </c>
      <c r="J93" s="307"/>
      <c r="K93" s="307"/>
      <c r="L93" s="307"/>
      <c r="M93" s="307"/>
      <c r="N93" s="307"/>
      <c r="O93" s="307"/>
      <c r="P93" s="280"/>
      <c r="Q93" s="280"/>
      <c r="R93" s="280"/>
    </row>
    <row r="94" spans="1:18" s="278" customFormat="1" ht="16.5">
      <c r="A94" s="277">
        <v>45174</v>
      </c>
      <c r="B94" s="278" t="s">
        <v>559</v>
      </c>
      <c r="C94" s="279" t="s">
        <v>34</v>
      </c>
      <c r="D94" s="278" t="s">
        <v>818</v>
      </c>
      <c r="E94" s="211"/>
      <c r="F94" s="220">
        <v>10000</v>
      </c>
      <c r="G94" s="211">
        <f>G93+E94-F94</f>
        <v>17497785</v>
      </c>
      <c r="H94" s="278" t="s">
        <v>317</v>
      </c>
      <c r="I94" s="279" t="s">
        <v>349</v>
      </c>
      <c r="J94" s="278" t="s">
        <v>287</v>
      </c>
      <c r="K94" s="278" t="s">
        <v>198</v>
      </c>
      <c r="L94" s="278" t="s">
        <v>631</v>
      </c>
      <c r="M94" s="291"/>
      <c r="N94" s="279"/>
      <c r="P94" s="284"/>
      <c r="Q94" s="280"/>
      <c r="R94" s="280"/>
    </row>
    <row r="95" spans="1:18" s="278" customFormat="1" ht="16.5">
      <c r="A95" s="277">
        <v>45174</v>
      </c>
      <c r="B95" s="279" t="s">
        <v>594</v>
      </c>
      <c r="C95" s="279" t="s">
        <v>34</v>
      </c>
      <c r="D95" s="278" t="s">
        <v>818</v>
      </c>
      <c r="E95" s="279"/>
      <c r="F95" s="279">
        <v>8000</v>
      </c>
      <c r="G95" s="289">
        <f>+G94+E95-F95</f>
        <v>17489785</v>
      </c>
      <c r="H95" s="279" t="s">
        <v>29</v>
      </c>
      <c r="I95" s="279" t="s">
        <v>349</v>
      </c>
      <c r="J95" s="278" t="s">
        <v>102</v>
      </c>
      <c r="K95" s="278" t="s">
        <v>199</v>
      </c>
      <c r="L95" s="278" t="s">
        <v>631</v>
      </c>
      <c r="M95" s="291" t="s">
        <v>687</v>
      </c>
      <c r="N95" s="279" t="s">
        <v>651</v>
      </c>
      <c r="O95" s="279"/>
      <c r="P95" s="284"/>
      <c r="Q95" s="280"/>
      <c r="R95" s="280"/>
    </row>
    <row r="96" spans="1:18" s="278" customFormat="1" ht="16.5">
      <c r="A96" s="277">
        <v>45174</v>
      </c>
      <c r="B96" s="278" t="s">
        <v>611</v>
      </c>
      <c r="C96" s="278" t="s">
        <v>34</v>
      </c>
      <c r="D96" s="278" t="s">
        <v>818</v>
      </c>
      <c r="E96" s="307"/>
      <c r="F96" s="308">
        <v>8000</v>
      </c>
      <c r="G96" s="211">
        <f>G95+E96-F96</f>
        <v>17481785</v>
      </c>
      <c r="H96" s="278" t="s">
        <v>268</v>
      </c>
      <c r="I96" s="307" t="s">
        <v>328</v>
      </c>
      <c r="J96" s="278" t="s">
        <v>287</v>
      </c>
      <c r="K96" s="278" t="s">
        <v>199</v>
      </c>
      <c r="L96" s="278" t="s">
        <v>631</v>
      </c>
      <c r="M96" s="291" t="s">
        <v>688</v>
      </c>
      <c r="N96" s="279" t="s">
        <v>651</v>
      </c>
      <c r="O96" s="307"/>
    </row>
    <row r="97" spans="1:18" s="278" customFormat="1" ht="16.5">
      <c r="A97" s="277">
        <v>45175</v>
      </c>
      <c r="B97" s="290" t="s">
        <v>383</v>
      </c>
      <c r="C97" s="279" t="s">
        <v>373</v>
      </c>
      <c r="D97" s="279" t="s">
        <v>326</v>
      </c>
      <c r="E97" s="228"/>
      <c r="F97" s="228">
        <v>1620</v>
      </c>
      <c r="G97" s="211">
        <f t="shared" ref="G97:G102" si="5">+G96+E97-F97</f>
        <v>17480165</v>
      </c>
      <c r="H97" s="278" t="s">
        <v>25</v>
      </c>
      <c r="I97" s="278" t="s">
        <v>331</v>
      </c>
      <c r="J97" s="278" t="s">
        <v>102</v>
      </c>
      <c r="K97" s="278" t="s">
        <v>199</v>
      </c>
      <c r="L97" s="278" t="s">
        <v>631</v>
      </c>
      <c r="M97" s="291" t="s">
        <v>689</v>
      </c>
      <c r="N97" s="279" t="s">
        <v>632</v>
      </c>
    </row>
    <row r="98" spans="1:18" s="278" customFormat="1" ht="16.5">
      <c r="A98" s="277">
        <v>45175</v>
      </c>
      <c r="B98" s="278" t="s">
        <v>384</v>
      </c>
      <c r="C98" s="279" t="s">
        <v>385</v>
      </c>
      <c r="D98" s="279" t="s">
        <v>326</v>
      </c>
      <c r="E98" s="211"/>
      <c r="F98" s="211">
        <v>11000</v>
      </c>
      <c r="G98" s="211">
        <f t="shared" si="5"/>
        <v>17469165</v>
      </c>
      <c r="H98" s="278" t="s">
        <v>25</v>
      </c>
      <c r="I98" s="278" t="s">
        <v>328</v>
      </c>
      <c r="J98" s="279" t="s">
        <v>287</v>
      </c>
      <c r="K98" s="290" t="s">
        <v>198</v>
      </c>
      <c r="L98" s="290" t="s">
        <v>631</v>
      </c>
      <c r="N98" s="279"/>
    </row>
    <row r="99" spans="1:18" s="278" customFormat="1" ht="16.5" customHeight="1">
      <c r="A99" s="285">
        <v>45175</v>
      </c>
      <c r="B99" s="288" t="s">
        <v>332</v>
      </c>
      <c r="C99" s="279" t="s">
        <v>373</v>
      </c>
      <c r="D99" s="279" t="s">
        <v>326</v>
      </c>
      <c r="F99" s="227">
        <v>7470</v>
      </c>
      <c r="G99" s="211">
        <f t="shared" si="5"/>
        <v>17461695</v>
      </c>
      <c r="H99" s="278" t="s">
        <v>25</v>
      </c>
      <c r="I99" s="278" t="s">
        <v>331</v>
      </c>
      <c r="J99" s="278" t="s">
        <v>287</v>
      </c>
      <c r="K99" s="280" t="s">
        <v>198</v>
      </c>
      <c r="L99" s="278" t="s">
        <v>631</v>
      </c>
    </row>
    <row r="100" spans="1:18" s="278" customFormat="1" ht="16.5">
      <c r="A100" s="277">
        <v>45175</v>
      </c>
      <c r="B100" s="279" t="s">
        <v>31</v>
      </c>
      <c r="C100" s="279" t="s">
        <v>75</v>
      </c>
      <c r="E100" s="279"/>
      <c r="F100" s="279">
        <v>25000</v>
      </c>
      <c r="G100" s="211">
        <f t="shared" si="5"/>
        <v>17436695</v>
      </c>
      <c r="H100" s="278" t="s">
        <v>25</v>
      </c>
      <c r="J100" s="279"/>
      <c r="K100" s="279"/>
      <c r="L100" s="279"/>
      <c r="N100" s="279"/>
      <c r="O100" s="279"/>
    </row>
    <row r="101" spans="1:18" s="278" customFormat="1" ht="16.5">
      <c r="A101" s="277">
        <v>45175</v>
      </c>
      <c r="B101" s="288" t="s">
        <v>371</v>
      </c>
      <c r="C101" s="279" t="s">
        <v>75</v>
      </c>
      <c r="D101" s="292"/>
      <c r="E101" s="211"/>
      <c r="F101" s="211">
        <v>29000</v>
      </c>
      <c r="G101" s="211">
        <f t="shared" si="5"/>
        <v>17407695</v>
      </c>
      <c r="H101" s="278" t="s">
        <v>25</v>
      </c>
      <c r="J101" s="279"/>
      <c r="K101" s="279"/>
      <c r="L101" s="279"/>
    </row>
    <row r="102" spans="1:18" s="278" customFormat="1" ht="16.5">
      <c r="A102" s="285">
        <v>45175</v>
      </c>
      <c r="B102" s="288" t="s">
        <v>317</v>
      </c>
      <c r="C102" s="279" t="s">
        <v>75</v>
      </c>
      <c r="D102" s="279"/>
      <c r="F102" s="227">
        <v>249000</v>
      </c>
      <c r="G102" s="211">
        <f t="shared" si="5"/>
        <v>17158695</v>
      </c>
      <c r="H102" s="278" t="s">
        <v>25</v>
      </c>
      <c r="K102" s="280"/>
      <c r="P102" s="284"/>
      <c r="Q102" s="280"/>
      <c r="R102" s="280"/>
    </row>
    <row r="103" spans="1:18" s="278" customFormat="1" ht="16.5">
      <c r="A103" s="277">
        <v>45175</v>
      </c>
      <c r="B103" s="278" t="s">
        <v>345</v>
      </c>
      <c r="C103" s="283" t="s">
        <v>75</v>
      </c>
      <c r="E103" s="211">
        <v>29000</v>
      </c>
      <c r="F103" s="227"/>
      <c r="G103" s="211">
        <f>G102+E103-F103</f>
        <v>17187695</v>
      </c>
      <c r="H103" s="278" t="s">
        <v>299</v>
      </c>
      <c r="I103" s="279"/>
      <c r="N103" s="279"/>
      <c r="P103" s="284"/>
      <c r="Q103" s="280"/>
      <c r="R103" s="280"/>
    </row>
    <row r="104" spans="1:18" s="278" customFormat="1" ht="16.5">
      <c r="A104" s="281">
        <v>45175</v>
      </c>
      <c r="B104" s="279" t="s">
        <v>346</v>
      </c>
      <c r="C104" s="283" t="s">
        <v>75</v>
      </c>
      <c r="E104" s="278">
        <v>25000</v>
      </c>
      <c r="G104" s="211">
        <f>+G103+E104-F104</f>
        <v>17212695</v>
      </c>
      <c r="H104" s="278" t="s">
        <v>31</v>
      </c>
      <c r="Q104" s="280"/>
      <c r="R104" s="280"/>
    </row>
    <row r="105" spans="1:18" s="278" customFormat="1" ht="16.5">
      <c r="A105" s="277">
        <v>45175</v>
      </c>
      <c r="B105" s="279" t="s">
        <v>350</v>
      </c>
      <c r="C105" s="283" t="s">
        <v>75</v>
      </c>
      <c r="E105" s="279">
        <v>129000</v>
      </c>
      <c r="F105" s="279"/>
      <c r="G105" s="289">
        <f>+G104+E105-F105</f>
        <v>17341695</v>
      </c>
      <c r="H105" s="279" t="s">
        <v>29</v>
      </c>
      <c r="I105" s="279"/>
      <c r="J105" s="279"/>
      <c r="K105" s="279"/>
      <c r="L105" s="279"/>
      <c r="M105" s="279"/>
      <c r="N105" s="279"/>
      <c r="O105" s="279"/>
      <c r="P105" s="284"/>
      <c r="Q105" s="280"/>
      <c r="R105" s="280"/>
    </row>
    <row r="106" spans="1:18" s="278" customFormat="1" ht="16.5">
      <c r="A106" s="277">
        <v>45175</v>
      </c>
      <c r="B106" s="279" t="s">
        <v>466</v>
      </c>
      <c r="C106" s="279" t="s">
        <v>34</v>
      </c>
      <c r="D106" s="278" t="s">
        <v>2</v>
      </c>
      <c r="E106" s="211"/>
      <c r="F106" s="279">
        <v>15000</v>
      </c>
      <c r="G106" s="211">
        <f>+G105+E106-F106</f>
        <v>17326695</v>
      </c>
      <c r="H106" s="279" t="s">
        <v>47</v>
      </c>
      <c r="I106" s="278" t="s">
        <v>331</v>
      </c>
      <c r="J106" s="278" t="s">
        <v>102</v>
      </c>
      <c r="K106" s="278" t="s">
        <v>199</v>
      </c>
      <c r="L106" s="278" t="s">
        <v>631</v>
      </c>
      <c r="M106" s="291" t="s">
        <v>690</v>
      </c>
      <c r="N106" s="279" t="s">
        <v>651</v>
      </c>
    </row>
    <row r="107" spans="1:18" s="278" customFormat="1" ht="16.5">
      <c r="A107" s="281">
        <v>45175</v>
      </c>
      <c r="B107" s="279" t="s">
        <v>492</v>
      </c>
      <c r="C107" s="279" t="s">
        <v>238</v>
      </c>
      <c r="D107" s="278" t="s">
        <v>154</v>
      </c>
      <c r="F107" s="278">
        <v>7000</v>
      </c>
      <c r="G107" s="211">
        <f>G106+E107-F107</f>
        <v>17319695</v>
      </c>
      <c r="H107" s="278" t="s">
        <v>299</v>
      </c>
      <c r="I107" s="278" t="s">
        <v>328</v>
      </c>
      <c r="J107" s="278" t="s">
        <v>287</v>
      </c>
      <c r="K107" s="280" t="s">
        <v>198</v>
      </c>
      <c r="L107" s="278" t="s">
        <v>631</v>
      </c>
    </row>
    <row r="108" spans="1:18" s="278" customFormat="1" ht="16.5">
      <c r="A108" s="277">
        <v>45175</v>
      </c>
      <c r="B108" s="279" t="s">
        <v>493</v>
      </c>
      <c r="C108" s="279" t="s">
        <v>319</v>
      </c>
      <c r="D108" s="278" t="s">
        <v>154</v>
      </c>
      <c r="E108" s="279"/>
      <c r="F108" s="284">
        <v>15000</v>
      </c>
      <c r="G108" s="211">
        <f>G107+E108-F108</f>
        <v>17304695</v>
      </c>
      <c r="H108" s="278" t="s">
        <v>299</v>
      </c>
      <c r="I108" s="278" t="s">
        <v>328</v>
      </c>
      <c r="J108" s="278" t="s">
        <v>102</v>
      </c>
      <c r="K108" s="278" t="s">
        <v>199</v>
      </c>
      <c r="L108" s="278" t="s">
        <v>631</v>
      </c>
      <c r="M108" s="291" t="s">
        <v>691</v>
      </c>
      <c r="N108" s="279" t="s">
        <v>651</v>
      </c>
      <c r="O108" s="279"/>
    </row>
    <row r="109" spans="1:18" s="278" customFormat="1" ht="14.45" customHeight="1">
      <c r="A109" s="277">
        <v>45175</v>
      </c>
      <c r="B109" s="279" t="s">
        <v>347</v>
      </c>
      <c r="C109" s="279" t="s">
        <v>34</v>
      </c>
      <c r="D109" s="278" t="s">
        <v>155</v>
      </c>
      <c r="E109" s="279"/>
      <c r="F109" s="284">
        <v>15000</v>
      </c>
      <c r="G109" s="211">
        <f>+G108+E109-F109</f>
        <v>17289695</v>
      </c>
      <c r="H109" s="278" t="s">
        <v>31</v>
      </c>
      <c r="I109" s="278" t="s">
        <v>328</v>
      </c>
      <c r="J109" s="278" t="s">
        <v>102</v>
      </c>
      <c r="K109" s="278" t="s">
        <v>199</v>
      </c>
      <c r="L109" s="278" t="s">
        <v>631</v>
      </c>
      <c r="M109" s="291" t="s">
        <v>692</v>
      </c>
      <c r="N109" s="279" t="s">
        <v>651</v>
      </c>
      <c r="O109" s="279"/>
    </row>
    <row r="110" spans="1:18" s="278" customFormat="1" ht="16.5">
      <c r="A110" s="277">
        <v>45175</v>
      </c>
      <c r="B110" s="278" t="s">
        <v>560</v>
      </c>
      <c r="C110" s="279" t="s">
        <v>301</v>
      </c>
      <c r="D110" s="278" t="s">
        <v>818</v>
      </c>
      <c r="E110" s="211"/>
      <c r="F110" s="211">
        <v>80000</v>
      </c>
      <c r="G110" s="211">
        <f>G109+E110-F110</f>
        <v>17209695</v>
      </c>
      <c r="H110" s="278" t="s">
        <v>317</v>
      </c>
      <c r="I110" s="278" t="s">
        <v>337</v>
      </c>
      <c r="J110" s="278" t="s">
        <v>819</v>
      </c>
      <c r="K110" s="278" t="s">
        <v>198</v>
      </c>
      <c r="L110" s="278" t="s">
        <v>631</v>
      </c>
      <c r="M110" s="291"/>
    </row>
    <row r="111" spans="1:18" s="278" customFormat="1" ht="16.5">
      <c r="A111" s="277">
        <v>45175</v>
      </c>
      <c r="B111" s="279" t="s">
        <v>595</v>
      </c>
      <c r="C111" s="279" t="s">
        <v>301</v>
      </c>
      <c r="D111" s="278" t="s">
        <v>818</v>
      </c>
      <c r="E111" s="279"/>
      <c r="F111" s="279">
        <v>110000</v>
      </c>
      <c r="G111" s="289">
        <f>+G110+E111-F111</f>
        <v>17099695</v>
      </c>
      <c r="H111" s="279" t="s">
        <v>29</v>
      </c>
      <c r="I111" s="278" t="s">
        <v>337</v>
      </c>
      <c r="J111" s="278" t="s">
        <v>819</v>
      </c>
      <c r="K111" s="278" t="s">
        <v>199</v>
      </c>
      <c r="L111" s="278" t="s">
        <v>631</v>
      </c>
      <c r="M111" s="291" t="s">
        <v>813</v>
      </c>
      <c r="N111" s="278" t="s">
        <v>652</v>
      </c>
      <c r="O111" s="279"/>
    </row>
    <row r="112" spans="1:18" s="278" customFormat="1" ht="16.5">
      <c r="A112" s="277">
        <v>45175</v>
      </c>
      <c r="B112" s="278" t="s">
        <v>612</v>
      </c>
      <c r="C112" s="278" t="s">
        <v>338</v>
      </c>
      <c r="D112" s="278" t="s">
        <v>818</v>
      </c>
      <c r="E112" s="307"/>
      <c r="F112" s="308">
        <v>110000</v>
      </c>
      <c r="G112" s="211">
        <f>G111+E112-F112</f>
        <v>16989695</v>
      </c>
      <c r="H112" s="278" t="s">
        <v>268</v>
      </c>
      <c r="I112" s="278" t="s">
        <v>337</v>
      </c>
      <c r="J112" s="278" t="s">
        <v>819</v>
      </c>
      <c r="K112" s="278" t="s">
        <v>199</v>
      </c>
      <c r="L112" s="278" t="s">
        <v>631</v>
      </c>
      <c r="M112" s="291" t="s">
        <v>693</v>
      </c>
      <c r="N112" s="278" t="s">
        <v>652</v>
      </c>
      <c r="O112" s="307"/>
    </row>
    <row r="113" spans="1:15" s="278" customFormat="1" ht="16.5">
      <c r="A113" s="277">
        <v>45176</v>
      </c>
      <c r="B113" s="278" t="s">
        <v>386</v>
      </c>
      <c r="C113" s="279" t="s">
        <v>174</v>
      </c>
      <c r="D113" s="279" t="s">
        <v>326</v>
      </c>
      <c r="E113" s="211"/>
      <c r="F113" s="211">
        <v>49436</v>
      </c>
      <c r="G113" s="211">
        <f>+G112+E113-F113</f>
        <v>16940259</v>
      </c>
      <c r="H113" s="279" t="s">
        <v>25</v>
      </c>
      <c r="I113" s="278" t="s">
        <v>328</v>
      </c>
      <c r="J113" s="278" t="s">
        <v>102</v>
      </c>
      <c r="K113" s="278" t="s">
        <v>199</v>
      </c>
      <c r="L113" s="278" t="s">
        <v>631</v>
      </c>
      <c r="M113" s="291" t="s">
        <v>694</v>
      </c>
      <c r="N113" s="279" t="s">
        <v>635</v>
      </c>
    </row>
    <row r="114" spans="1:15" s="278" customFormat="1" ht="16.5">
      <c r="A114" s="277">
        <v>45176</v>
      </c>
      <c r="B114" s="290" t="s">
        <v>387</v>
      </c>
      <c r="C114" s="279" t="s">
        <v>174</v>
      </c>
      <c r="D114" s="279" t="s">
        <v>326</v>
      </c>
      <c r="E114" s="228"/>
      <c r="F114" s="228">
        <v>10392</v>
      </c>
      <c r="G114" s="211">
        <f>+G113+E114-F114</f>
        <v>16929867</v>
      </c>
      <c r="H114" s="290" t="s">
        <v>25</v>
      </c>
      <c r="I114" s="278" t="s">
        <v>328</v>
      </c>
      <c r="J114" s="279" t="s">
        <v>287</v>
      </c>
      <c r="K114" s="290" t="s">
        <v>198</v>
      </c>
      <c r="L114" s="290" t="s">
        <v>631</v>
      </c>
    </row>
    <row r="115" spans="1:15" s="278" customFormat="1" ht="16.5">
      <c r="A115" s="277">
        <v>45176</v>
      </c>
      <c r="B115" s="279" t="s">
        <v>388</v>
      </c>
      <c r="C115" s="279" t="s">
        <v>373</v>
      </c>
      <c r="D115" s="279" t="s">
        <v>326</v>
      </c>
      <c r="E115" s="279"/>
      <c r="F115" s="282">
        <f>3870*2</f>
        <v>7740</v>
      </c>
      <c r="G115" s="211">
        <f>+G114+E115-F115</f>
        <v>16922127</v>
      </c>
      <c r="H115" s="279" t="s">
        <v>25</v>
      </c>
      <c r="I115" s="278" t="s">
        <v>328</v>
      </c>
      <c r="J115" s="278" t="s">
        <v>102</v>
      </c>
      <c r="K115" s="278" t="s">
        <v>199</v>
      </c>
      <c r="L115" s="278" t="s">
        <v>631</v>
      </c>
      <c r="M115" s="291" t="s">
        <v>695</v>
      </c>
      <c r="N115" s="279" t="s">
        <v>632</v>
      </c>
      <c r="O115" s="279"/>
    </row>
    <row r="116" spans="1:15" s="278" customFormat="1" ht="16.5">
      <c r="A116" s="277">
        <v>45176</v>
      </c>
      <c r="B116" s="278" t="s">
        <v>29</v>
      </c>
      <c r="C116" s="279" t="s">
        <v>75</v>
      </c>
      <c r="E116" s="211"/>
      <c r="F116" s="211">
        <v>129000</v>
      </c>
      <c r="G116" s="211">
        <f>+G115+E116-F116</f>
        <v>16793127</v>
      </c>
      <c r="H116" s="278" t="s">
        <v>25</v>
      </c>
      <c r="K116" s="279"/>
      <c r="L116" s="279"/>
      <c r="N116" s="279"/>
    </row>
    <row r="117" spans="1:15" s="278" customFormat="1" ht="16.5">
      <c r="A117" s="277">
        <v>45176</v>
      </c>
      <c r="B117" s="278" t="s">
        <v>268</v>
      </c>
      <c r="C117" s="279" t="s">
        <v>75</v>
      </c>
      <c r="E117" s="211"/>
      <c r="F117" s="211">
        <v>129000</v>
      </c>
      <c r="G117" s="211">
        <f>+G116+E117-F117</f>
        <v>16664127</v>
      </c>
      <c r="H117" s="279" t="s">
        <v>25</v>
      </c>
      <c r="N117" s="279"/>
    </row>
    <row r="118" spans="1:15" s="278" customFormat="1" ht="16.5">
      <c r="A118" s="281">
        <v>45176</v>
      </c>
      <c r="B118" s="279" t="s">
        <v>340</v>
      </c>
      <c r="C118" s="283" t="s">
        <v>75</v>
      </c>
      <c r="E118" s="279">
        <v>249000</v>
      </c>
      <c r="F118" s="282"/>
      <c r="G118" s="211">
        <f>G117+E118-F118</f>
        <v>16913127</v>
      </c>
      <c r="H118" s="279" t="s">
        <v>317</v>
      </c>
      <c r="I118" s="279"/>
      <c r="N118" s="279"/>
      <c r="O118" s="279"/>
    </row>
    <row r="119" spans="1:15" s="278" customFormat="1" ht="16.5">
      <c r="A119" s="277">
        <v>45176</v>
      </c>
      <c r="B119" s="278" t="s">
        <v>343</v>
      </c>
      <c r="C119" s="283" t="s">
        <v>75</v>
      </c>
      <c r="E119" s="307">
        <v>129000</v>
      </c>
      <c r="F119" s="308"/>
      <c r="G119" s="211">
        <f>G118+E119-F119</f>
        <v>17042127</v>
      </c>
      <c r="H119" s="278" t="s">
        <v>268</v>
      </c>
      <c r="J119" s="307"/>
      <c r="K119" s="307"/>
      <c r="L119" s="307"/>
      <c r="M119" s="307"/>
      <c r="N119" s="307"/>
      <c r="O119" s="307"/>
    </row>
    <row r="120" spans="1:15" s="278" customFormat="1" ht="16.5">
      <c r="A120" s="277">
        <v>45176</v>
      </c>
      <c r="B120" s="278" t="s">
        <v>440</v>
      </c>
      <c r="C120" s="279" t="s">
        <v>335</v>
      </c>
      <c r="D120" s="279" t="s">
        <v>326</v>
      </c>
      <c r="F120" s="286">
        <v>23345</v>
      </c>
      <c r="G120" s="211">
        <f>+G119+E120-F120</f>
        <v>17018782</v>
      </c>
      <c r="H120" s="278" t="s">
        <v>24</v>
      </c>
      <c r="I120" s="283" t="s">
        <v>334</v>
      </c>
      <c r="J120" s="278" t="s">
        <v>287</v>
      </c>
      <c r="K120" s="279" t="s">
        <v>198</v>
      </c>
      <c r="L120" s="279" t="s">
        <v>631</v>
      </c>
      <c r="N120" s="279"/>
      <c r="O120" s="279"/>
    </row>
    <row r="121" spans="1:15" s="278" customFormat="1" ht="16.5">
      <c r="A121" s="277">
        <v>45176</v>
      </c>
      <c r="B121" s="278" t="s">
        <v>814</v>
      </c>
      <c r="C121" s="279" t="s">
        <v>301</v>
      </c>
      <c r="D121" s="278" t="s">
        <v>2</v>
      </c>
      <c r="E121" s="211"/>
      <c r="F121" s="211">
        <v>105000</v>
      </c>
      <c r="G121" s="211">
        <f>+G120+E121-F121</f>
        <v>16913782</v>
      </c>
      <c r="H121" s="278" t="s">
        <v>47</v>
      </c>
      <c r="I121" s="278" t="s">
        <v>331</v>
      </c>
      <c r="J121" s="278" t="s">
        <v>102</v>
      </c>
      <c r="K121" s="278" t="s">
        <v>199</v>
      </c>
      <c r="L121" s="278" t="s">
        <v>631</v>
      </c>
      <c r="M121" s="291" t="s">
        <v>696</v>
      </c>
      <c r="N121" s="278" t="s">
        <v>652</v>
      </c>
    </row>
    <row r="122" spans="1:15" s="278" customFormat="1" ht="16.5">
      <c r="A122" s="281">
        <v>45176</v>
      </c>
      <c r="B122" s="278" t="s">
        <v>494</v>
      </c>
      <c r="C122" s="279" t="s">
        <v>301</v>
      </c>
      <c r="D122" s="278" t="s">
        <v>154</v>
      </c>
      <c r="F122" s="279">
        <v>60000</v>
      </c>
      <c r="G122" s="211">
        <f>G121+E122-F122</f>
        <v>16853782</v>
      </c>
      <c r="H122" s="280" t="s">
        <v>299</v>
      </c>
      <c r="I122" s="278" t="s">
        <v>328</v>
      </c>
      <c r="J122" s="278" t="s">
        <v>102</v>
      </c>
      <c r="K122" s="278" t="s">
        <v>199</v>
      </c>
      <c r="L122" s="278" t="s">
        <v>631</v>
      </c>
      <c r="M122" s="291" t="s">
        <v>697</v>
      </c>
      <c r="N122" s="278" t="s">
        <v>652</v>
      </c>
      <c r="O122" s="279"/>
    </row>
    <row r="123" spans="1:15" s="278" customFormat="1" ht="16.5">
      <c r="A123" s="277">
        <v>45176</v>
      </c>
      <c r="B123" s="290" t="s">
        <v>522</v>
      </c>
      <c r="C123" s="279" t="s">
        <v>301</v>
      </c>
      <c r="D123" s="278" t="s">
        <v>155</v>
      </c>
      <c r="E123" s="228"/>
      <c r="F123" s="228">
        <v>105000</v>
      </c>
      <c r="G123" s="211">
        <f>+G122+E123-F123</f>
        <v>16748782</v>
      </c>
      <c r="H123" s="278" t="s">
        <v>31</v>
      </c>
      <c r="I123" s="279" t="s">
        <v>328</v>
      </c>
      <c r="J123" s="278" t="s">
        <v>287</v>
      </c>
      <c r="K123" s="278" t="s">
        <v>199</v>
      </c>
      <c r="L123" s="278" t="s">
        <v>631</v>
      </c>
      <c r="M123" s="291" t="s">
        <v>698</v>
      </c>
      <c r="N123" s="278" t="s">
        <v>652</v>
      </c>
    </row>
    <row r="124" spans="1:15" s="278" customFormat="1" ht="16.5">
      <c r="A124" s="285">
        <v>45176</v>
      </c>
      <c r="B124" s="279" t="s">
        <v>561</v>
      </c>
      <c r="C124" s="279" t="s">
        <v>301</v>
      </c>
      <c r="D124" s="278" t="s">
        <v>818</v>
      </c>
      <c r="E124" s="279"/>
      <c r="F124" s="279">
        <v>15000</v>
      </c>
      <c r="G124" s="211">
        <f>G123+E124-F124</f>
        <v>16733782</v>
      </c>
      <c r="H124" s="279" t="s">
        <v>317</v>
      </c>
      <c r="I124" s="279" t="s">
        <v>328</v>
      </c>
      <c r="J124" s="278" t="s">
        <v>819</v>
      </c>
      <c r="K124" s="278" t="s">
        <v>198</v>
      </c>
      <c r="L124" s="278" t="s">
        <v>631</v>
      </c>
      <c r="M124" s="291"/>
      <c r="O124" s="279"/>
    </row>
    <row r="125" spans="1:15" s="278" customFormat="1" ht="16.5">
      <c r="A125" s="281">
        <v>45176</v>
      </c>
      <c r="B125" s="278" t="s">
        <v>562</v>
      </c>
      <c r="C125" s="279" t="s">
        <v>34</v>
      </c>
      <c r="D125" s="278" t="s">
        <v>818</v>
      </c>
      <c r="E125" s="193"/>
      <c r="F125" s="211">
        <v>15000</v>
      </c>
      <c r="G125" s="211">
        <f>G124+E125-F125</f>
        <v>16718782</v>
      </c>
      <c r="H125" s="211" t="s">
        <v>317</v>
      </c>
      <c r="I125" s="278" t="s">
        <v>328</v>
      </c>
      <c r="J125" s="278" t="s">
        <v>287</v>
      </c>
      <c r="K125" s="278" t="s">
        <v>198</v>
      </c>
      <c r="L125" s="278" t="s">
        <v>631</v>
      </c>
      <c r="M125" s="291"/>
      <c r="N125" s="279"/>
    </row>
    <row r="126" spans="1:15" s="278" customFormat="1" ht="16.5">
      <c r="A126" s="277">
        <v>45177</v>
      </c>
      <c r="B126" s="290" t="s">
        <v>390</v>
      </c>
      <c r="C126" s="290" t="s">
        <v>229</v>
      </c>
      <c r="D126" s="278" t="s">
        <v>154</v>
      </c>
      <c r="E126" s="228"/>
      <c r="F126" s="228">
        <v>50000</v>
      </c>
      <c r="G126" s="211">
        <f t="shared" ref="G126:G133" si="6">+G125+E126-F126</f>
        <v>16668782</v>
      </c>
      <c r="H126" s="290" t="s">
        <v>25</v>
      </c>
      <c r="I126" s="278" t="s">
        <v>337</v>
      </c>
      <c r="J126" s="278" t="s">
        <v>287</v>
      </c>
      <c r="K126" s="279" t="s">
        <v>198</v>
      </c>
      <c r="L126" s="279" t="s">
        <v>631</v>
      </c>
      <c r="M126" s="290"/>
      <c r="N126" s="290"/>
    </row>
    <row r="127" spans="1:15" s="278" customFormat="1" ht="16.5">
      <c r="A127" s="277">
        <v>45177</v>
      </c>
      <c r="B127" s="278" t="s">
        <v>391</v>
      </c>
      <c r="C127" s="279" t="s">
        <v>229</v>
      </c>
      <c r="D127" s="278" t="s">
        <v>154</v>
      </c>
      <c r="F127" s="278">
        <v>20000</v>
      </c>
      <c r="G127" s="211">
        <f t="shared" si="6"/>
        <v>16648782</v>
      </c>
      <c r="H127" s="279" t="s">
        <v>25</v>
      </c>
      <c r="I127" s="278" t="s">
        <v>337</v>
      </c>
      <c r="J127" s="278" t="s">
        <v>287</v>
      </c>
      <c r="K127" s="279" t="s">
        <v>198</v>
      </c>
      <c r="L127" s="279" t="s">
        <v>631</v>
      </c>
      <c r="N127" s="279"/>
    </row>
    <row r="128" spans="1:15" s="278" customFormat="1" ht="16.5">
      <c r="A128" s="287">
        <v>45177</v>
      </c>
      <c r="B128" s="278" t="s">
        <v>392</v>
      </c>
      <c r="C128" s="279" t="s">
        <v>229</v>
      </c>
      <c r="D128" s="278" t="s">
        <v>155</v>
      </c>
      <c r="E128" s="280"/>
      <c r="F128" s="278">
        <v>20000</v>
      </c>
      <c r="G128" s="211">
        <f t="shared" si="6"/>
        <v>16628782</v>
      </c>
      <c r="H128" s="279" t="s">
        <v>25</v>
      </c>
      <c r="I128" s="278" t="s">
        <v>337</v>
      </c>
      <c r="J128" s="278" t="s">
        <v>287</v>
      </c>
      <c r="K128" s="279" t="s">
        <v>198</v>
      </c>
      <c r="L128" s="279" t="s">
        <v>631</v>
      </c>
      <c r="N128" s="279"/>
      <c r="O128" s="279"/>
    </row>
    <row r="129" spans="1:15" s="278" customFormat="1" ht="16.5">
      <c r="A129" s="277">
        <v>45177</v>
      </c>
      <c r="B129" s="278" t="s">
        <v>638</v>
      </c>
      <c r="C129" s="279" t="s">
        <v>381</v>
      </c>
      <c r="D129" s="278" t="s">
        <v>154</v>
      </c>
      <c r="F129" s="278">
        <v>86000</v>
      </c>
      <c r="G129" s="211">
        <f t="shared" si="6"/>
        <v>16542782</v>
      </c>
      <c r="H129" s="290" t="s">
        <v>25</v>
      </c>
      <c r="I129" s="279" t="s">
        <v>328</v>
      </c>
      <c r="J129" s="278" t="s">
        <v>352</v>
      </c>
      <c r="K129" s="278" t="s">
        <v>198</v>
      </c>
      <c r="L129" s="278" t="s">
        <v>631</v>
      </c>
      <c r="N129" s="279"/>
    </row>
    <row r="130" spans="1:15" s="278" customFormat="1" ht="16.5">
      <c r="A130" s="277">
        <v>45177</v>
      </c>
      <c r="B130" s="290" t="s">
        <v>393</v>
      </c>
      <c r="C130" s="290" t="s">
        <v>229</v>
      </c>
      <c r="D130" s="278" t="s">
        <v>155</v>
      </c>
      <c r="E130" s="228"/>
      <c r="F130" s="228">
        <v>150000</v>
      </c>
      <c r="G130" s="211">
        <f t="shared" si="6"/>
        <v>16392782</v>
      </c>
      <c r="H130" s="290" t="s">
        <v>25</v>
      </c>
      <c r="I130" s="278" t="s">
        <v>337</v>
      </c>
      <c r="J130" s="278" t="s">
        <v>287</v>
      </c>
      <c r="K130" s="279" t="s">
        <v>198</v>
      </c>
      <c r="L130" s="279" t="s">
        <v>631</v>
      </c>
      <c r="M130" s="290"/>
      <c r="N130" s="290"/>
    </row>
    <row r="131" spans="1:15" s="278" customFormat="1" ht="16.5">
      <c r="A131" s="285">
        <v>45177</v>
      </c>
      <c r="B131" s="300" t="s">
        <v>389</v>
      </c>
      <c r="C131" s="279" t="s">
        <v>75</v>
      </c>
      <c r="E131" s="300">
        <v>2000000</v>
      </c>
      <c r="F131" s="300"/>
      <c r="G131" s="211">
        <f t="shared" si="6"/>
        <v>18392782</v>
      </c>
      <c r="H131" s="278" t="s">
        <v>25</v>
      </c>
      <c r="J131" s="279"/>
      <c r="K131" s="279"/>
      <c r="L131" s="279"/>
      <c r="N131" s="279"/>
      <c r="O131" s="300"/>
    </row>
    <row r="132" spans="1:15" s="278" customFormat="1" ht="16.5">
      <c r="A132" s="281">
        <v>45177</v>
      </c>
      <c r="B132" s="279" t="s">
        <v>197</v>
      </c>
      <c r="C132" s="279" t="s">
        <v>75</v>
      </c>
      <c r="E132" s="279"/>
      <c r="F132" s="279">
        <v>97000</v>
      </c>
      <c r="G132" s="211">
        <f t="shared" si="6"/>
        <v>18295782</v>
      </c>
      <c r="H132" s="279" t="s">
        <v>25</v>
      </c>
      <c r="J132" s="279"/>
      <c r="K132" s="279"/>
      <c r="L132" s="279"/>
      <c r="N132" s="279"/>
      <c r="O132" s="279"/>
    </row>
    <row r="133" spans="1:15" s="278" customFormat="1" ht="16.5">
      <c r="A133" s="277">
        <v>45177</v>
      </c>
      <c r="B133" s="278" t="s">
        <v>441</v>
      </c>
      <c r="C133" s="278" t="s">
        <v>75</v>
      </c>
      <c r="F133" s="286">
        <v>2000000</v>
      </c>
      <c r="G133" s="211">
        <f t="shared" si="6"/>
        <v>16295782</v>
      </c>
      <c r="H133" s="278" t="s">
        <v>24</v>
      </c>
      <c r="I133" s="283">
        <v>3654568</v>
      </c>
      <c r="K133" s="279"/>
      <c r="L133" s="279"/>
      <c r="N133" s="279"/>
    </row>
    <row r="134" spans="1:15" s="278" customFormat="1" ht="16.5">
      <c r="A134" s="287">
        <v>45177</v>
      </c>
      <c r="B134" s="278" t="s">
        <v>339</v>
      </c>
      <c r="C134" s="283" t="s">
        <v>75</v>
      </c>
      <c r="E134" s="211">
        <v>97000</v>
      </c>
      <c r="F134" s="211"/>
      <c r="G134" s="211">
        <f>G133+E134-F134</f>
        <v>16392782</v>
      </c>
      <c r="H134" s="278" t="s">
        <v>197</v>
      </c>
      <c r="J134" s="279"/>
      <c r="K134" s="290"/>
      <c r="L134" s="290"/>
      <c r="N134" s="279"/>
    </row>
    <row r="135" spans="1:15" s="278" customFormat="1" ht="16.5">
      <c r="A135" s="301">
        <v>45177</v>
      </c>
      <c r="B135" s="278" t="s">
        <v>533</v>
      </c>
      <c r="C135" s="279" t="s">
        <v>34</v>
      </c>
      <c r="D135" s="292" t="s">
        <v>154</v>
      </c>
      <c r="F135" s="296">
        <v>15000</v>
      </c>
      <c r="G135" s="211">
        <f>G134+E135-F135</f>
        <v>16377782</v>
      </c>
      <c r="H135" s="294" t="s">
        <v>197</v>
      </c>
      <c r="I135" s="294" t="s">
        <v>331</v>
      </c>
      <c r="J135" s="278" t="s">
        <v>102</v>
      </c>
      <c r="K135" s="278" t="s">
        <v>199</v>
      </c>
      <c r="L135" s="278" t="s">
        <v>631</v>
      </c>
      <c r="M135" s="291" t="s">
        <v>699</v>
      </c>
      <c r="N135" s="279" t="s">
        <v>651</v>
      </c>
    </row>
    <row r="136" spans="1:15" s="278" customFormat="1" ht="16.5">
      <c r="A136" s="277">
        <v>45178</v>
      </c>
      <c r="B136" s="278" t="s">
        <v>579</v>
      </c>
      <c r="C136" s="283" t="s">
        <v>75</v>
      </c>
      <c r="E136" s="211">
        <v>155000</v>
      </c>
      <c r="F136" s="211"/>
      <c r="G136" s="211">
        <f>G135+E136-F136</f>
        <v>16532782</v>
      </c>
      <c r="H136" s="278" t="s">
        <v>300</v>
      </c>
      <c r="J136" s="307"/>
      <c r="K136" s="307"/>
      <c r="L136" s="307"/>
      <c r="M136" s="307"/>
      <c r="N136" s="307"/>
      <c r="O136" s="307"/>
    </row>
    <row r="137" spans="1:15" s="278" customFormat="1" ht="16.5">
      <c r="A137" s="277">
        <v>45178</v>
      </c>
      <c r="B137" s="278" t="s">
        <v>580</v>
      </c>
      <c r="C137" s="278" t="s">
        <v>34</v>
      </c>
      <c r="D137" s="278" t="s">
        <v>154</v>
      </c>
      <c r="E137" s="211"/>
      <c r="F137" s="211">
        <v>8000</v>
      </c>
      <c r="G137" s="211">
        <f>G136+E137-F137</f>
        <v>16524782</v>
      </c>
      <c r="H137" s="278" t="s">
        <v>300</v>
      </c>
      <c r="I137" s="278" t="s">
        <v>328</v>
      </c>
      <c r="J137" s="278" t="s">
        <v>287</v>
      </c>
      <c r="K137" s="278" t="s">
        <v>199</v>
      </c>
      <c r="L137" s="278" t="s">
        <v>631</v>
      </c>
      <c r="M137" s="291" t="s">
        <v>700</v>
      </c>
      <c r="N137" s="279" t="s">
        <v>651</v>
      </c>
      <c r="O137" s="307"/>
    </row>
    <row r="138" spans="1:15" s="278" customFormat="1" ht="16.5">
      <c r="A138" s="301">
        <v>45179</v>
      </c>
      <c r="B138" s="278" t="s">
        <v>394</v>
      </c>
      <c r="C138" s="278" t="s">
        <v>229</v>
      </c>
      <c r="D138" s="278" t="s">
        <v>395</v>
      </c>
      <c r="E138" s="296"/>
      <c r="F138" s="296">
        <v>50000</v>
      </c>
      <c r="G138" s="211">
        <f t="shared" ref="G138:G149" si="7">+G137+E138-F138</f>
        <v>16474782</v>
      </c>
      <c r="H138" s="294" t="s">
        <v>25</v>
      </c>
      <c r="I138" s="278" t="s">
        <v>337</v>
      </c>
      <c r="J138" s="278" t="s">
        <v>287</v>
      </c>
      <c r="K138" s="279" t="s">
        <v>198</v>
      </c>
      <c r="L138" s="279" t="s">
        <v>631</v>
      </c>
    </row>
    <row r="139" spans="1:15" s="278" customFormat="1" ht="16.5">
      <c r="A139" s="277">
        <v>45179</v>
      </c>
      <c r="B139" s="278" t="s">
        <v>396</v>
      </c>
      <c r="C139" s="279" t="s">
        <v>229</v>
      </c>
      <c r="D139" s="278" t="s">
        <v>395</v>
      </c>
      <c r="E139" s="211"/>
      <c r="F139" s="211">
        <v>20000</v>
      </c>
      <c r="G139" s="211">
        <f t="shared" si="7"/>
        <v>16454782</v>
      </c>
      <c r="H139" s="278" t="s">
        <v>25</v>
      </c>
      <c r="I139" s="278" t="s">
        <v>337</v>
      </c>
      <c r="J139" s="278" t="s">
        <v>287</v>
      </c>
      <c r="K139" s="279" t="s">
        <v>198</v>
      </c>
      <c r="L139" s="279" t="s">
        <v>631</v>
      </c>
      <c r="N139" s="279"/>
    </row>
    <row r="140" spans="1:15" s="278" customFormat="1" ht="16.5">
      <c r="A140" s="277">
        <v>45179</v>
      </c>
      <c r="B140" s="278" t="s">
        <v>397</v>
      </c>
      <c r="C140" s="279" t="s">
        <v>229</v>
      </c>
      <c r="D140" s="278" t="s">
        <v>395</v>
      </c>
      <c r="F140" s="278">
        <v>20000</v>
      </c>
      <c r="G140" s="211">
        <f t="shared" si="7"/>
        <v>16434782</v>
      </c>
      <c r="H140" s="279" t="s">
        <v>25</v>
      </c>
      <c r="I140" s="278" t="s">
        <v>337</v>
      </c>
      <c r="J140" s="278" t="s">
        <v>287</v>
      </c>
      <c r="K140" s="279" t="s">
        <v>198</v>
      </c>
      <c r="L140" s="279" t="s">
        <v>631</v>
      </c>
      <c r="N140" s="279"/>
    </row>
    <row r="141" spans="1:15" s="278" customFormat="1" ht="16.5">
      <c r="A141" s="277">
        <v>45179</v>
      </c>
      <c r="B141" s="279" t="s">
        <v>398</v>
      </c>
      <c r="C141" s="279" t="s">
        <v>229</v>
      </c>
      <c r="D141" s="278" t="s">
        <v>395</v>
      </c>
      <c r="E141" s="279"/>
      <c r="F141" s="282">
        <v>25000</v>
      </c>
      <c r="G141" s="211">
        <f t="shared" si="7"/>
        <v>16409782</v>
      </c>
      <c r="H141" s="278" t="s">
        <v>25</v>
      </c>
      <c r="I141" s="278" t="s">
        <v>337</v>
      </c>
      <c r="J141" s="278" t="s">
        <v>287</v>
      </c>
      <c r="K141" s="279" t="s">
        <v>198</v>
      </c>
      <c r="L141" s="279" t="s">
        <v>631</v>
      </c>
      <c r="N141" s="279"/>
      <c r="O141" s="279"/>
    </row>
    <row r="142" spans="1:15" s="278" customFormat="1" ht="16.5">
      <c r="A142" s="277">
        <v>45179</v>
      </c>
      <c r="B142" s="278" t="s">
        <v>399</v>
      </c>
      <c r="C142" s="279" t="s">
        <v>229</v>
      </c>
      <c r="D142" s="278" t="s">
        <v>395</v>
      </c>
      <c r="F142" s="278">
        <v>30000</v>
      </c>
      <c r="G142" s="211">
        <f t="shared" si="7"/>
        <v>16379782</v>
      </c>
      <c r="H142" s="278" t="s">
        <v>25</v>
      </c>
      <c r="I142" s="278" t="s">
        <v>337</v>
      </c>
      <c r="J142" s="278" t="s">
        <v>287</v>
      </c>
      <c r="K142" s="279" t="s">
        <v>198</v>
      </c>
      <c r="L142" s="279" t="s">
        <v>631</v>
      </c>
      <c r="N142" s="279"/>
    </row>
    <row r="143" spans="1:15" s="278" customFormat="1" ht="16.5">
      <c r="A143" s="281">
        <v>45179</v>
      </c>
      <c r="B143" s="278" t="s">
        <v>329</v>
      </c>
      <c r="C143" s="279" t="s">
        <v>75</v>
      </c>
      <c r="F143" s="299">
        <v>570000</v>
      </c>
      <c r="G143" s="211">
        <f t="shared" si="7"/>
        <v>15809782</v>
      </c>
      <c r="H143" s="278" t="s">
        <v>25</v>
      </c>
      <c r="J143" s="279"/>
    </row>
    <row r="144" spans="1:15" s="278" customFormat="1" ht="16.5">
      <c r="A144" s="281">
        <v>45179</v>
      </c>
      <c r="B144" s="278" t="s">
        <v>371</v>
      </c>
      <c r="C144" s="278" t="s">
        <v>75</v>
      </c>
      <c r="F144" s="278">
        <v>135000</v>
      </c>
      <c r="G144" s="211">
        <f t="shared" si="7"/>
        <v>15674782</v>
      </c>
      <c r="H144" s="278" t="s">
        <v>25</v>
      </c>
      <c r="I144" s="302"/>
      <c r="N144" s="279"/>
    </row>
    <row r="145" spans="1:18" s="278" customFormat="1" ht="16.5">
      <c r="A145" s="281">
        <v>45179</v>
      </c>
      <c r="B145" s="278" t="s">
        <v>31</v>
      </c>
      <c r="C145" s="278" t="s">
        <v>75</v>
      </c>
      <c r="F145" s="278">
        <v>175000</v>
      </c>
      <c r="G145" s="211">
        <f t="shared" si="7"/>
        <v>15499782</v>
      </c>
      <c r="H145" s="278" t="s">
        <v>25</v>
      </c>
      <c r="I145" s="279"/>
      <c r="N145" s="279"/>
      <c r="O145" s="279"/>
    </row>
    <row r="146" spans="1:18" s="278" customFormat="1" ht="16.5">
      <c r="A146" s="277">
        <v>45179</v>
      </c>
      <c r="B146" s="227" t="s">
        <v>400</v>
      </c>
      <c r="C146" s="278" t="s">
        <v>75</v>
      </c>
      <c r="D146" s="295"/>
      <c r="F146" s="278">
        <v>155000</v>
      </c>
      <c r="G146" s="211">
        <f t="shared" si="7"/>
        <v>15344782</v>
      </c>
      <c r="H146" s="290" t="s">
        <v>25</v>
      </c>
      <c r="I146" s="283"/>
      <c r="J146" s="279"/>
      <c r="L146" s="279"/>
      <c r="N146" s="279"/>
    </row>
    <row r="147" spans="1:18" s="278" customFormat="1" ht="16.5">
      <c r="A147" s="277">
        <v>45179</v>
      </c>
      <c r="B147" s="278" t="s">
        <v>401</v>
      </c>
      <c r="C147" s="279" t="s">
        <v>75</v>
      </c>
      <c r="D147" s="279"/>
      <c r="F147" s="278">
        <v>450000</v>
      </c>
      <c r="G147" s="211">
        <f t="shared" si="7"/>
        <v>14894782</v>
      </c>
      <c r="H147" s="290" t="s">
        <v>25</v>
      </c>
      <c r="I147" s="283"/>
      <c r="L147" s="279"/>
      <c r="N147" s="279"/>
    </row>
    <row r="148" spans="1:18" s="278" customFormat="1" ht="16.5">
      <c r="A148" s="277">
        <v>45179</v>
      </c>
      <c r="B148" s="279" t="s">
        <v>333</v>
      </c>
      <c r="C148" s="279" t="s">
        <v>75</v>
      </c>
      <c r="E148" s="279"/>
      <c r="F148" s="286">
        <v>180000</v>
      </c>
      <c r="G148" s="211">
        <f t="shared" si="7"/>
        <v>14714782</v>
      </c>
      <c r="H148" s="279" t="s">
        <v>25</v>
      </c>
      <c r="O148" s="279"/>
      <c r="P148" s="279"/>
      <c r="Q148" s="279"/>
      <c r="R148" s="279"/>
    </row>
    <row r="149" spans="1:18" s="278" customFormat="1" ht="16.5">
      <c r="A149" s="277">
        <v>45179</v>
      </c>
      <c r="B149" s="279" t="s">
        <v>464</v>
      </c>
      <c r="C149" s="283" t="s">
        <v>75</v>
      </c>
      <c r="E149" s="279">
        <v>570000</v>
      </c>
      <c r="G149" s="211">
        <f t="shared" si="7"/>
        <v>15284782</v>
      </c>
      <c r="H149" s="279" t="s">
        <v>47</v>
      </c>
      <c r="K149" s="279"/>
      <c r="L149" s="279"/>
      <c r="N149" s="279"/>
      <c r="O149" s="279"/>
      <c r="P149" s="279"/>
      <c r="Q149" s="279"/>
      <c r="R149" s="279"/>
    </row>
    <row r="150" spans="1:18" s="278" customFormat="1" ht="16.5">
      <c r="A150" s="277">
        <v>45179</v>
      </c>
      <c r="B150" s="278" t="s">
        <v>345</v>
      </c>
      <c r="C150" s="283" t="s">
        <v>75</v>
      </c>
      <c r="E150" s="278">
        <v>135000</v>
      </c>
      <c r="G150" s="211">
        <f>G149+E150-F150</f>
        <v>15419782</v>
      </c>
      <c r="H150" s="278" t="s">
        <v>299</v>
      </c>
      <c r="K150" s="279"/>
      <c r="L150" s="279"/>
      <c r="N150" s="279"/>
      <c r="P150" s="279"/>
      <c r="Q150" s="279"/>
      <c r="R150" s="279"/>
    </row>
    <row r="151" spans="1:18" s="278" customFormat="1" ht="16.5">
      <c r="A151" s="277">
        <v>45179</v>
      </c>
      <c r="B151" s="278" t="s">
        <v>516</v>
      </c>
      <c r="C151" s="283" t="s">
        <v>75</v>
      </c>
      <c r="D151" s="279"/>
      <c r="F151" s="278">
        <v>230000</v>
      </c>
      <c r="G151" s="211">
        <f>G150+E151-F151</f>
        <v>15189782</v>
      </c>
      <c r="H151" s="279" t="s">
        <v>308</v>
      </c>
      <c r="I151" s="283"/>
      <c r="N151" s="279"/>
      <c r="P151" s="279"/>
      <c r="Q151" s="279"/>
      <c r="R151" s="279"/>
    </row>
    <row r="152" spans="1:18" s="278" customFormat="1" ht="16.5">
      <c r="A152" s="277">
        <v>45179</v>
      </c>
      <c r="B152" s="278" t="s">
        <v>517</v>
      </c>
      <c r="C152" s="283" t="s">
        <v>75</v>
      </c>
      <c r="E152" s="211">
        <v>450000</v>
      </c>
      <c r="F152" s="211"/>
      <c r="G152" s="211">
        <f>G151+E152-F152</f>
        <v>15639782</v>
      </c>
      <c r="H152" s="278" t="s">
        <v>308</v>
      </c>
      <c r="O152" s="211"/>
    </row>
    <row r="153" spans="1:18" s="278" customFormat="1" ht="16.5">
      <c r="A153" s="285">
        <v>45179</v>
      </c>
      <c r="B153" s="278" t="s">
        <v>346</v>
      </c>
      <c r="C153" s="283" t="s">
        <v>75</v>
      </c>
      <c r="E153" s="211">
        <v>175000</v>
      </c>
      <c r="F153" s="227"/>
      <c r="G153" s="211">
        <f>+G152+E153-F153</f>
        <v>15814782</v>
      </c>
      <c r="H153" s="278" t="s">
        <v>31</v>
      </c>
      <c r="I153" s="279"/>
      <c r="K153" s="279"/>
      <c r="L153" s="279"/>
      <c r="N153" s="279"/>
      <c r="P153" s="279"/>
      <c r="Q153" s="279"/>
      <c r="R153" s="279"/>
    </row>
    <row r="154" spans="1:18" s="278" customFormat="1" ht="16.5">
      <c r="A154" s="281">
        <v>45179</v>
      </c>
      <c r="B154" s="278" t="s">
        <v>342</v>
      </c>
      <c r="C154" s="283" t="s">
        <v>75</v>
      </c>
      <c r="E154" s="278">
        <v>180000</v>
      </c>
      <c r="F154" s="295"/>
      <c r="G154" s="211">
        <f>G153+E154-F154</f>
        <v>15994782</v>
      </c>
      <c r="H154" s="278" t="s">
        <v>93</v>
      </c>
      <c r="I154" s="279"/>
      <c r="K154" s="279"/>
      <c r="L154" s="279"/>
      <c r="P154" s="279"/>
      <c r="Q154" s="279"/>
      <c r="R154" s="279"/>
    </row>
    <row r="155" spans="1:18" s="278" customFormat="1" ht="16.5">
      <c r="A155" s="277">
        <v>45179</v>
      </c>
      <c r="B155" s="278" t="s">
        <v>467</v>
      </c>
      <c r="C155" s="279" t="s">
        <v>34</v>
      </c>
      <c r="D155" s="278" t="s">
        <v>2</v>
      </c>
      <c r="E155" s="211"/>
      <c r="F155" s="211">
        <v>8000</v>
      </c>
      <c r="G155" s="211">
        <f>+G154+E155-F155</f>
        <v>15986782</v>
      </c>
      <c r="H155" s="278" t="s">
        <v>47</v>
      </c>
      <c r="I155" s="278" t="s">
        <v>331</v>
      </c>
      <c r="J155" s="278" t="s">
        <v>102</v>
      </c>
      <c r="K155" s="278" t="s">
        <v>199</v>
      </c>
      <c r="L155" s="278" t="s">
        <v>631</v>
      </c>
      <c r="M155" s="291" t="s">
        <v>701</v>
      </c>
      <c r="N155" s="279" t="s">
        <v>651</v>
      </c>
      <c r="P155" s="279"/>
      <c r="Q155" s="279"/>
      <c r="R155" s="279"/>
    </row>
    <row r="156" spans="1:18" s="278" customFormat="1" ht="16.5">
      <c r="A156" s="277">
        <v>45179</v>
      </c>
      <c r="B156" s="279" t="s">
        <v>495</v>
      </c>
      <c r="C156" s="279" t="s">
        <v>319</v>
      </c>
      <c r="D156" s="278" t="s">
        <v>154</v>
      </c>
      <c r="E156" s="279"/>
      <c r="F156" s="286">
        <v>8000</v>
      </c>
      <c r="G156" s="211">
        <f>G155+E156-F156</f>
        <v>15978782</v>
      </c>
      <c r="H156" s="279" t="s">
        <v>299</v>
      </c>
      <c r="I156" s="278" t="s">
        <v>328</v>
      </c>
      <c r="J156" s="278" t="s">
        <v>102</v>
      </c>
      <c r="K156" s="278" t="s">
        <v>199</v>
      </c>
      <c r="L156" s="278" t="s">
        <v>631</v>
      </c>
      <c r="M156" s="291" t="s">
        <v>702</v>
      </c>
      <c r="N156" s="279" t="s">
        <v>651</v>
      </c>
      <c r="O156" s="279"/>
      <c r="P156" s="279"/>
      <c r="Q156" s="279"/>
      <c r="R156" s="279"/>
    </row>
    <row r="157" spans="1:18" s="278" customFormat="1" ht="16.5">
      <c r="A157" s="277">
        <v>45179</v>
      </c>
      <c r="B157" s="279" t="s">
        <v>509</v>
      </c>
      <c r="C157" s="278" t="s">
        <v>34</v>
      </c>
      <c r="D157" s="278" t="s">
        <v>2</v>
      </c>
      <c r="F157" s="278">
        <v>8000</v>
      </c>
      <c r="G157" s="211">
        <f>G156+E157-F157</f>
        <v>15970782</v>
      </c>
      <c r="H157" s="278" t="s">
        <v>308</v>
      </c>
      <c r="I157" s="278" t="s">
        <v>331</v>
      </c>
      <c r="J157" s="278" t="s">
        <v>102</v>
      </c>
      <c r="K157" s="278" t="s">
        <v>199</v>
      </c>
      <c r="L157" s="278" t="s">
        <v>631</v>
      </c>
      <c r="M157" s="291" t="s">
        <v>703</v>
      </c>
      <c r="N157" s="279" t="s">
        <v>651</v>
      </c>
      <c r="P157" s="279"/>
      <c r="Q157" s="279"/>
      <c r="R157" s="279"/>
    </row>
    <row r="158" spans="1:18" s="278" customFormat="1" ht="17.25" customHeight="1">
      <c r="A158" s="281">
        <v>45179</v>
      </c>
      <c r="B158" s="278" t="s">
        <v>523</v>
      </c>
      <c r="C158" s="279" t="s">
        <v>34</v>
      </c>
      <c r="D158" s="278" t="s">
        <v>155</v>
      </c>
      <c r="E158" s="211"/>
      <c r="F158" s="227">
        <v>8000</v>
      </c>
      <c r="G158" s="211">
        <f>+G157+E158-F158</f>
        <v>15962782</v>
      </c>
      <c r="H158" s="278" t="s">
        <v>31</v>
      </c>
      <c r="I158" s="278" t="s">
        <v>328</v>
      </c>
      <c r="J158" s="278" t="s">
        <v>102</v>
      </c>
      <c r="K158" s="278" t="s">
        <v>199</v>
      </c>
      <c r="L158" s="278" t="s">
        <v>631</v>
      </c>
      <c r="M158" s="291" t="s">
        <v>704</v>
      </c>
      <c r="N158" s="279" t="s">
        <v>651</v>
      </c>
      <c r="P158" s="279"/>
      <c r="Q158" s="279"/>
      <c r="R158" s="279"/>
    </row>
    <row r="159" spans="1:18" s="278" customFormat="1" ht="17.25" customHeight="1">
      <c r="A159" s="277">
        <v>45179</v>
      </c>
      <c r="B159" s="278" t="s">
        <v>550</v>
      </c>
      <c r="C159" s="279" t="s">
        <v>34</v>
      </c>
      <c r="D159" s="279" t="s">
        <v>326</v>
      </c>
      <c r="E159" s="211"/>
      <c r="F159" s="227">
        <v>8000</v>
      </c>
      <c r="G159" s="211">
        <f>G158+E159-F159</f>
        <v>15954782</v>
      </c>
      <c r="H159" s="278" t="s">
        <v>93</v>
      </c>
      <c r="I159" s="278" t="s">
        <v>331</v>
      </c>
      <c r="J159" s="278" t="s">
        <v>102</v>
      </c>
      <c r="K159" s="278" t="s">
        <v>199</v>
      </c>
      <c r="L159" s="278" t="s">
        <v>631</v>
      </c>
      <c r="M159" s="291" t="s">
        <v>705</v>
      </c>
      <c r="N159" s="279" t="s">
        <v>651</v>
      </c>
      <c r="P159" s="279"/>
      <c r="Q159" s="279"/>
      <c r="R159" s="279"/>
    </row>
    <row r="160" spans="1:18" s="278" customFormat="1" ht="17.25" customHeight="1">
      <c r="A160" s="277">
        <v>45179</v>
      </c>
      <c r="B160" s="278" t="s">
        <v>581</v>
      </c>
      <c r="C160" s="278" t="s">
        <v>301</v>
      </c>
      <c r="D160" s="278" t="s">
        <v>154</v>
      </c>
      <c r="E160" s="211"/>
      <c r="F160" s="211">
        <v>60000</v>
      </c>
      <c r="G160" s="211">
        <f>G159+E160-F160</f>
        <v>15894782</v>
      </c>
      <c r="H160" s="278" t="s">
        <v>300</v>
      </c>
      <c r="I160" s="278" t="s">
        <v>337</v>
      </c>
      <c r="J160" s="278" t="s">
        <v>287</v>
      </c>
      <c r="K160" s="278" t="s">
        <v>199</v>
      </c>
      <c r="L160" s="278" t="s">
        <v>631</v>
      </c>
      <c r="M160" s="291" t="s">
        <v>706</v>
      </c>
      <c r="N160" s="278" t="s">
        <v>652</v>
      </c>
      <c r="O160" s="307"/>
      <c r="P160" s="279"/>
      <c r="Q160" s="279"/>
      <c r="R160" s="279"/>
    </row>
    <row r="161" spans="1:18" s="278" customFormat="1" ht="17.25" customHeight="1">
      <c r="A161" s="277">
        <v>45180</v>
      </c>
      <c r="B161" s="278" t="s">
        <v>388</v>
      </c>
      <c r="C161" s="279" t="s">
        <v>373</v>
      </c>
      <c r="D161" s="279" t="s">
        <v>326</v>
      </c>
      <c r="E161" s="286"/>
      <c r="F161" s="286">
        <v>9000</v>
      </c>
      <c r="G161" s="211">
        <f>+G160+E161-F161</f>
        <v>15885782</v>
      </c>
      <c r="H161" s="278" t="s">
        <v>25</v>
      </c>
      <c r="I161" s="278" t="s">
        <v>331</v>
      </c>
      <c r="J161" s="278" t="s">
        <v>102</v>
      </c>
      <c r="K161" s="278" t="s">
        <v>199</v>
      </c>
      <c r="L161" s="278" t="s">
        <v>631</v>
      </c>
      <c r="M161" s="291" t="s">
        <v>707</v>
      </c>
      <c r="N161" s="279" t="s">
        <v>632</v>
      </c>
      <c r="O161" s="279"/>
      <c r="P161" s="279"/>
      <c r="Q161" s="279"/>
      <c r="R161" s="279"/>
    </row>
    <row r="162" spans="1:18" s="278" customFormat="1" ht="17.25" customHeight="1">
      <c r="A162" s="281">
        <v>45180</v>
      </c>
      <c r="B162" s="227" t="s">
        <v>402</v>
      </c>
      <c r="C162" s="278" t="s">
        <v>171</v>
      </c>
      <c r="D162" s="278" t="s">
        <v>2</v>
      </c>
      <c r="E162" s="279"/>
      <c r="F162" s="278">
        <v>10000</v>
      </c>
      <c r="G162" s="211">
        <f>+G161+E162-F162</f>
        <v>15875782</v>
      </c>
      <c r="H162" s="278" t="s">
        <v>25</v>
      </c>
      <c r="I162" s="283" t="s">
        <v>331</v>
      </c>
      <c r="J162" s="278" t="s">
        <v>102</v>
      </c>
      <c r="K162" s="279" t="s">
        <v>199</v>
      </c>
      <c r="L162" s="279" t="s">
        <v>631</v>
      </c>
      <c r="M162" s="291" t="s">
        <v>708</v>
      </c>
      <c r="N162" s="279" t="s">
        <v>650</v>
      </c>
      <c r="O162" s="279"/>
      <c r="P162" s="279"/>
      <c r="Q162" s="279"/>
      <c r="R162" s="279"/>
    </row>
    <row r="163" spans="1:18" s="278" customFormat="1" ht="17.25" customHeight="1">
      <c r="A163" s="287">
        <v>45180</v>
      </c>
      <c r="B163" s="288" t="s">
        <v>29</v>
      </c>
      <c r="C163" s="279" t="s">
        <v>75</v>
      </c>
      <c r="E163" s="282"/>
      <c r="F163" s="227">
        <v>150000</v>
      </c>
      <c r="G163" s="211">
        <f>+G162+E163-F163</f>
        <v>15725782</v>
      </c>
      <c r="H163" s="280" t="s">
        <v>25</v>
      </c>
      <c r="K163" s="279"/>
      <c r="L163" s="279"/>
      <c r="N163" s="279"/>
      <c r="P163" s="279"/>
      <c r="Q163" s="279"/>
      <c r="R163" s="279"/>
    </row>
    <row r="164" spans="1:18" s="278" customFormat="1" ht="17.25" customHeight="1">
      <c r="A164" s="285">
        <v>45180</v>
      </c>
      <c r="B164" s="211" t="s">
        <v>268</v>
      </c>
      <c r="C164" s="279" t="s">
        <v>75</v>
      </c>
      <c r="E164" s="279"/>
      <c r="F164" s="278">
        <v>150000</v>
      </c>
      <c r="G164" s="211">
        <f>+G163+E164-F164</f>
        <v>15575782</v>
      </c>
      <c r="H164" s="279" t="s">
        <v>25</v>
      </c>
      <c r="N164" s="279"/>
      <c r="P164" s="279"/>
      <c r="Q164" s="279"/>
      <c r="R164" s="279"/>
    </row>
    <row r="165" spans="1:18" s="278" customFormat="1" ht="17.25" customHeight="1">
      <c r="A165" s="277">
        <v>45180</v>
      </c>
      <c r="B165" s="279" t="s">
        <v>350</v>
      </c>
      <c r="C165" s="283" t="s">
        <v>75</v>
      </c>
      <c r="E165" s="279">
        <v>150000</v>
      </c>
      <c r="F165" s="279"/>
      <c r="G165" s="289">
        <f>+G164+E165-F165</f>
        <v>15725782</v>
      </c>
      <c r="H165" s="279" t="s">
        <v>29</v>
      </c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</row>
    <row r="166" spans="1:18" s="278" customFormat="1" ht="17.25" customHeight="1">
      <c r="A166" s="277">
        <v>45180</v>
      </c>
      <c r="B166" s="278" t="s">
        <v>343</v>
      </c>
      <c r="C166" s="283" t="s">
        <v>75</v>
      </c>
      <c r="E166" s="307">
        <v>150000</v>
      </c>
      <c r="F166" s="308"/>
      <c r="G166" s="211">
        <f>G165+E166-F166</f>
        <v>15875782</v>
      </c>
      <c r="H166" s="278" t="s">
        <v>268</v>
      </c>
      <c r="I166" s="307"/>
      <c r="J166" s="307"/>
      <c r="K166" s="307"/>
      <c r="L166" s="307"/>
      <c r="M166" s="307"/>
      <c r="N166" s="307"/>
      <c r="O166" s="307"/>
      <c r="P166" s="279"/>
      <c r="Q166" s="279"/>
      <c r="R166" s="279"/>
    </row>
    <row r="167" spans="1:18" s="278" customFormat="1" ht="17.25" customHeight="1">
      <c r="A167" s="277">
        <v>45180</v>
      </c>
      <c r="B167" s="278" t="s">
        <v>468</v>
      </c>
      <c r="C167" s="279" t="s">
        <v>301</v>
      </c>
      <c r="D167" s="278" t="s">
        <v>2</v>
      </c>
      <c r="E167" s="295"/>
      <c r="F167" s="295">
        <v>180000</v>
      </c>
      <c r="G167" s="211">
        <f>+G166+E167-F167</f>
        <v>15695782</v>
      </c>
      <c r="H167" s="297" t="s">
        <v>47</v>
      </c>
      <c r="I167" s="278" t="s">
        <v>337</v>
      </c>
      <c r="J167" s="278" t="s">
        <v>102</v>
      </c>
      <c r="K167" s="278" t="s">
        <v>199</v>
      </c>
      <c r="L167" s="278" t="s">
        <v>631</v>
      </c>
      <c r="M167" s="291" t="s">
        <v>709</v>
      </c>
      <c r="N167" s="278" t="s">
        <v>652</v>
      </c>
      <c r="P167" s="279"/>
      <c r="Q167" s="279"/>
      <c r="R167" s="279"/>
    </row>
    <row r="168" spans="1:18" s="278" customFormat="1" ht="17.25" customHeight="1">
      <c r="A168" s="277">
        <v>45182</v>
      </c>
      <c r="B168" s="288" t="s">
        <v>815</v>
      </c>
      <c r="C168" s="279" t="s">
        <v>301</v>
      </c>
      <c r="D168" s="278" t="s">
        <v>2</v>
      </c>
      <c r="E168" s="193"/>
      <c r="F168" s="227">
        <v>30000</v>
      </c>
      <c r="G168" s="211">
        <f>+G167+E168-F168</f>
        <v>15665782</v>
      </c>
      <c r="H168" s="211" t="s">
        <v>47</v>
      </c>
      <c r="I168" s="278" t="s">
        <v>331</v>
      </c>
      <c r="J168" s="278" t="s">
        <v>102</v>
      </c>
      <c r="K168" s="278" t="s">
        <v>199</v>
      </c>
      <c r="L168" s="278" t="s">
        <v>631</v>
      </c>
      <c r="M168" s="291" t="s">
        <v>710</v>
      </c>
      <c r="N168" s="278" t="s">
        <v>652</v>
      </c>
      <c r="P168" s="279"/>
      <c r="Q168" s="279"/>
      <c r="R168" s="279"/>
    </row>
    <row r="169" spans="1:18" s="278" customFormat="1" ht="17.25" customHeight="1">
      <c r="A169" s="281">
        <v>45180</v>
      </c>
      <c r="B169" s="278" t="s">
        <v>816</v>
      </c>
      <c r="C169" s="279" t="s">
        <v>301</v>
      </c>
      <c r="D169" s="278" t="s">
        <v>154</v>
      </c>
      <c r="E169" s="299"/>
      <c r="F169" s="299">
        <v>180000</v>
      </c>
      <c r="G169" s="211">
        <f>G168+E169-F169</f>
        <v>15485782</v>
      </c>
      <c r="H169" s="278" t="s">
        <v>299</v>
      </c>
      <c r="I169" s="279" t="s">
        <v>328</v>
      </c>
      <c r="J169" s="278" t="s">
        <v>102</v>
      </c>
      <c r="K169" s="278" t="s">
        <v>199</v>
      </c>
      <c r="L169" s="278" t="s">
        <v>631</v>
      </c>
      <c r="M169" s="291" t="s">
        <v>711</v>
      </c>
      <c r="N169" s="278" t="s">
        <v>652</v>
      </c>
      <c r="P169" s="279"/>
      <c r="Q169" s="279"/>
      <c r="R169" s="279"/>
    </row>
    <row r="170" spans="1:18" s="278" customFormat="1" ht="17.25" customHeight="1">
      <c r="A170" s="287">
        <v>45180</v>
      </c>
      <c r="B170" s="278" t="s">
        <v>510</v>
      </c>
      <c r="C170" s="278" t="s">
        <v>338</v>
      </c>
      <c r="D170" s="278" t="s">
        <v>2</v>
      </c>
      <c r="E170" s="280"/>
      <c r="F170" s="278">
        <v>60000</v>
      </c>
      <c r="G170" s="211">
        <f>G169+E170-F170</f>
        <v>15425782</v>
      </c>
      <c r="H170" s="290" t="s">
        <v>308</v>
      </c>
      <c r="I170" s="278" t="s">
        <v>337</v>
      </c>
      <c r="J170" s="278" t="s">
        <v>287</v>
      </c>
      <c r="K170" s="278" t="s">
        <v>199</v>
      </c>
      <c r="L170" s="278" t="s">
        <v>631</v>
      </c>
      <c r="M170" s="291" t="s">
        <v>712</v>
      </c>
      <c r="N170" s="278" t="s">
        <v>652</v>
      </c>
      <c r="O170" s="279"/>
      <c r="P170" s="279"/>
      <c r="Q170" s="279"/>
      <c r="R170" s="279"/>
    </row>
    <row r="171" spans="1:18" s="278" customFormat="1" ht="17.25" customHeight="1">
      <c r="A171" s="285">
        <v>45180</v>
      </c>
      <c r="B171" s="279" t="s">
        <v>524</v>
      </c>
      <c r="C171" s="279" t="s">
        <v>301</v>
      </c>
      <c r="D171" s="278" t="s">
        <v>155</v>
      </c>
      <c r="F171" s="286">
        <v>150000</v>
      </c>
      <c r="G171" s="211">
        <f>+G170+E171-F171</f>
        <v>15275782</v>
      </c>
      <c r="H171" s="278" t="s">
        <v>31</v>
      </c>
      <c r="I171" s="278" t="s">
        <v>337</v>
      </c>
      <c r="J171" s="278" t="s">
        <v>287</v>
      </c>
      <c r="K171" s="278" t="s">
        <v>199</v>
      </c>
      <c r="L171" s="278" t="s">
        <v>631</v>
      </c>
      <c r="M171" s="291" t="s">
        <v>713</v>
      </c>
      <c r="N171" s="278" t="s">
        <v>652</v>
      </c>
      <c r="O171" s="279"/>
      <c r="P171" s="279"/>
      <c r="Q171" s="279"/>
      <c r="R171" s="279"/>
    </row>
    <row r="172" spans="1:18" s="278" customFormat="1" ht="17.25" customHeight="1">
      <c r="A172" s="277">
        <v>45180</v>
      </c>
      <c r="B172" s="278" t="s">
        <v>534</v>
      </c>
      <c r="C172" s="279" t="s">
        <v>301</v>
      </c>
      <c r="D172" s="278" t="s">
        <v>154</v>
      </c>
      <c r="E172" s="211"/>
      <c r="F172" s="211">
        <v>20000</v>
      </c>
      <c r="G172" s="211">
        <f>G171+E172-F172</f>
        <v>15255782</v>
      </c>
      <c r="H172" s="278" t="s">
        <v>197</v>
      </c>
      <c r="I172" s="278" t="s">
        <v>337</v>
      </c>
      <c r="J172" s="278" t="s">
        <v>287</v>
      </c>
      <c r="K172" s="278" t="s">
        <v>199</v>
      </c>
      <c r="L172" s="278" t="s">
        <v>631</v>
      </c>
      <c r="M172" s="291" t="s">
        <v>714</v>
      </c>
      <c r="N172" s="278" t="s">
        <v>652</v>
      </c>
      <c r="P172" s="279"/>
      <c r="Q172" s="279"/>
      <c r="R172" s="279"/>
    </row>
    <row r="173" spans="1:18" s="278" customFormat="1" ht="17.25" customHeight="1">
      <c r="A173" s="277">
        <v>45180</v>
      </c>
      <c r="B173" s="279" t="s">
        <v>551</v>
      </c>
      <c r="C173" s="279" t="s">
        <v>301</v>
      </c>
      <c r="D173" s="279" t="s">
        <v>326</v>
      </c>
      <c r="F173" s="278">
        <v>60000</v>
      </c>
      <c r="G173" s="211">
        <f>G172+E173-F173</f>
        <v>15195782</v>
      </c>
      <c r="H173" s="279" t="s">
        <v>93</v>
      </c>
      <c r="I173" s="278" t="s">
        <v>337</v>
      </c>
      <c r="J173" s="278" t="s">
        <v>287</v>
      </c>
      <c r="K173" s="278" t="s">
        <v>199</v>
      </c>
      <c r="L173" s="278" t="s">
        <v>631</v>
      </c>
      <c r="M173" s="291" t="s">
        <v>715</v>
      </c>
      <c r="N173" s="278" t="s">
        <v>652</v>
      </c>
      <c r="O173" s="279"/>
      <c r="P173" s="279"/>
      <c r="Q173" s="279"/>
      <c r="R173" s="279"/>
    </row>
    <row r="174" spans="1:18" s="278" customFormat="1" ht="16.5">
      <c r="A174" s="277">
        <v>45181</v>
      </c>
      <c r="B174" s="278" t="s">
        <v>403</v>
      </c>
      <c r="C174" s="278" t="s">
        <v>229</v>
      </c>
      <c r="D174" s="278" t="s">
        <v>155</v>
      </c>
      <c r="E174" s="211"/>
      <c r="F174" s="278">
        <v>86000</v>
      </c>
      <c r="G174" s="211">
        <f>+G173+E174-F174</f>
        <v>15109782</v>
      </c>
      <c r="H174" s="278" t="s">
        <v>25</v>
      </c>
      <c r="I174" s="278" t="s">
        <v>337</v>
      </c>
      <c r="J174" s="278" t="s">
        <v>287</v>
      </c>
      <c r="K174" s="279" t="s">
        <v>198</v>
      </c>
      <c r="L174" s="279" t="s">
        <v>631</v>
      </c>
      <c r="N174" s="279"/>
    </row>
    <row r="175" spans="1:18" s="278" customFormat="1" ht="16.5">
      <c r="A175" s="277">
        <v>45181</v>
      </c>
      <c r="B175" s="278" t="s">
        <v>613</v>
      </c>
      <c r="C175" s="283" t="s">
        <v>75</v>
      </c>
      <c r="E175" s="307">
        <v>80000</v>
      </c>
      <c r="F175" s="308"/>
      <c r="G175" s="211">
        <f>G174+E175-F175</f>
        <v>15189782</v>
      </c>
      <c r="H175" s="278" t="s">
        <v>268</v>
      </c>
      <c r="J175" s="307"/>
      <c r="K175" s="307"/>
      <c r="L175" s="307"/>
      <c r="M175" s="307"/>
      <c r="N175" s="307"/>
      <c r="O175" s="307"/>
      <c r="P175" s="279"/>
      <c r="Q175" s="279"/>
      <c r="R175" s="279"/>
    </row>
    <row r="176" spans="1:18" s="278" customFormat="1" ht="16.5">
      <c r="A176" s="277">
        <v>45181</v>
      </c>
      <c r="B176" s="288" t="s">
        <v>535</v>
      </c>
      <c r="C176" s="279" t="s">
        <v>34</v>
      </c>
      <c r="D176" s="278" t="s">
        <v>154</v>
      </c>
      <c r="E176" s="282"/>
      <c r="F176" s="211">
        <v>15000</v>
      </c>
      <c r="G176" s="211">
        <f>G175+E176-F176</f>
        <v>15174782</v>
      </c>
      <c r="H176" s="280" t="s">
        <v>197</v>
      </c>
      <c r="I176" s="278" t="s">
        <v>331</v>
      </c>
      <c r="J176" s="278" t="s">
        <v>102</v>
      </c>
      <c r="K176" s="278" t="s">
        <v>199</v>
      </c>
      <c r="L176" s="278" t="s">
        <v>631</v>
      </c>
      <c r="M176" s="291" t="s">
        <v>716</v>
      </c>
      <c r="N176" s="279" t="s">
        <v>651</v>
      </c>
    </row>
    <row r="177" spans="1:15" s="278" customFormat="1" ht="16.5">
      <c r="A177" s="287">
        <v>45181</v>
      </c>
      <c r="B177" s="278" t="s">
        <v>563</v>
      </c>
      <c r="C177" s="300" t="s">
        <v>301</v>
      </c>
      <c r="D177" s="278" t="s">
        <v>818</v>
      </c>
      <c r="F177" s="296">
        <v>75000</v>
      </c>
      <c r="G177" s="211">
        <f>G176+E177-F177</f>
        <v>15099782</v>
      </c>
      <c r="H177" s="294" t="s">
        <v>317</v>
      </c>
      <c r="I177" s="278" t="s">
        <v>328</v>
      </c>
      <c r="J177" s="278" t="s">
        <v>819</v>
      </c>
      <c r="K177" s="278" t="s">
        <v>198</v>
      </c>
      <c r="L177" s="278" t="s">
        <v>631</v>
      </c>
      <c r="M177" s="291"/>
    </row>
    <row r="178" spans="1:15" s="278" customFormat="1" ht="16.5">
      <c r="A178" s="277">
        <v>45181</v>
      </c>
      <c r="B178" s="290" t="s">
        <v>564</v>
      </c>
      <c r="C178" s="290" t="s">
        <v>34</v>
      </c>
      <c r="D178" s="278" t="s">
        <v>818</v>
      </c>
      <c r="E178" s="228"/>
      <c r="F178" s="228">
        <v>15000</v>
      </c>
      <c r="G178" s="211">
        <f>G177+E178-F178</f>
        <v>15084782</v>
      </c>
      <c r="H178" s="290" t="s">
        <v>317</v>
      </c>
      <c r="I178" s="279" t="s">
        <v>328</v>
      </c>
      <c r="J178" s="278" t="s">
        <v>287</v>
      </c>
      <c r="K178" s="278" t="s">
        <v>198</v>
      </c>
      <c r="L178" s="278" t="s">
        <v>631</v>
      </c>
      <c r="M178" s="291"/>
      <c r="N178" s="279"/>
    </row>
    <row r="179" spans="1:15" s="278" customFormat="1" ht="16.5">
      <c r="A179" s="277">
        <v>45182</v>
      </c>
      <c r="B179" s="290" t="s">
        <v>469</v>
      </c>
      <c r="C179" s="283" t="s">
        <v>75</v>
      </c>
      <c r="E179" s="228"/>
      <c r="F179" s="228">
        <v>50000</v>
      </c>
      <c r="G179" s="211">
        <f t="shared" ref="G179:G184" si="8">+G178+E179-F179</f>
        <v>15034782</v>
      </c>
      <c r="H179" s="290" t="s">
        <v>47</v>
      </c>
      <c r="M179" s="290"/>
      <c r="N179" s="290"/>
    </row>
    <row r="180" spans="1:15" s="278" customFormat="1" ht="16.5">
      <c r="A180" s="277">
        <v>45182</v>
      </c>
      <c r="B180" s="278" t="s">
        <v>470</v>
      </c>
      <c r="C180" s="283" t="s">
        <v>75</v>
      </c>
      <c r="E180" s="211"/>
      <c r="F180" s="211">
        <v>50000</v>
      </c>
      <c r="G180" s="211">
        <f t="shared" si="8"/>
        <v>14984782</v>
      </c>
      <c r="H180" s="278" t="s">
        <v>47</v>
      </c>
      <c r="K180" s="279"/>
      <c r="L180" s="279"/>
      <c r="N180" s="279"/>
    </row>
    <row r="181" spans="1:15" s="278" customFormat="1" ht="16.5">
      <c r="A181" s="277">
        <v>45182</v>
      </c>
      <c r="B181" s="278" t="s">
        <v>471</v>
      </c>
      <c r="C181" s="283" t="s">
        <v>75</v>
      </c>
      <c r="E181" s="211"/>
      <c r="F181" s="211">
        <v>50000</v>
      </c>
      <c r="G181" s="211">
        <f t="shared" si="8"/>
        <v>14934782</v>
      </c>
      <c r="H181" s="278" t="s">
        <v>47</v>
      </c>
      <c r="J181" s="279"/>
    </row>
    <row r="182" spans="1:15" s="278" customFormat="1" ht="16.5">
      <c r="A182" s="277">
        <v>45182</v>
      </c>
      <c r="B182" s="288" t="s">
        <v>472</v>
      </c>
      <c r="C182" s="283" t="s">
        <v>75</v>
      </c>
      <c r="F182" s="282">
        <v>50000</v>
      </c>
      <c r="G182" s="211">
        <f t="shared" si="8"/>
        <v>14884782</v>
      </c>
      <c r="H182" s="278" t="s">
        <v>47</v>
      </c>
      <c r="J182" s="279"/>
      <c r="K182" s="290"/>
      <c r="L182" s="290"/>
      <c r="N182" s="279"/>
    </row>
    <row r="183" spans="1:15" s="278" customFormat="1" ht="16.5">
      <c r="A183" s="281">
        <v>45182</v>
      </c>
      <c r="B183" s="278" t="s">
        <v>473</v>
      </c>
      <c r="C183" s="283" t="s">
        <v>75</v>
      </c>
      <c r="F183" s="211">
        <v>80000</v>
      </c>
      <c r="G183" s="211">
        <f t="shared" si="8"/>
        <v>14804782</v>
      </c>
      <c r="H183" s="278" t="s">
        <v>47</v>
      </c>
      <c r="I183" s="279"/>
      <c r="N183" s="279"/>
    </row>
    <row r="184" spans="1:15" s="278" customFormat="1" ht="16.5">
      <c r="A184" s="277">
        <v>45182</v>
      </c>
      <c r="B184" s="288" t="s">
        <v>518</v>
      </c>
      <c r="C184" s="283" t="s">
        <v>75</v>
      </c>
      <c r="E184" s="193">
        <v>50000</v>
      </c>
      <c r="F184" s="227"/>
      <c r="G184" s="211">
        <f t="shared" si="8"/>
        <v>14854782</v>
      </c>
      <c r="H184" s="278" t="s">
        <v>308</v>
      </c>
    </row>
    <row r="185" spans="1:15" s="278" customFormat="1" ht="16.5">
      <c r="A185" s="277">
        <v>45182</v>
      </c>
      <c r="B185" s="279" t="s">
        <v>536</v>
      </c>
      <c r="C185" s="279" t="s">
        <v>301</v>
      </c>
      <c r="D185" s="278" t="s">
        <v>154</v>
      </c>
      <c r="E185" s="279"/>
      <c r="F185" s="279">
        <v>30000</v>
      </c>
      <c r="G185" s="211">
        <f>G184+E185-F185</f>
        <v>14824782</v>
      </c>
      <c r="H185" s="279" t="s">
        <v>197</v>
      </c>
      <c r="I185" s="278" t="s">
        <v>337</v>
      </c>
      <c r="J185" s="278" t="s">
        <v>287</v>
      </c>
      <c r="K185" s="278" t="s">
        <v>199</v>
      </c>
      <c r="L185" s="278" t="s">
        <v>631</v>
      </c>
      <c r="M185" s="291" t="s">
        <v>717</v>
      </c>
      <c r="N185" s="278" t="s">
        <v>652</v>
      </c>
      <c r="O185" s="279"/>
    </row>
    <row r="186" spans="1:15" s="278" customFormat="1" ht="16.5">
      <c r="A186" s="277">
        <v>45182</v>
      </c>
      <c r="B186" s="278" t="s">
        <v>614</v>
      </c>
      <c r="C186" s="278" t="s">
        <v>338</v>
      </c>
      <c r="D186" s="278" t="s">
        <v>818</v>
      </c>
      <c r="E186" s="307"/>
      <c r="F186" s="308">
        <v>105000</v>
      </c>
      <c r="G186" s="211">
        <f>G185+E186-F186</f>
        <v>14719782</v>
      </c>
      <c r="H186" s="278" t="s">
        <v>268</v>
      </c>
      <c r="I186" s="307" t="s">
        <v>328</v>
      </c>
      <c r="J186" s="278" t="s">
        <v>819</v>
      </c>
      <c r="K186" s="278" t="s">
        <v>199</v>
      </c>
      <c r="L186" s="278" t="s">
        <v>631</v>
      </c>
      <c r="M186" s="291" t="s">
        <v>718</v>
      </c>
      <c r="N186" s="278" t="s">
        <v>652</v>
      </c>
      <c r="O186" s="307"/>
    </row>
    <row r="187" spans="1:15" s="278" customFormat="1" ht="16.5">
      <c r="A187" s="277">
        <v>45183</v>
      </c>
      <c r="B187" s="278" t="s">
        <v>565</v>
      </c>
      <c r="C187" s="279" t="s">
        <v>301</v>
      </c>
      <c r="D187" s="278" t="s">
        <v>818</v>
      </c>
      <c r="F187" s="299">
        <v>30000</v>
      </c>
      <c r="G187" s="211">
        <f>G186+E187-F187</f>
        <v>14689782</v>
      </c>
      <c r="H187" s="280" t="s">
        <v>317</v>
      </c>
      <c r="I187" s="278" t="s">
        <v>328</v>
      </c>
      <c r="J187" s="278" t="s">
        <v>819</v>
      </c>
      <c r="K187" s="278" t="s">
        <v>198</v>
      </c>
      <c r="L187" s="278" t="s">
        <v>631</v>
      </c>
      <c r="M187" s="291"/>
    </row>
    <row r="188" spans="1:15" s="278" customFormat="1" ht="16.5">
      <c r="A188" s="277">
        <v>45183</v>
      </c>
      <c r="B188" s="294" t="s">
        <v>566</v>
      </c>
      <c r="C188" s="279" t="s">
        <v>34</v>
      </c>
      <c r="D188" s="278" t="s">
        <v>818</v>
      </c>
      <c r="E188" s="297"/>
      <c r="F188" s="294">
        <v>10000</v>
      </c>
      <c r="G188" s="211">
        <f>G187+E188-F188</f>
        <v>14679782</v>
      </c>
      <c r="H188" s="278" t="s">
        <v>317</v>
      </c>
      <c r="I188" s="294" t="s">
        <v>328</v>
      </c>
      <c r="J188" s="278" t="s">
        <v>287</v>
      </c>
      <c r="K188" s="278" t="s">
        <v>198</v>
      </c>
      <c r="L188" s="278" t="s">
        <v>631</v>
      </c>
      <c r="M188" s="291"/>
      <c r="N188" s="279"/>
    </row>
    <row r="189" spans="1:15" s="278" customFormat="1" ht="16.5">
      <c r="A189" s="277">
        <v>45184</v>
      </c>
      <c r="B189" s="227" t="s">
        <v>639</v>
      </c>
      <c r="C189" s="278" t="s">
        <v>381</v>
      </c>
      <c r="D189" s="278" t="s">
        <v>154</v>
      </c>
      <c r="F189" s="278">
        <v>140000</v>
      </c>
      <c r="G189" s="211">
        <f t="shared" ref="G189:G203" si="9">+G188+E189-F189</f>
        <v>14539782</v>
      </c>
      <c r="H189" s="290" t="s">
        <v>25</v>
      </c>
      <c r="I189" s="283" t="s">
        <v>328</v>
      </c>
      <c r="J189" s="278" t="s">
        <v>352</v>
      </c>
      <c r="K189" s="278" t="s">
        <v>198</v>
      </c>
      <c r="L189" s="278" t="s">
        <v>631</v>
      </c>
      <c r="N189" s="279"/>
    </row>
    <row r="190" spans="1:15" s="278" customFormat="1" ht="16.5">
      <c r="A190" s="277">
        <v>45184</v>
      </c>
      <c r="B190" s="279" t="s">
        <v>404</v>
      </c>
      <c r="C190" s="279" t="s">
        <v>373</v>
      </c>
      <c r="D190" s="279" t="s">
        <v>326</v>
      </c>
      <c r="E190" s="279"/>
      <c r="F190" s="278">
        <v>4620</v>
      </c>
      <c r="G190" s="211">
        <f t="shared" si="9"/>
        <v>14535162</v>
      </c>
      <c r="H190" s="278" t="s">
        <v>25</v>
      </c>
      <c r="I190" s="278" t="s">
        <v>331</v>
      </c>
      <c r="J190" s="278" t="s">
        <v>102</v>
      </c>
      <c r="K190" s="278" t="s">
        <v>199</v>
      </c>
      <c r="L190" s="278" t="s">
        <v>631</v>
      </c>
      <c r="M190" s="291" t="s">
        <v>719</v>
      </c>
      <c r="N190" s="279" t="s">
        <v>632</v>
      </c>
      <c r="O190" s="279"/>
    </row>
    <row r="191" spans="1:15" s="278" customFormat="1" ht="16.5">
      <c r="A191" s="277">
        <v>45184</v>
      </c>
      <c r="B191" s="288" t="s">
        <v>405</v>
      </c>
      <c r="C191" s="279" t="s">
        <v>171</v>
      </c>
      <c r="D191" s="278" t="s">
        <v>2</v>
      </c>
      <c r="F191" s="211">
        <v>20000</v>
      </c>
      <c r="G191" s="211">
        <f t="shared" si="9"/>
        <v>14515162</v>
      </c>
      <c r="H191" s="278" t="s">
        <v>25</v>
      </c>
      <c r="I191" s="278" t="s">
        <v>331</v>
      </c>
      <c r="J191" s="278" t="s">
        <v>102</v>
      </c>
      <c r="K191" s="279" t="s">
        <v>199</v>
      </c>
      <c r="L191" s="279" t="s">
        <v>631</v>
      </c>
      <c r="M191" s="291" t="s">
        <v>720</v>
      </c>
      <c r="N191" s="279" t="s">
        <v>650</v>
      </c>
    </row>
    <row r="192" spans="1:15" s="278" customFormat="1" ht="16.5">
      <c r="A192" s="287">
        <v>45184</v>
      </c>
      <c r="B192" s="292" t="s">
        <v>406</v>
      </c>
      <c r="C192" s="279" t="s">
        <v>171</v>
      </c>
      <c r="D192" s="278" t="s">
        <v>154</v>
      </c>
      <c r="E192" s="303"/>
      <c r="F192" s="286">
        <v>25000</v>
      </c>
      <c r="G192" s="211">
        <f t="shared" si="9"/>
        <v>14490162</v>
      </c>
      <c r="H192" s="278" t="s">
        <v>25</v>
      </c>
      <c r="I192" s="279" t="s">
        <v>331</v>
      </c>
      <c r="J192" s="278" t="s">
        <v>102</v>
      </c>
      <c r="K192" s="279" t="s">
        <v>199</v>
      </c>
      <c r="L192" s="279" t="s">
        <v>631</v>
      </c>
      <c r="M192" s="291" t="s">
        <v>721</v>
      </c>
      <c r="N192" s="279" t="s">
        <v>650</v>
      </c>
    </row>
    <row r="193" spans="1:15" s="278" customFormat="1" ht="16.5">
      <c r="A193" s="277">
        <v>45184</v>
      </c>
      <c r="B193" s="290" t="s">
        <v>407</v>
      </c>
      <c r="C193" s="279" t="s">
        <v>171</v>
      </c>
      <c r="D193" s="278" t="s">
        <v>818</v>
      </c>
      <c r="E193" s="228"/>
      <c r="F193" s="228">
        <v>25000</v>
      </c>
      <c r="G193" s="211">
        <f t="shared" si="9"/>
        <v>14465162</v>
      </c>
      <c r="H193" s="278" t="s">
        <v>25</v>
      </c>
      <c r="I193" s="278" t="s">
        <v>331</v>
      </c>
      <c r="J193" s="278" t="s">
        <v>102</v>
      </c>
      <c r="K193" s="279" t="s">
        <v>199</v>
      </c>
      <c r="L193" s="279" t="s">
        <v>631</v>
      </c>
      <c r="M193" s="291" t="s">
        <v>723</v>
      </c>
      <c r="N193" s="279" t="s">
        <v>650</v>
      </c>
    </row>
    <row r="194" spans="1:15" s="278" customFormat="1" ht="16.5">
      <c r="A194" s="277">
        <v>45184</v>
      </c>
      <c r="B194" s="290" t="s">
        <v>408</v>
      </c>
      <c r="C194" s="290" t="s">
        <v>171</v>
      </c>
      <c r="D194" s="278" t="s">
        <v>818</v>
      </c>
      <c r="E194" s="228"/>
      <c r="F194" s="228">
        <v>10000</v>
      </c>
      <c r="G194" s="211">
        <f t="shared" si="9"/>
        <v>14455162</v>
      </c>
      <c r="H194" s="278" t="s">
        <v>25</v>
      </c>
      <c r="I194" s="278" t="s">
        <v>331</v>
      </c>
      <c r="J194" s="279" t="s">
        <v>287</v>
      </c>
      <c r="K194" s="279" t="s">
        <v>198</v>
      </c>
      <c r="L194" s="279" t="s">
        <v>631</v>
      </c>
      <c r="N194" s="279"/>
    </row>
    <row r="195" spans="1:15" s="278" customFormat="1" ht="16.5">
      <c r="A195" s="277">
        <v>45184</v>
      </c>
      <c r="B195" s="279" t="s">
        <v>409</v>
      </c>
      <c r="C195" s="279" t="s">
        <v>171</v>
      </c>
      <c r="D195" s="278" t="s">
        <v>155</v>
      </c>
      <c r="F195" s="278">
        <v>10000</v>
      </c>
      <c r="G195" s="211">
        <f t="shared" si="9"/>
        <v>14445162</v>
      </c>
      <c r="H195" s="278" t="s">
        <v>25</v>
      </c>
      <c r="I195" s="278" t="s">
        <v>331</v>
      </c>
      <c r="J195" s="278" t="s">
        <v>102</v>
      </c>
      <c r="K195" s="279" t="s">
        <v>199</v>
      </c>
      <c r="L195" s="279" t="s">
        <v>631</v>
      </c>
      <c r="M195" s="291" t="s">
        <v>724</v>
      </c>
      <c r="N195" s="279" t="s">
        <v>650</v>
      </c>
    </row>
    <row r="196" spans="1:15" s="278" customFormat="1" ht="16.5">
      <c r="A196" s="277">
        <v>45184</v>
      </c>
      <c r="B196" s="278" t="s">
        <v>410</v>
      </c>
      <c r="C196" s="279" t="s">
        <v>171</v>
      </c>
      <c r="D196" s="278" t="s">
        <v>2</v>
      </c>
      <c r="F196" s="278">
        <v>10000</v>
      </c>
      <c r="G196" s="211">
        <f t="shared" si="9"/>
        <v>14435162</v>
      </c>
      <c r="H196" s="280" t="s">
        <v>25</v>
      </c>
      <c r="I196" s="279" t="s">
        <v>331</v>
      </c>
      <c r="J196" s="278" t="s">
        <v>102</v>
      </c>
      <c r="K196" s="279" t="s">
        <v>199</v>
      </c>
      <c r="L196" s="279" t="s">
        <v>631</v>
      </c>
      <c r="M196" s="291" t="s">
        <v>725</v>
      </c>
      <c r="N196" s="279" t="s">
        <v>650</v>
      </c>
    </row>
    <row r="197" spans="1:15" s="278" customFormat="1" ht="16.5">
      <c r="A197" s="277">
        <v>45184</v>
      </c>
      <c r="B197" s="278" t="s">
        <v>411</v>
      </c>
      <c r="C197" s="279" t="s">
        <v>171</v>
      </c>
      <c r="D197" s="278" t="s">
        <v>154</v>
      </c>
      <c r="E197" s="211"/>
      <c r="F197" s="211">
        <v>15000</v>
      </c>
      <c r="G197" s="211">
        <f t="shared" si="9"/>
        <v>14420162</v>
      </c>
      <c r="H197" s="278" t="s">
        <v>25</v>
      </c>
      <c r="I197" s="278" t="s">
        <v>331</v>
      </c>
      <c r="J197" s="278" t="s">
        <v>102</v>
      </c>
      <c r="K197" s="279" t="s">
        <v>199</v>
      </c>
      <c r="L197" s="279" t="s">
        <v>631</v>
      </c>
      <c r="M197" s="291" t="s">
        <v>726</v>
      </c>
      <c r="N197" s="279" t="s">
        <v>650</v>
      </c>
    </row>
    <row r="198" spans="1:15" s="278" customFormat="1" ht="16.5">
      <c r="A198" s="277">
        <v>45184</v>
      </c>
      <c r="B198" s="279" t="s">
        <v>412</v>
      </c>
      <c r="C198" s="279" t="s">
        <v>171</v>
      </c>
      <c r="D198" s="278" t="s">
        <v>818</v>
      </c>
      <c r="E198" s="279"/>
      <c r="F198" s="282">
        <v>5000</v>
      </c>
      <c r="G198" s="211">
        <f t="shared" si="9"/>
        <v>14415162</v>
      </c>
      <c r="H198" s="279" t="s">
        <v>25</v>
      </c>
      <c r="I198" s="278" t="s">
        <v>331</v>
      </c>
      <c r="J198" s="278" t="s">
        <v>102</v>
      </c>
      <c r="K198" s="279" t="s">
        <v>199</v>
      </c>
      <c r="L198" s="279" t="s">
        <v>631</v>
      </c>
      <c r="M198" s="291" t="s">
        <v>727</v>
      </c>
      <c r="N198" s="279" t="s">
        <v>650</v>
      </c>
      <c r="O198" s="279"/>
    </row>
    <row r="199" spans="1:15" s="278" customFormat="1" ht="16.5">
      <c r="A199" s="281">
        <v>45184</v>
      </c>
      <c r="B199" s="279" t="s">
        <v>413</v>
      </c>
      <c r="C199" s="279" t="s">
        <v>171</v>
      </c>
      <c r="D199" s="278" t="s">
        <v>818</v>
      </c>
      <c r="E199" s="279"/>
      <c r="F199" s="286">
        <v>5000</v>
      </c>
      <c r="G199" s="211">
        <f t="shared" si="9"/>
        <v>14410162</v>
      </c>
      <c r="H199" s="279" t="s">
        <v>25</v>
      </c>
      <c r="I199" s="279" t="s">
        <v>331</v>
      </c>
      <c r="J199" s="278" t="s">
        <v>287</v>
      </c>
      <c r="K199" s="279" t="s">
        <v>198</v>
      </c>
      <c r="L199" s="279" t="s">
        <v>631</v>
      </c>
      <c r="N199" s="279"/>
      <c r="O199" s="279"/>
    </row>
    <row r="200" spans="1:15" s="278" customFormat="1" ht="16.5">
      <c r="A200" s="281">
        <v>45184</v>
      </c>
      <c r="B200" s="279" t="s">
        <v>197</v>
      </c>
      <c r="C200" s="278" t="s">
        <v>75</v>
      </c>
      <c r="E200" s="294"/>
      <c r="F200" s="278">
        <v>40000</v>
      </c>
      <c r="G200" s="211">
        <f t="shared" si="9"/>
        <v>14370162</v>
      </c>
      <c r="H200" s="278" t="s">
        <v>25</v>
      </c>
      <c r="I200" s="302"/>
      <c r="J200" s="279"/>
      <c r="K200" s="279"/>
      <c r="L200" s="279"/>
      <c r="N200" s="279"/>
    </row>
    <row r="201" spans="1:15" s="278" customFormat="1" ht="16.5">
      <c r="A201" s="281">
        <v>45184</v>
      </c>
      <c r="B201" s="278" t="s">
        <v>29</v>
      </c>
      <c r="C201" s="279" t="s">
        <v>75</v>
      </c>
      <c r="D201" s="279"/>
      <c r="E201" s="299"/>
      <c r="F201" s="278">
        <v>25000</v>
      </c>
      <c r="G201" s="211">
        <f t="shared" si="9"/>
        <v>14345162</v>
      </c>
      <c r="H201" s="278" t="s">
        <v>25</v>
      </c>
      <c r="J201" s="279"/>
      <c r="K201" s="279"/>
      <c r="L201" s="279"/>
      <c r="N201" s="279"/>
    </row>
    <row r="202" spans="1:15" s="278" customFormat="1" ht="16.5">
      <c r="A202" s="281">
        <v>45184</v>
      </c>
      <c r="B202" s="278" t="s">
        <v>268</v>
      </c>
      <c r="C202" s="279" t="s">
        <v>75</v>
      </c>
      <c r="F202" s="278">
        <v>79000</v>
      </c>
      <c r="G202" s="211">
        <f t="shared" si="9"/>
        <v>14266162</v>
      </c>
      <c r="H202" s="278" t="s">
        <v>25</v>
      </c>
      <c r="J202" s="279"/>
      <c r="K202" s="279"/>
      <c r="L202" s="279"/>
      <c r="N202" s="279"/>
      <c r="O202" s="284"/>
    </row>
    <row r="203" spans="1:15" s="278" customFormat="1" ht="16.5">
      <c r="A203" s="281">
        <v>45184</v>
      </c>
      <c r="B203" s="279" t="s">
        <v>300</v>
      </c>
      <c r="C203" s="279" t="s">
        <v>75</v>
      </c>
      <c r="E203" s="279"/>
      <c r="F203" s="278">
        <v>50000</v>
      </c>
      <c r="G203" s="211">
        <f t="shared" si="9"/>
        <v>14216162</v>
      </c>
      <c r="H203" s="278" t="s">
        <v>25</v>
      </c>
      <c r="J203" s="279"/>
      <c r="K203" s="279"/>
      <c r="L203" s="279"/>
      <c r="N203" s="279"/>
      <c r="O203" s="279"/>
    </row>
    <row r="204" spans="1:15" s="278" customFormat="1" ht="16.5">
      <c r="A204" s="281">
        <v>45184</v>
      </c>
      <c r="B204" s="278" t="s">
        <v>496</v>
      </c>
      <c r="C204" s="283" t="s">
        <v>75</v>
      </c>
      <c r="E204" s="278">
        <v>50000</v>
      </c>
      <c r="G204" s="211">
        <f>G203+E204-F204</f>
        <v>14266162</v>
      </c>
      <c r="H204" s="279" t="s">
        <v>299</v>
      </c>
      <c r="I204" s="279"/>
      <c r="J204" s="279"/>
      <c r="K204" s="279"/>
      <c r="L204" s="279"/>
      <c r="N204" s="279"/>
    </row>
    <row r="205" spans="1:15" s="278" customFormat="1" ht="16.5">
      <c r="A205" s="281">
        <v>45184</v>
      </c>
      <c r="B205" s="278" t="s">
        <v>346</v>
      </c>
      <c r="C205" s="283" t="s">
        <v>75</v>
      </c>
      <c r="E205" s="211">
        <v>50000</v>
      </c>
      <c r="F205" s="211"/>
      <c r="G205" s="211">
        <f>+G204+E205-F205</f>
        <v>14316162</v>
      </c>
      <c r="H205" s="278" t="s">
        <v>31</v>
      </c>
      <c r="N205" s="279"/>
      <c r="O205" s="211"/>
    </row>
    <row r="206" spans="1:15" s="278" customFormat="1" ht="16.5">
      <c r="A206" s="277">
        <v>45184</v>
      </c>
      <c r="B206" s="278" t="s">
        <v>339</v>
      </c>
      <c r="C206" s="283" t="s">
        <v>75</v>
      </c>
      <c r="E206" s="278">
        <v>40000</v>
      </c>
      <c r="G206" s="211">
        <f>G205+E206-F206</f>
        <v>14356162</v>
      </c>
      <c r="H206" s="278" t="s">
        <v>197</v>
      </c>
      <c r="I206" s="283"/>
      <c r="N206" s="279"/>
    </row>
    <row r="207" spans="1:15" s="278" customFormat="1" ht="16.5">
      <c r="A207" s="277">
        <v>45184</v>
      </c>
      <c r="B207" s="278" t="s">
        <v>552</v>
      </c>
      <c r="C207" s="283" t="s">
        <v>75</v>
      </c>
      <c r="E207" s="278">
        <v>50000</v>
      </c>
      <c r="G207" s="211">
        <f>G206+E207-F207</f>
        <v>14406162</v>
      </c>
      <c r="H207" s="278" t="s">
        <v>93</v>
      </c>
      <c r="J207" s="279"/>
      <c r="K207" s="279"/>
      <c r="L207" s="279"/>
      <c r="N207" s="279"/>
    </row>
    <row r="208" spans="1:15" s="278" customFormat="1" ht="16.5">
      <c r="A208" s="277">
        <v>45184</v>
      </c>
      <c r="B208" s="278" t="s">
        <v>579</v>
      </c>
      <c r="C208" s="283" t="s">
        <v>75</v>
      </c>
      <c r="E208" s="211">
        <v>50000</v>
      </c>
      <c r="F208" s="211"/>
      <c r="G208" s="211">
        <f>G207+E208-F208</f>
        <v>14456162</v>
      </c>
      <c r="H208" s="278" t="s">
        <v>300</v>
      </c>
      <c r="J208" s="307"/>
      <c r="K208" s="307"/>
      <c r="L208" s="307"/>
      <c r="M208" s="307"/>
      <c r="N208" s="307"/>
      <c r="O208" s="307"/>
    </row>
    <row r="209" spans="1:15" s="278" customFormat="1" ht="16.5">
      <c r="A209" s="277">
        <v>45184</v>
      </c>
      <c r="B209" s="279" t="s">
        <v>350</v>
      </c>
      <c r="C209" s="283" t="s">
        <v>75</v>
      </c>
      <c r="E209" s="279">
        <v>25000</v>
      </c>
      <c r="F209" s="279"/>
      <c r="G209" s="289">
        <f>+G208+E209-F209</f>
        <v>14481162</v>
      </c>
      <c r="H209" s="279" t="s">
        <v>29</v>
      </c>
      <c r="I209" s="279"/>
      <c r="J209" s="279"/>
      <c r="K209" s="279"/>
      <c r="L209" s="279"/>
      <c r="M209" s="279"/>
      <c r="N209" s="279"/>
      <c r="O209" s="279"/>
    </row>
    <row r="210" spans="1:15" s="278" customFormat="1" ht="16.5">
      <c r="A210" s="277">
        <v>45184</v>
      </c>
      <c r="B210" s="278" t="s">
        <v>343</v>
      </c>
      <c r="C210" s="283" t="s">
        <v>75</v>
      </c>
      <c r="E210" s="307">
        <v>79000</v>
      </c>
      <c r="F210" s="308"/>
      <c r="G210" s="211">
        <f>G209+E210-F210</f>
        <v>14560162</v>
      </c>
      <c r="H210" s="278" t="s">
        <v>268</v>
      </c>
      <c r="J210" s="307"/>
      <c r="K210" s="307"/>
      <c r="L210" s="307"/>
      <c r="M210" s="307"/>
      <c r="N210" s="307"/>
      <c r="O210" s="307"/>
    </row>
    <row r="211" spans="1:15" s="278" customFormat="1" ht="16.5">
      <c r="A211" s="281">
        <v>45184</v>
      </c>
      <c r="B211" s="279" t="s">
        <v>537</v>
      </c>
      <c r="C211" s="279" t="s">
        <v>34</v>
      </c>
      <c r="D211" s="278" t="s">
        <v>154</v>
      </c>
      <c r="E211" s="279"/>
      <c r="F211" s="282">
        <v>15000</v>
      </c>
      <c r="G211" s="211">
        <f>G210+E211-F211</f>
        <v>14545162</v>
      </c>
      <c r="H211" s="279" t="s">
        <v>197</v>
      </c>
      <c r="I211" s="278" t="s">
        <v>331</v>
      </c>
      <c r="J211" s="278" t="s">
        <v>102</v>
      </c>
      <c r="K211" s="278" t="s">
        <v>199</v>
      </c>
      <c r="L211" s="278" t="s">
        <v>631</v>
      </c>
      <c r="M211" s="291" t="s">
        <v>728</v>
      </c>
      <c r="N211" s="279" t="s">
        <v>651</v>
      </c>
      <c r="O211" s="279"/>
    </row>
    <row r="212" spans="1:15" s="278" customFormat="1" ht="16.5">
      <c r="A212" s="277">
        <v>45185</v>
      </c>
      <c r="B212" s="278" t="s">
        <v>474</v>
      </c>
      <c r="C212" s="278" t="s">
        <v>301</v>
      </c>
      <c r="D212" s="278" t="s">
        <v>395</v>
      </c>
      <c r="E212" s="211"/>
      <c r="F212" s="227">
        <v>160000</v>
      </c>
      <c r="G212" s="211">
        <f>+G211+E212-F212</f>
        <v>14385162</v>
      </c>
      <c r="H212" s="278" t="s">
        <v>47</v>
      </c>
      <c r="I212" s="279" t="s">
        <v>331</v>
      </c>
      <c r="J212" s="278" t="s">
        <v>287</v>
      </c>
      <c r="K212" s="279" t="s">
        <v>198</v>
      </c>
      <c r="L212" s="279" t="s">
        <v>631</v>
      </c>
      <c r="N212" s="279"/>
    </row>
    <row r="213" spans="1:15" s="278" customFormat="1" ht="16.5">
      <c r="A213" s="281">
        <v>45185</v>
      </c>
      <c r="B213" s="288" t="s">
        <v>475</v>
      </c>
      <c r="C213" s="279" t="s">
        <v>301</v>
      </c>
      <c r="D213" s="278" t="s">
        <v>395</v>
      </c>
      <c r="E213" s="193"/>
      <c r="F213" s="227">
        <v>9700</v>
      </c>
      <c r="G213" s="211">
        <f>+G212+E213-F213</f>
        <v>14375462</v>
      </c>
      <c r="H213" s="278" t="s">
        <v>47</v>
      </c>
      <c r="I213" s="279" t="s">
        <v>331</v>
      </c>
      <c r="J213" s="278" t="s">
        <v>287</v>
      </c>
      <c r="K213" s="279" t="s">
        <v>198</v>
      </c>
      <c r="L213" s="279" t="s">
        <v>631</v>
      </c>
      <c r="N213" s="279"/>
    </row>
    <row r="214" spans="1:15" s="278" customFormat="1" ht="16.5">
      <c r="A214" s="277">
        <v>45185</v>
      </c>
      <c r="B214" s="278" t="s">
        <v>476</v>
      </c>
      <c r="C214" s="283" t="s">
        <v>75</v>
      </c>
      <c r="E214" s="278">
        <v>200000</v>
      </c>
      <c r="F214" s="296"/>
      <c r="G214" s="211">
        <f>+G213+E214-F214</f>
        <v>14575462</v>
      </c>
      <c r="H214" s="278" t="s">
        <v>47</v>
      </c>
      <c r="I214" s="279"/>
      <c r="K214" s="279"/>
      <c r="L214" s="279"/>
      <c r="N214" s="279"/>
    </row>
    <row r="215" spans="1:15" s="278" customFormat="1" ht="16.5">
      <c r="A215" s="277">
        <v>45185</v>
      </c>
      <c r="B215" s="278" t="s">
        <v>519</v>
      </c>
      <c r="C215" s="283" t="s">
        <v>75</v>
      </c>
      <c r="E215" s="211"/>
      <c r="F215" s="220">
        <v>200000</v>
      </c>
      <c r="G215" s="211">
        <f>G214+E215-F215</f>
        <v>14375462</v>
      </c>
      <c r="H215" s="278" t="s">
        <v>308</v>
      </c>
    </row>
    <row r="216" spans="1:15" s="278" customFormat="1" ht="16.5">
      <c r="A216" s="281">
        <v>45185</v>
      </c>
      <c r="B216" s="278" t="s">
        <v>497</v>
      </c>
      <c r="C216" s="279" t="s">
        <v>301</v>
      </c>
      <c r="D216" s="278" t="s">
        <v>395</v>
      </c>
      <c r="E216" s="211"/>
      <c r="F216" s="211">
        <v>6500</v>
      </c>
      <c r="G216" s="211">
        <f>G215+E216-F216</f>
        <v>14368962</v>
      </c>
      <c r="H216" s="278" t="s">
        <v>299</v>
      </c>
      <c r="I216" s="279" t="s">
        <v>328</v>
      </c>
      <c r="J216" s="278" t="s">
        <v>287</v>
      </c>
      <c r="K216" s="279" t="s">
        <v>198</v>
      </c>
      <c r="L216" s="279" t="s">
        <v>631</v>
      </c>
      <c r="N216" s="279"/>
      <c r="O216" s="211"/>
    </row>
    <row r="217" spans="1:15" s="278" customFormat="1" ht="16.5">
      <c r="A217" s="277">
        <v>45185</v>
      </c>
      <c r="B217" s="278" t="s">
        <v>525</v>
      </c>
      <c r="C217" s="278" t="s">
        <v>34</v>
      </c>
      <c r="D217" s="278" t="s">
        <v>395</v>
      </c>
      <c r="F217" s="279">
        <v>25000</v>
      </c>
      <c r="G217" s="211">
        <f>+G216+E217-F217</f>
        <v>14343962</v>
      </c>
      <c r="H217" s="290" t="s">
        <v>31</v>
      </c>
      <c r="I217" s="283" t="s">
        <v>328</v>
      </c>
      <c r="J217" s="278" t="s">
        <v>287</v>
      </c>
      <c r="K217" s="279" t="s">
        <v>198</v>
      </c>
      <c r="L217" s="279" t="s">
        <v>631</v>
      </c>
      <c r="N217" s="279"/>
    </row>
    <row r="218" spans="1:15" s="279" customFormat="1" ht="16.5">
      <c r="A218" s="277">
        <v>45185</v>
      </c>
      <c r="B218" s="279" t="s">
        <v>526</v>
      </c>
      <c r="C218" s="279" t="s">
        <v>301</v>
      </c>
      <c r="D218" s="278" t="s">
        <v>395</v>
      </c>
      <c r="E218" s="278"/>
      <c r="F218" s="278">
        <v>12500</v>
      </c>
      <c r="G218" s="211">
        <f>+G217+E218-F218</f>
        <v>14331462</v>
      </c>
      <c r="H218" s="290" t="s">
        <v>31</v>
      </c>
      <c r="I218" s="283" t="s">
        <v>328</v>
      </c>
      <c r="J218" s="278" t="s">
        <v>287</v>
      </c>
      <c r="K218" s="279" t="s">
        <v>198</v>
      </c>
      <c r="L218" s="279" t="s">
        <v>631</v>
      </c>
      <c r="M218" s="278"/>
      <c r="O218" s="284"/>
    </row>
    <row r="219" spans="1:15" s="279" customFormat="1" ht="16.5">
      <c r="A219" s="277">
        <v>45185</v>
      </c>
      <c r="B219" s="292" t="s">
        <v>553</v>
      </c>
      <c r="C219" s="279" t="s">
        <v>301</v>
      </c>
      <c r="D219" s="279" t="s">
        <v>326</v>
      </c>
      <c r="E219" s="282"/>
      <c r="F219" s="278">
        <v>75000</v>
      </c>
      <c r="G219" s="211">
        <f>G218+E219-F219</f>
        <v>14256462</v>
      </c>
      <c r="H219" s="279" t="s">
        <v>93</v>
      </c>
      <c r="I219" s="279" t="s">
        <v>331</v>
      </c>
      <c r="J219" s="278" t="s">
        <v>287</v>
      </c>
      <c r="K219" s="278" t="s">
        <v>199</v>
      </c>
      <c r="L219" s="278" t="s">
        <v>631</v>
      </c>
      <c r="M219" s="291" t="s">
        <v>729</v>
      </c>
      <c r="N219" s="278" t="s">
        <v>652</v>
      </c>
      <c r="O219" s="278"/>
    </row>
    <row r="220" spans="1:15" s="279" customFormat="1" ht="16.5">
      <c r="A220" s="277">
        <v>45185</v>
      </c>
      <c r="B220" s="278" t="s">
        <v>554</v>
      </c>
      <c r="C220" s="279" t="s">
        <v>34</v>
      </c>
      <c r="D220" s="278" t="s">
        <v>395</v>
      </c>
      <c r="E220" s="299"/>
      <c r="F220" s="299">
        <v>70000</v>
      </c>
      <c r="G220" s="211">
        <f>G219+E220-F220</f>
        <v>14186462</v>
      </c>
      <c r="H220" s="278" t="s">
        <v>93</v>
      </c>
      <c r="I220" s="279" t="s">
        <v>331</v>
      </c>
      <c r="J220" s="278" t="s">
        <v>287</v>
      </c>
      <c r="K220" s="279" t="s">
        <v>198</v>
      </c>
      <c r="L220" s="279" t="s">
        <v>631</v>
      </c>
      <c r="M220" s="278"/>
      <c r="O220" s="278"/>
    </row>
    <row r="221" spans="1:15" s="279" customFormat="1" ht="16.5">
      <c r="A221" s="285">
        <v>45185</v>
      </c>
      <c r="B221" s="278" t="s">
        <v>555</v>
      </c>
      <c r="C221" s="278" t="s">
        <v>301</v>
      </c>
      <c r="D221" s="278" t="s">
        <v>395</v>
      </c>
      <c r="E221" s="278"/>
      <c r="F221" s="278">
        <v>7600</v>
      </c>
      <c r="G221" s="211">
        <f>G220+E221-F221</f>
        <v>14178862</v>
      </c>
      <c r="H221" s="290" t="s">
        <v>93</v>
      </c>
      <c r="I221" s="283" t="s">
        <v>331</v>
      </c>
      <c r="J221" s="278" t="s">
        <v>287</v>
      </c>
      <c r="K221" s="279" t="s">
        <v>198</v>
      </c>
      <c r="L221" s="279" t="s">
        <v>631</v>
      </c>
      <c r="M221" s="278"/>
      <c r="O221" s="284"/>
    </row>
    <row r="222" spans="1:15" s="279" customFormat="1" ht="16.5">
      <c r="A222" s="277">
        <v>45185</v>
      </c>
      <c r="B222" s="278" t="s">
        <v>582</v>
      </c>
      <c r="C222" s="278" t="s">
        <v>301</v>
      </c>
      <c r="D222" s="278" t="s">
        <v>395</v>
      </c>
      <c r="E222" s="211"/>
      <c r="F222" s="211">
        <v>5500</v>
      </c>
      <c r="G222" s="211">
        <f>G221+E222-F222</f>
        <v>14173362</v>
      </c>
      <c r="H222" s="278" t="s">
        <v>300</v>
      </c>
      <c r="I222" s="278" t="s">
        <v>328</v>
      </c>
      <c r="J222" s="278" t="s">
        <v>287</v>
      </c>
      <c r="K222" s="279" t="s">
        <v>198</v>
      </c>
      <c r="L222" s="279" t="s">
        <v>631</v>
      </c>
      <c r="M222" s="307"/>
      <c r="N222" s="307"/>
      <c r="O222" s="307"/>
    </row>
    <row r="223" spans="1:15" s="279" customFormat="1" ht="16.5">
      <c r="A223" s="277">
        <v>45185</v>
      </c>
      <c r="B223" s="279" t="s">
        <v>596</v>
      </c>
      <c r="C223" s="279" t="s">
        <v>301</v>
      </c>
      <c r="D223" s="278" t="s">
        <v>818</v>
      </c>
      <c r="F223" s="279">
        <v>150000</v>
      </c>
      <c r="G223" s="289">
        <f>+G222+E223-F223</f>
        <v>14023362</v>
      </c>
      <c r="H223" s="279" t="s">
        <v>29</v>
      </c>
      <c r="I223" s="279" t="s">
        <v>349</v>
      </c>
      <c r="J223" s="278" t="s">
        <v>819</v>
      </c>
      <c r="K223" s="278" t="s">
        <v>199</v>
      </c>
      <c r="L223" s="278" t="s">
        <v>631</v>
      </c>
      <c r="M223" s="291" t="s">
        <v>730</v>
      </c>
      <c r="N223" s="278" t="s">
        <v>652</v>
      </c>
    </row>
    <row r="224" spans="1:15" s="279" customFormat="1" ht="16.5">
      <c r="A224" s="285">
        <v>45186</v>
      </c>
      <c r="B224" s="278" t="s">
        <v>511</v>
      </c>
      <c r="C224" s="279" t="s">
        <v>34</v>
      </c>
      <c r="D224" s="278" t="s">
        <v>2</v>
      </c>
      <c r="E224" s="211"/>
      <c r="F224" s="211">
        <v>8000</v>
      </c>
      <c r="G224" s="211">
        <f t="shared" ref="G224:G229" si="10">G223+E224-F224</f>
        <v>14015362</v>
      </c>
      <c r="H224" s="278" t="s">
        <v>308</v>
      </c>
      <c r="I224" s="278" t="s">
        <v>331</v>
      </c>
      <c r="J224" s="278" t="s">
        <v>102</v>
      </c>
      <c r="K224" s="278" t="s">
        <v>199</v>
      </c>
      <c r="L224" s="278" t="s">
        <v>631</v>
      </c>
      <c r="M224" s="291" t="s">
        <v>731</v>
      </c>
      <c r="N224" s="279" t="s">
        <v>651</v>
      </c>
      <c r="O224" s="284"/>
    </row>
    <row r="225" spans="1:15" s="279" customFormat="1" ht="16.5">
      <c r="A225" s="277">
        <v>45186</v>
      </c>
      <c r="B225" s="304" t="s">
        <v>512</v>
      </c>
      <c r="C225" s="279" t="s">
        <v>338</v>
      </c>
      <c r="D225" s="278" t="s">
        <v>2</v>
      </c>
      <c r="E225" s="280"/>
      <c r="F225" s="286">
        <v>90000</v>
      </c>
      <c r="G225" s="211">
        <f t="shared" si="10"/>
        <v>13925362</v>
      </c>
      <c r="H225" s="278" t="s">
        <v>308</v>
      </c>
      <c r="I225" s="278" t="s">
        <v>331</v>
      </c>
      <c r="J225" s="278" t="s">
        <v>287</v>
      </c>
      <c r="K225" s="278" t="s">
        <v>199</v>
      </c>
      <c r="L225" s="278" t="s">
        <v>631</v>
      </c>
      <c r="M225" s="291" t="s">
        <v>722</v>
      </c>
      <c r="N225" s="278" t="s">
        <v>652</v>
      </c>
      <c r="O225" s="278"/>
    </row>
    <row r="226" spans="1:15" s="279" customFormat="1" ht="16.5">
      <c r="A226" s="287">
        <v>45186</v>
      </c>
      <c r="B226" s="278" t="s">
        <v>556</v>
      </c>
      <c r="C226" s="278" t="s">
        <v>301</v>
      </c>
      <c r="D226" s="279" t="s">
        <v>326</v>
      </c>
      <c r="E226" s="280"/>
      <c r="F226" s="278">
        <v>15000</v>
      </c>
      <c r="G226" s="211">
        <f t="shared" si="10"/>
        <v>13910362</v>
      </c>
      <c r="H226" s="290" t="s">
        <v>93</v>
      </c>
      <c r="I226" s="288" t="s">
        <v>331</v>
      </c>
      <c r="J226" s="278" t="s">
        <v>287</v>
      </c>
      <c r="K226" s="278" t="s">
        <v>199</v>
      </c>
      <c r="L226" s="278" t="s">
        <v>631</v>
      </c>
      <c r="M226" s="291" t="s">
        <v>732</v>
      </c>
      <c r="N226" s="278" t="s">
        <v>652</v>
      </c>
      <c r="O226" s="278"/>
    </row>
    <row r="227" spans="1:15" s="279" customFormat="1" ht="16.5">
      <c r="A227" s="277">
        <v>45186</v>
      </c>
      <c r="B227" s="278" t="s">
        <v>557</v>
      </c>
      <c r="C227" s="278" t="s">
        <v>34</v>
      </c>
      <c r="D227" s="279" t="s">
        <v>326</v>
      </c>
      <c r="E227" s="278"/>
      <c r="F227" s="278">
        <v>5000</v>
      </c>
      <c r="G227" s="211">
        <f t="shared" si="10"/>
        <v>13905362</v>
      </c>
      <c r="H227" s="290" t="s">
        <v>93</v>
      </c>
      <c r="I227" s="283" t="s">
        <v>331</v>
      </c>
      <c r="J227" s="278" t="s">
        <v>102</v>
      </c>
      <c r="K227" s="278" t="s">
        <v>199</v>
      </c>
      <c r="L227" s="278" t="s">
        <v>631</v>
      </c>
      <c r="M227" s="291" t="s">
        <v>733</v>
      </c>
      <c r="N227" s="279" t="s">
        <v>651</v>
      </c>
    </row>
    <row r="228" spans="1:15" s="279" customFormat="1" ht="16.5">
      <c r="A228" s="277">
        <v>45186</v>
      </c>
      <c r="B228" s="278" t="s">
        <v>583</v>
      </c>
      <c r="C228" s="278" t="s">
        <v>34</v>
      </c>
      <c r="D228" s="278" t="s">
        <v>154</v>
      </c>
      <c r="E228" s="211"/>
      <c r="F228" s="211">
        <v>8000</v>
      </c>
      <c r="G228" s="211">
        <f t="shared" si="10"/>
        <v>13897362</v>
      </c>
      <c r="H228" s="278" t="s">
        <v>300</v>
      </c>
      <c r="I228" s="278" t="s">
        <v>328</v>
      </c>
      <c r="J228" s="278" t="s">
        <v>287</v>
      </c>
      <c r="K228" s="278" t="s">
        <v>199</v>
      </c>
      <c r="L228" s="278" t="s">
        <v>631</v>
      </c>
      <c r="M228" s="291" t="s">
        <v>734</v>
      </c>
      <c r="N228" s="279" t="s">
        <v>651</v>
      </c>
      <c r="O228" s="307"/>
    </row>
    <row r="229" spans="1:15" s="279" customFormat="1" ht="16.5">
      <c r="A229" s="277">
        <v>45186</v>
      </c>
      <c r="B229" s="278" t="s">
        <v>584</v>
      </c>
      <c r="C229" s="278" t="s">
        <v>301</v>
      </c>
      <c r="D229" s="278" t="s">
        <v>154</v>
      </c>
      <c r="E229" s="211"/>
      <c r="F229" s="211">
        <v>90000</v>
      </c>
      <c r="G229" s="211">
        <f t="shared" si="10"/>
        <v>13807362</v>
      </c>
      <c r="H229" s="278" t="s">
        <v>300</v>
      </c>
      <c r="I229" s="278" t="s">
        <v>328</v>
      </c>
      <c r="J229" s="278" t="s">
        <v>287</v>
      </c>
      <c r="K229" s="278" t="s">
        <v>199</v>
      </c>
      <c r="L229" s="278" t="s">
        <v>631</v>
      </c>
      <c r="M229" s="291" t="s">
        <v>735</v>
      </c>
      <c r="N229" s="278" t="s">
        <v>652</v>
      </c>
      <c r="O229" s="307"/>
    </row>
    <row r="230" spans="1:15" s="279" customFormat="1" ht="16.5">
      <c r="A230" s="277">
        <v>45186</v>
      </c>
      <c r="B230" s="279" t="s">
        <v>597</v>
      </c>
      <c r="C230" s="279" t="s">
        <v>301</v>
      </c>
      <c r="D230" s="278" t="s">
        <v>818</v>
      </c>
      <c r="F230" s="279">
        <v>15000</v>
      </c>
      <c r="G230" s="289">
        <f>+G229+E230-F230</f>
        <v>13792362</v>
      </c>
      <c r="H230" s="279" t="s">
        <v>29</v>
      </c>
      <c r="I230" s="279" t="s">
        <v>349</v>
      </c>
      <c r="J230" s="278" t="s">
        <v>819</v>
      </c>
      <c r="K230" s="278" t="s">
        <v>199</v>
      </c>
      <c r="L230" s="278" t="s">
        <v>631</v>
      </c>
      <c r="M230" s="291" t="s">
        <v>736</v>
      </c>
      <c r="N230" s="278" t="s">
        <v>652</v>
      </c>
    </row>
    <row r="231" spans="1:15" s="279" customFormat="1" ht="16.5">
      <c r="A231" s="277">
        <v>45186</v>
      </c>
      <c r="B231" s="279" t="s">
        <v>598</v>
      </c>
      <c r="C231" s="279" t="s">
        <v>34</v>
      </c>
      <c r="D231" s="278" t="s">
        <v>818</v>
      </c>
      <c r="F231" s="279">
        <v>5000</v>
      </c>
      <c r="G231" s="289">
        <f>+G230+E231-F231</f>
        <v>13787362</v>
      </c>
      <c r="H231" s="279" t="s">
        <v>29</v>
      </c>
      <c r="I231" s="279" t="s">
        <v>349</v>
      </c>
      <c r="J231" s="278" t="s">
        <v>102</v>
      </c>
      <c r="K231" s="278" t="s">
        <v>199</v>
      </c>
      <c r="L231" s="278" t="s">
        <v>631</v>
      </c>
      <c r="M231" s="291" t="s">
        <v>737</v>
      </c>
      <c r="N231" s="279" t="s">
        <v>651</v>
      </c>
    </row>
    <row r="232" spans="1:15" s="279" customFormat="1" ht="16.5">
      <c r="A232" s="277">
        <v>45186</v>
      </c>
      <c r="B232" s="278" t="s">
        <v>615</v>
      </c>
      <c r="C232" s="278" t="s">
        <v>338</v>
      </c>
      <c r="D232" s="278" t="s">
        <v>818</v>
      </c>
      <c r="E232" s="307"/>
      <c r="F232" s="308">
        <v>15000</v>
      </c>
      <c r="G232" s="211">
        <f>G231+E232-F232</f>
        <v>13772362</v>
      </c>
      <c r="H232" s="278" t="s">
        <v>268</v>
      </c>
      <c r="I232" s="278" t="s">
        <v>328</v>
      </c>
      <c r="J232" s="278" t="s">
        <v>819</v>
      </c>
      <c r="K232" s="278" t="s">
        <v>199</v>
      </c>
      <c r="L232" s="278" t="s">
        <v>631</v>
      </c>
      <c r="M232" s="291" t="s">
        <v>738</v>
      </c>
      <c r="N232" s="278" t="s">
        <v>652</v>
      </c>
      <c r="O232" s="307"/>
    </row>
    <row r="233" spans="1:15" s="278" customFormat="1" ht="16.5">
      <c r="A233" s="277">
        <v>45186</v>
      </c>
      <c r="B233" s="278" t="s">
        <v>616</v>
      </c>
      <c r="C233" s="278" t="s">
        <v>338</v>
      </c>
      <c r="D233" s="278" t="s">
        <v>395</v>
      </c>
      <c r="E233" s="307"/>
      <c r="F233" s="308">
        <v>160000</v>
      </c>
      <c r="G233" s="211">
        <f>G232+E233-F233</f>
        <v>13612362</v>
      </c>
      <c r="H233" s="278" t="s">
        <v>268</v>
      </c>
      <c r="I233" s="307" t="s">
        <v>328</v>
      </c>
      <c r="J233" s="278" t="s">
        <v>819</v>
      </c>
      <c r="K233" s="278" t="s">
        <v>198</v>
      </c>
      <c r="L233" s="278" t="s">
        <v>631</v>
      </c>
      <c r="M233" s="291"/>
      <c r="O233" s="307"/>
    </row>
    <row r="234" spans="1:15" s="278" customFormat="1" ht="16.5">
      <c r="A234" s="277">
        <v>45186</v>
      </c>
      <c r="B234" s="278" t="s">
        <v>617</v>
      </c>
      <c r="C234" s="278" t="s">
        <v>34</v>
      </c>
      <c r="D234" s="278" t="s">
        <v>818</v>
      </c>
      <c r="E234" s="307"/>
      <c r="F234" s="308">
        <v>5000</v>
      </c>
      <c r="G234" s="211">
        <f>G233+E234-F234</f>
        <v>13607362</v>
      </c>
      <c r="H234" s="278" t="s">
        <v>268</v>
      </c>
      <c r="I234" s="278" t="s">
        <v>328</v>
      </c>
      <c r="J234" s="278" t="s">
        <v>287</v>
      </c>
      <c r="K234" s="278" t="s">
        <v>199</v>
      </c>
      <c r="L234" s="278" t="s">
        <v>631</v>
      </c>
      <c r="M234" s="291" t="s">
        <v>739</v>
      </c>
      <c r="N234" s="279" t="s">
        <v>651</v>
      </c>
      <c r="O234" s="307"/>
    </row>
    <row r="235" spans="1:15" s="278" customFormat="1" ht="16.5">
      <c r="A235" s="287">
        <v>45187</v>
      </c>
      <c r="B235" s="278" t="s">
        <v>372</v>
      </c>
      <c r="C235" s="279" t="s">
        <v>373</v>
      </c>
      <c r="D235" s="279" t="s">
        <v>326</v>
      </c>
      <c r="F235" s="278">
        <v>8250</v>
      </c>
      <c r="G235" s="211">
        <f t="shared" ref="G235:G244" si="11">+G234+E235-F235</f>
        <v>13599112</v>
      </c>
      <c r="H235" s="278" t="s">
        <v>25</v>
      </c>
      <c r="I235" s="279" t="s">
        <v>331</v>
      </c>
      <c r="J235" s="278" t="s">
        <v>102</v>
      </c>
      <c r="K235" s="278" t="s">
        <v>199</v>
      </c>
      <c r="L235" s="278" t="s">
        <v>631</v>
      </c>
      <c r="M235" s="291" t="s">
        <v>740</v>
      </c>
      <c r="N235" s="279" t="s">
        <v>632</v>
      </c>
    </row>
    <row r="236" spans="1:15" s="278" customFormat="1" ht="15" customHeight="1">
      <c r="A236" s="285">
        <v>45187</v>
      </c>
      <c r="B236" s="288" t="s">
        <v>477</v>
      </c>
      <c r="C236" s="279" t="s">
        <v>229</v>
      </c>
      <c r="D236" s="278" t="s">
        <v>395</v>
      </c>
      <c r="F236" s="220">
        <v>160000</v>
      </c>
      <c r="G236" s="211">
        <f t="shared" si="11"/>
        <v>13439112</v>
      </c>
      <c r="H236" s="278" t="s">
        <v>47</v>
      </c>
      <c r="I236" s="278" t="s">
        <v>331</v>
      </c>
      <c r="J236" s="278" t="s">
        <v>287</v>
      </c>
      <c r="K236" s="279" t="s">
        <v>198</v>
      </c>
      <c r="L236" s="279" t="s">
        <v>631</v>
      </c>
    </row>
    <row r="237" spans="1:15" s="278" customFormat="1" ht="15" customHeight="1">
      <c r="A237" s="277">
        <v>45187</v>
      </c>
      <c r="B237" s="278" t="s">
        <v>478</v>
      </c>
      <c r="C237" s="279" t="s">
        <v>229</v>
      </c>
      <c r="D237" s="278" t="s">
        <v>395</v>
      </c>
      <c r="E237" s="211"/>
      <c r="F237" s="220">
        <v>20000</v>
      </c>
      <c r="G237" s="211">
        <f t="shared" si="11"/>
        <v>13419112</v>
      </c>
      <c r="H237" s="278" t="s">
        <v>47</v>
      </c>
      <c r="I237" s="278" t="s">
        <v>331</v>
      </c>
      <c r="J237" s="278" t="s">
        <v>287</v>
      </c>
      <c r="K237" s="279" t="s">
        <v>198</v>
      </c>
      <c r="L237" s="279" t="s">
        <v>631</v>
      </c>
      <c r="N237" s="279"/>
    </row>
    <row r="238" spans="1:15" s="278" customFormat="1" ht="15.6" customHeight="1">
      <c r="A238" s="285">
        <v>45187</v>
      </c>
      <c r="B238" s="300" t="s">
        <v>414</v>
      </c>
      <c r="C238" s="279" t="s">
        <v>75</v>
      </c>
      <c r="E238" s="278">
        <v>129250</v>
      </c>
      <c r="F238" s="296"/>
      <c r="G238" s="211">
        <f t="shared" si="11"/>
        <v>13548362</v>
      </c>
      <c r="H238" s="294" t="s">
        <v>25</v>
      </c>
      <c r="J238" s="290"/>
      <c r="K238" s="290"/>
      <c r="L238" s="290"/>
      <c r="N238" s="279"/>
    </row>
    <row r="239" spans="1:15" s="278" customFormat="1" ht="15" customHeight="1">
      <c r="A239" s="277">
        <v>45187</v>
      </c>
      <c r="B239" s="278" t="s">
        <v>415</v>
      </c>
      <c r="C239" s="278" t="s">
        <v>75</v>
      </c>
      <c r="E239" s="278">
        <v>2000000</v>
      </c>
      <c r="G239" s="211">
        <f t="shared" si="11"/>
        <v>15548362</v>
      </c>
      <c r="H239" s="278" t="s">
        <v>25</v>
      </c>
      <c r="K239" s="279"/>
      <c r="L239" s="279"/>
      <c r="N239" s="279"/>
    </row>
    <row r="240" spans="1:15" s="278" customFormat="1" ht="15.95" customHeight="1">
      <c r="A240" s="287">
        <v>45187</v>
      </c>
      <c r="B240" s="278" t="s">
        <v>371</v>
      </c>
      <c r="C240" s="279" t="s">
        <v>75</v>
      </c>
      <c r="E240" s="286"/>
      <c r="F240" s="299">
        <v>100000</v>
      </c>
      <c r="G240" s="211">
        <f t="shared" si="11"/>
        <v>15448362</v>
      </c>
      <c r="H240" s="278" t="s">
        <v>25</v>
      </c>
      <c r="I240" s="279"/>
      <c r="J240" s="279"/>
      <c r="K240" s="279"/>
      <c r="L240" s="279"/>
      <c r="N240" s="279"/>
    </row>
    <row r="241" spans="1:15" s="278" customFormat="1" ht="15.95" customHeight="1">
      <c r="A241" s="277">
        <v>45187</v>
      </c>
      <c r="B241" s="278" t="s">
        <v>329</v>
      </c>
      <c r="C241" s="278" t="s">
        <v>75</v>
      </c>
      <c r="F241" s="278">
        <v>75000</v>
      </c>
      <c r="G241" s="211">
        <f t="shared" si="11"/>
        <v>15373362</v>
      </c>
      <c r="H241" s="290" t="s">
        <v>25</v>
      </c>
      <c r="I241" s="283"/>
      <c r="L241" s="279"/>
      <c r="N241" s="279"/>
    </row>
    <row r="242" spans="1:15" s="278" customFormat="1" ht="15" customHeight="1">
      <c r="A242" s="281">
        <v>45187</v>
      </c>
      <c r="B242" s="278" t="s">
        <v>31</v>
      </c>
      <c r="C242" s="279" t="s">
        <v>75</v>
      </c>
      <c r="E242" s="211"/>
      <c r="F242" s="211">
        <v>100000</v>
      </c>
      <c r="G242" s="211">
        <f t="shared" si="11"/>
        <v>15273362</v>
      </c>
      <c r="H242" s="278" t="s">
        <v>25</v>
      </c>
    </row>
    <row r="243" spans="1:15" s="278" customFormat="1" ht="15" customHeight="1">
      <c r="A243" s="277">
        <v>45187</v>
      </c>
      <c r="B243" s="278" t="s">
        <v>442</v>
      </c>
      <c r="C243" s="278" t="s">
        <v>75</v>
      </c>
      <c r="D243" s="298"/>
      <c r="F243" s="286">
        <v>2000000</v>
      </c>
      <c r="G243" s="211">
        <f t="shared" si="11"/>
        <v>13273362</v>
      </c>
      <c r="H243" s="278" t="s">
        <v>24</v>
      </c>
      <c r="I243" s="283">
        <v>3654566</v>
      </c>
      <c r="K243" s="279"/>
      <c r="L243" s="279"/>
      <c r="N243" s="279"/>
    </row>
    <row r="244" spans="1:15" s="278" customFormat="1" ht="15" customHeight="1">
      <c r="A244" s="277">
        <v>45187</v>
      </c>
      <c r="B244" s="278" t="s">
        <v>464</v>
      </c>
      <c r="C244" s="283" t="s">
        <v>75</v>
      </c>
      <c r="E244" s="211">
        <v>75000</v>
      </c>
      <c r="F244" s="211"/>
      <c r="G244" s="211">
        <f t="shared" si="11"/>
        <v>13348362</v>
      </c>
      <c r="H244" s="278" t="s">
        <v>47</v>
      </c>
      <c r="K244" s="279"/>
      <c r="L244" s="279"/>
      <c r="N244" s="279"/>
      <c r="O244" s="211"/>
    </row>
    <row r="245" spans="1:15" s="278" customFormat="1" ht="15" customHeight="1">
      <c r="A245" s="277">
        <v>45187</v>
      </c>
      <c r="B245" s="290" t="s">
        <v>345</v>
      </c>
      <c r="C245" s="283" t="s">
        <v>75</v>
      </c>
      <c r="E245" s="228">
        <v>100000</v>
      </c>
      <c r="F245" s="228"/>
      <c r="G245" s="211">
        <f>G244+E245-F245</f>
        <v>13448362</v>
      </c>
      <c r="H245" s="290" t="s">
        <v>299</v>
      </c>
      <c r="K245" s="279"/>
      <c r="L245" s="279"/>
      <c r="M245" s="290"/>
      <c r="N245" s="290"/>
    </row>
    <row r="246" spans="1:15" s="278" customFormat="1" ht="15" customHeight="1">
      <c r="A246" s="281">
        <v>45187</v>
      </c>
      <c r="B246" s="278" t="s">
        <v>516</v>
      </c>
      <c r="C246" s="283" t="s">
        <v>75</v>
      </c>
      <c r="E246" s="211"/>
      <c r="F246" s="211">
        <v>129250</v>
      </c>
      <c r="G246" s="211">
        <f>G245+E246-F246</f>
        <v>13319112</v>
      </c>
      <c r="H246" s="278" t="s">
        <v>308</v>
      </c>
      <c r="K246" s="280"/>
    </row>
    <row r="247" spans="1:15" s="278" customFormat="1" ht="15.95" customHeight="1">
      <c r="A247" s="277">
        <v>45187</v>
      </c>
      <c r="B247" s="278" t="s">
        <v>346</v>
      </c>
      <c r="C247" s="283" t="s">
        <v>75</v>
      </c>
      <c r="E247" s="211">
        <v>100000</v>
      </c>
      <c r="F247" s="227"/>
      <c r="G247" s="211">
        <f>+G246+E247-F247</f>
        <v>13419112</v>
      </c>
      <c r="H247" s="278" t="s">
        <v>31</v>
      </c>
      <c r="K247" s="279"/>
      <c r="L247" s="279"/>
      <c r="N247" s="279"/>
    </row>
    <row r="248" spans="1:15" s="278" customFormat="1" ht="20.45" customHeight="1">
      <c r="A248" s="277">
        <v>45187</v>
      </c>
      <c r="B248" s="278" t="s">
        <v>653</v>
      </c>
      <c r="C248" s="279" t="s">
        <v>301</v>
      </c>
      <c r="D248" s="278" t="s">
        <v>154</v>
      </c>
      <c r="F248" s="279">
        <v>40000</v>
      </c>
      <c r="G248" s="211">
        <f>G247+E248-F248</f>
        <v>13379112</v>
      </c>
      <c r="H248" s="279" t="s">
        <v>197</v>
      </c>
      <c r="I248" s="278" t="s">
        <v>337</v>
      </c>
      <c r="J248" s="278" t="s">
        <v>287</v>
      </c>
      <c r="K248" s="278" t="s">
        <v>199</v>
      </c>
      <c r="L248" s="278" t="s">
        <v>631</v>
      </c>
      <c r="M248" s="291" t="s">
        <v>741</v>
      </c>
      <c r="N248" s="278" t="s">
        <v>652</v>
      </c>
      <c r="O248" s="279"/>
    </row>
    <row r="249" spans="1:15" s="278" customFormat="1" ht="15" customHeight="1">
      <c r="A249" s="277">
        <v>45188</v>
      </c>
      <c r="B249" s="288" t="s">
        <v>416</v>
      </c>
      <c r="C249" s="279" t="s">
        <v>373</v>
      </c>
      <c r="D249" s="279" t="s">
        <v>326</v>
      </c>
      <c r="F249" s="211">
        <v>5400</v>
      </c>
      <c r="G249" s="211">
        <f t="shared" ref="G249:G255" si="12">+G248+E249-F249</f>
        <v>13373712</v>
      </c>
      <c r="H249" s="278" t="s">
        <v>25</v>
      </c>
      <c r="I249" s="278" t="s">
        <v>331</v>
      </c>
      <c r="J249" s="278" t="s">
        <v>102</v>
      </c>
      <c r="K249" s="278" t="s">
        <v>199</v>
      </c>
      <c r="L249" s="278" t="s">
        <v>631</v>
      </c>
      <c r="M249" s="291" t="s">
        <v>742</v>
      </c>
      <c r="N249" s="279" t="s">
        <v>632</v>
      </c>
    </row>
    <row r="250" spans="1:15" s="278" customFormat="1" ht="14.25" customHeight="1">
      <c r="A250" s="277">
        <v>45188</v>
      </c>
      <c r="B250" s="279" t="s">
        <v>642</v>
      </c>
      <c r="C250" s="278" t="s">
        <v>318</v>
      </c>
      <c r="D250" s="278" t="s">
        <v>154</v>
      </c>
      <c r="F250" s="286">
        <v>150000</v>
      </c>
      <c r="G250" s="211">
        <f t="shared" si="12"/>
        <v>13223712</v>
      </c>
      <c r="H250" s="278" t="s">
        <v>24</v>
      </c>
      <c r="I250" s="283">
        <v>3654569</v>
      </c>
      <c r="J250" s="278" t="s">
        <v>352</v>
      </c>
      <c r="K250" s="278" t="s">
        <v>198</v>
      </c>
      <c r="L250" s="278" t="s">
        <v>631</v>
      </c>
      <c r="N250" s="279"/>
      <c r="O250" s="279"/>
    </row>
    <row r="251" spans="1:15" s="278" customFormat="1" ht="15" customHeight="1">
      <c r="A251" s="277">
        <v>45188</v>
      </c>
      <c r="B251" s="278" t="s">
        <v>197</v>
      </c>
      <c r="C251" s="278" t="s">
        <v>75</v>
      </c>
      <c r="F251" s="278">
        <v>125000</v>
      </c>
      <c r="G251" s="211">
        <f t="shared" si="12"/>
        <v>13098712</v>
      </c>
      <c r="H251" s="290" t="s">
        <v>25</v>
      </c>
      <c r="I251" s="283"/>
      <c r="L251" s="279"/>
      <c r="N251" s="279"/>
    </row>
    <row r="252" spans="1:15" s="278" customFormat="1" ht="16.5">
      <c r="A252" s="277">
        <v>45188</v>
      </c>
      <c r="B252" s="278" t="s">
        <v>93</v>
      </c>
      <c r="C252" s="279" t="s">
        <v>75</v>
      </c>
      <c r="E252" s="211"/>
      <c r="F252" s="211">
        <v>20000</v>
      </c>
      <c r="G252" s="211">
        <f t="shared" si="12"/>
        <v>13078712</v>
      </c>
      <c r="H252" s="278" t="s">
        <v>25</v>
      </c>
      <c r="K252" s="279"/>
      <c r="L252" s="279"/>
      <c r="N252" s="279"/>
    </row>
    <row r="253" spans="1:15" s="278" customFormat="1" ht="16.5">
      <c r="A253" s="285">
        <v>45188</v>
      </c>
      <c r="B253" s="278" t="s">
        <v>29</v>
      </c>
      <c r="C253" s="279" t="s">
        <v>75</v>
      </c>
      <c r="E253" s="211"/>
      <c r="F253" s="211">
        <v>45000</v>
      </c>
      <c r="G253" s="211">
        <f t="shared" si="12"/>
        <v>13033712</v>
      </c>
      <c r="H253" s="278" t="s">
        <v>25</v>
      </c>
      <c r="K253" s="279"/>
      <c r="L253" s="279"/>
      <c r="N253" s="279"/>
    </row>
    <row r="254" spans="1:15" s="278" customFormat="1" ht="16.5">
      <c r="A254" s="285">
        <v>45188</v>
      </c>
      <c r="B254" s="278" t="s">
        <v>268</v>
      </c>
      <c r="C254" s="278" t="s">
        <v>75</v>
      </c>
      <c r="E254" s="280"/>
      <c r="F254" s="278">
        <v>45000</v>
      </c>
      <c r="G254" s="211">
        <f t="shared" si="12"/>
        <v>12988712</v>
      </c>
      <c r="H254" s="290" t="s">
        <v>25</v>
      </c>
      <c r="I254" s="283"/>
      <c r="N254" s="279"/>
    </row>
    <row r="255" spans="1:15" s="278" customFormat="1" ht="16.5">
      <c r="A255" s="277">
        <v>45188</v>
      </c>
      <c r="B255" s="278" t="s">
        <v>317</v>
      </c>
      <c r="C255" s="278" t="s">
        <v>75</v>
      </c>
      <c r="E255" s="211"/>
      <c r="F255" s="211">
        <v>45000</v>
      </c>
      <c r="G255" s="211">
        <f t="shared" si="12"/>
        <v>12943712</v>
      </c>
      <c r="H255" s="278" t="s">
        <v>25</v>
      </c>
      <c r="K255" s="279"/>
      <c r="L255" s="279"/>
      <c r="N255" s="279"/>
    </row>
    <row r="256" spans="1:15" s="278" customFormat="1" ht="16.5">
      <c r="A256" s="277">
        <v>45188</v>
      </c>
      <c r="B256" s="278" t="s">
        <v>339</v>
      </c>
      <c r="C256" s="283" t="s">
        <v>75</v>
      </c>
      <c r="D256" s="227"/>
      <c r="E256" s="278">
        <v>125000</v>
      </c>
      <c r="G256" s="211">
        <f>G255+E256-F256</f>
        <v>13068712</v>
      </c>
      <c r="H256" s="279" t="s">
        <v>197</v>
      </c>
      <c r="J256" s="279"/>
      <c r="K256" s="279"/>
      <c r="L256" s="279"/>
      <c r="N256" s="279"/>
    </row>
    <row r="257" spans="1:18" s="278" customFormat="1" ht="16.5">
      <c r="A257" s="277">
        <v>45188</v>
      </c>
      <c r="B257" s="278" t="s">
        <v>342</v>
      </c>
      <c r="C257" s="283" t="s">
        <v>75</v>
      </c>
      <c r="E257" s="211">
        <v>20000</v>
      </c>
      <c r="F257" s="227"/>
      <c r="G257" s="211">
        <f>G256+E257-F257</f>
        <v>13088712</v>
      </c>
      <c r="H257" s="278" t="s">
        <v>93</v>
      </c>
      <c r="I257" s="279"/>
      <c r="K257" s="279"/>
      <c r="L257" s="279"/>
      <c r="N257" s="279"/>
    </row>
    <row r="258" spans="1:18" s="278" customFormat="1" ht="16.5">
      <c r="A258" s="287">
        <v>45188</v>
      </c>
      <c r="B258" s="292" t="s">
        <v>340</v>
      </c>
      <c r="C258" s="283" t="s">
        <v>75</v>
      </c>
      <c r="D258" s="309"/>
      <c r="E258" s="303">
        <v>45000</v>
      </c>
      <c r="F258" s="286"/>
      <c r="G258" s="211">
        <f>G257+E258-F258</f>
        <v>13133712</v>
      </c>
      <c r="H258" s="278" t="s">
        <v>317</v>
      </c>
      <c r="I258" s="279"/>
      <c r="J258" s="279"/>
      <c r="L258" s="279"/>
      <c r="N258" s="279"/>
    </row>
    <row r="259" spans="1:18" s="278" customFormat="1" ht="16.5">
      <c r="A259" s="277">
        <v>45188</v>
      </c>
      <c r="B259" s="279" t="s">
        <v>350</v>
      </c>
      <c r="C259" s="283" t="s">
        <v>75</v>
      </c>
      <c r="E259" s="279">
        <v>45000</v>
      </c>
      <c r="F259" s="279"/>
      <c r="G259" s="289">
        <f>+G258+E259-F259</f>
        <v>13178712</v>
      </c>
      <c r="H259" s="279" t="s">
        <v>29</v>
      </c>
      <c r="I259" s="279"/>
      <c r="J259" s="279"/>
      <c r="K259" s="279"/>
      <c r="L259" s="279"/>
      <c r="M259" s="279"/>
      <c r="N259" s="279"/>
      <c r="O259" s="279"/>
    </row>
    <row r="260" spans="1:18" s="278" customFormat="1" ht="16.5">
      <c r="A260" s="277">
        <v>45188</v>
      </c>
      <c r="B260" s="278" t="s">
        <v>343</v>
      </c>
      <c r="C260" s="283" t="s">
        <v>75</v>
      </c>
      <c r="E260" s="307">
        <v>45000</v>
      </c>
      <c r="F260" s="307"/>
      <c r="G260" s="211">
        <f>G259+E260-F260</f>
        <v>13223712</v>
      </c>
      <c r="H260" s="278" t="s">
        <v>268</v>
      </c>
      <c r="I260" s="307"/>
      <c r="J260" s="307"/>
      <c r="K260" s="307"/>
      <c r="L260" s="307"/>
      <c r="M260" s="307"/>
      <c r="N260" s="307"/>
      <c r="O260" s="307"/>
    </row>
    <row r="261" spans="1:18" s="278" customFormat="1" ht="16.5">
      <c r="A261" s="287">
        <v>45188</v>
      </c>
      <c r="B261" s="278" t="s">
        <v>538</v>
      </c>
      <c r="C261" s="279" t="s">
        <v>34</v>
      </c>
      <c r="D261" s="278" t="s">
        <v>154</v>
      </c>
      <c r="F261" s="286">
        <v>5000</v>
      </c>
      <c r="G261" s="211">
        <f>G260+E261-F261</f>
        <v>13218712</v>
      </c>
      <c r="H261" s="278" t="s">
        <v>197</v>
      </c>
      <c r="I261" s="278" t="s">
        <v>331</v>
      </c>
      <c r="J261" s="278" t="s">
        <v>102</v>
      </c>
      <c r="K261" s="278" t="s">
        <v>199</v>
      </c>
      <c r="L261" s="278" t="s">
        <v>631</v>
      </c>
      <c r="M261" s="291" t="s">
        <v>743</v>
      </c>
      <c r="N261" s="279" t="s">
        <v>651</v>
      </c>
    </row>
    <row r="262" spans="1:18" s="278" customFormat="1" ht="16.5">
      <c r="A262" s="301">
        <v>45188</v>
      </c>
      <c r="B262" s="278" t="s">
        <v>567</v>
      </c>
      <c r="C262" s="279" t="s">
        <v>34</v>
      </c>
      <c r="D262" s="278" t="s">
        <v>818</v>
      </c>
      <c r="F262" s="278">
        <v>15000</v>
      </c>
      <c r="G262" s="211">
        <f>G261+E262-F262</f>
        <v>13203712</v>
      </c>
      <c r="H262" s="278" t="s">
        <v>317</v>
      </c>
      <c r="I262" s="279" t="s">
        <v>328</v>
      </c>
      <c r="J262" s="278" t="s">
        <v>287</v>
      </c>
      <c r="K262" s="278" t="s">
        <v>198</v>
      </c>
      <c r="L262" s="278" t="s">
        <v>631</v>
      </c>
      <c r="M262" s="291"/>
      <c r="N262" s="279"/>
    </row>
    <row r="263" spans="1:18" s="278" customFormat="1" ht="16.5">
      <c r="A263" s="277">
        <v>45188</v>
      </c>
      <c r="B263" s="278" t="s">
        <v>618</v>
      </c>
      <c r="C263" s="278" t="s">
        <v>34</v>
      </c>
      <c r="D263" s="278" t="s">
        <v>818</v>
      </c>
      <c r="E263" s="307"/>
      <c r="F263" s="308">
        <v>9000</v>
      </c>
      <c r="G263" s="211">
        <f>G262+E263-F263</f>
        <v>13194712</v>
      </c>
      <c r="H263" s="278" t="s">
        <v>268</v>
      </c>
      <c r="I263" s="278" t="s">
        <v>328</v>
      </c>
      <c r="J263" s="278" t="s">
        <v>287</v>
      </c>
      <c r="K263" s="278" t="s">
        <v>199</v>
      </c>
      <c r="L263" s="278" t="s">
        <v>631</v>
      </c>
      <c r="M263" s="291" t="s">
        <v>744</v>
      </c>
      <c r="N263" s="279" t="s">
        <v>651</v>
      </c>
      <c r="O263" s="307"/>
    </row>
    <row r="264" spans="1:18" s="278" customFormat="1" ht="16.5">
      <c r="A264" s="277">
        <v>45189</v>
      </c>
      <c r="B264" s="288" t="s">
        <v>417</v>
      </c>
      <c r="C264" s="279" t="s">
        <v>238</v>
      </c>
      <c r="D264" s="279" t="s">
        <v>326</v>
      </c>
      <c r="F264" s="278">
        <v>97500</v>
      </c>
      <c r="G264" s="211">
        <f>+G263+E264-F264</f>
        <v>13097212</v>
      </c>
      <c r="H264" s="278" t="s">
        <v>25</v>
      </c>
      <c r="I264" s="278" t="s">
        <v>328</v>
      </c>
      <c r="J264" s="278" t="s">
        <v>102</v>
      </c>
      <c r="K264" s="278" t="s">
        <v>199</v>
      </c>
      <c r="L264" s="278" t="s">
        <v>631</v>
      </c>
      <c r="M264" s="291" t="s">
        <v>745</v>
      </c>
      <c r="N264" s="279" t="s">
        <v>634</v>
      </c>
    </row>
    <row r="265" spans="1:18" s="278" customFormat="1" ht="16.5">
      <c r="A265" s="277">
        <v>45189</v>
      </c>
      <c r="B265" s="288" t="s">
        <v>418</v>
      </c>
      <c r="C265" s="279" t="s">
        <v>373</v>
      </c>
      <c r="D265" s="279" t="s">
        <v>326</v>
      </c>
      <c r="F265" s="211">
        <v>14850</v>
      </c>
      <c r="G265" s="211">
        <f>+G264+E265-F265</f>
        <v>13082362</v>
      </c>
      <c r="H265" s="278" t="s">
        <v>25</v>
      </c>
      <c r="I265" s="278" t="s">
        <v>328</v>
      </c>
      <c r="J265" s="278" t="s">
        <v>102</v>
      </c>
      <c r="K265" s="278" t="s">
        <v>199</v>
      </c>
      <c r="L265" s="278" t="s">
        <v>631</v>
      </c>
      <c r="M265" s="291" t="s">
        <v>746</v>
      </c>
      <c r="N265" s="279" t="s">
        <v>632</v>
      </c>
    </row>
    <row r="266" spans="1:18" s="278" customFormat="1" ht="16.5">
      <c r="A266" s="277">
        <v>45189</v>
      </c>
      <c r="B266" s="279" t="s">
        <v>419</v>
      </c>
      <c r="C266" s="279" t="s">
        <v>238</v>
      </c>
      <c r="D266" s="279" t="s">
        <v>326</v>
      </c>
      <c r="E266" s="279"/>
      <c r="F266" s="282">
        <v>25000</v>
      </c>
      <c r="G266" s="211">
        <f>+G265+E266-F266</f>
        <v>13057362</v>
      </c>
      <c r="H266" s="280" t="s">
        <v>25</v>
      </c>
      <c r="I266" s="278" t="s">
        <v>328</v>
      </c>
      <c r="J266" s="278" t="s">
        <v>102</v>
      </c>
      <c r="K266" s="278" t="s">
        <v>199</v>
      </c>
      <c r="L266" s="278" t="s">
        <v>631</v>
      </c>
      <c r="M266" s="291" t="s">
        <v>747</v>
      </c>
      <c r="N266" s="279" t="s">
        <v>635</v>
      </c>
      <c r="O266" s="279"/>
    </row>
    <row r="267" spans="1:18" s="278" customFormat="1" ht="16.5">
      <c r="A267" s="277">
        <v>45189</v>
      </c>
      <c r="B267" s="227" t="s">
        <v>402</v>
      </c>
      <c r="C267" s="279" t="s">
        <v>171</v>
      </c>
      <c r="D267" s="278" t="s">
        <v>2</v>
      </c>
      <c r="E267" s="279"/>
      <c r="F267" s="279">
        <v>10000</v>
      </c>
      <c r="G267" s="211">
        <f>+G266+E267-F267</f>
        <v>13047362</v>
      </c>
      <c r="H267" s="279" t="s">
        <v>25</v>
      </c>
      <c r="I267" s="278" t="s">
        <v>331</v>
      </c>
      <c r="J267" s="278" t="s">
        <v>102</v>
      </c>
      <c r="K267" s="279" t="s">
        <v>199</v>
      </c>
      <c r="L267" s="279" t="s">
        <v>631</v>
      </c>
      <c r="M267" s="291" t="s">
        <v>748</v>
      </c>
      <c r="N267" s="279" t="s">
        <v>650</v>
      </c>
      <c r="O267" s="279"/>
    </row>
    <row r="268" spans="1:18" s="278" customFormat="1" ht="16.5">
      <c r="A268" s="277">
        <v>45189</v>
      </c>
      <c r="B268" s="290" t="s">
        <v>329</v>
      </c>
      <c r="C268" s="290" t="s">
        <v>75</v>
      </c>
      <c r="E268" s="228"/>
      <c r="F268" s="228">
        <v>495000</v>
      </c>
      <c r="G268" s="211">
        <f>+G267+E268-F268</f>
        <v>12552362</v>
      </c>
      <c r="H268" s="290" t="s">
        <v>25</v>
      </c>
      <c r="J268" s="279"/>
      <c r="K268" s="279"/>
      <c r="L268" s="279"/>
      <c r="N268" s="279"/>
      <c r="P268" s="279"/>
      <c r="Q268" s="279"/>
      <c r="R268" s="279"/>
    </row>
    <row r="269" spans="1:18" s="278" customFormat="1" ht="16.5">
      <c r="A269" s="287">
        <v>45189</v>
      </c>
      <c r="B269" s="294" t="s">
        <v>539</v>
      </c>
      <c r="C269" s="279" t="s">
        <v>301</v>
      </c>
      <c r="D269" s="278" t="s">
        <v>154</v>
      </c>
      <c r="F269" s="305">
        <v>30000</v>
      </c>
      <c r="G269" s="211">
        <f>G268+E269-F269</f>
        <v>12522362</v>
      </c>
      <c r="H269" s="280" t="s">
        <v>197</v>
      </c>
      <c r="I269" s="279" t="s">
        <v>331</v>
      </c>
      <c r="J269" s="278" t="s">
        <v>287</v>
      </c>
      <c r="K269" s="278" t="s">
        <v>199</v>
      </c>
      <c r="L269" s="278" t="s">
        <v>631</v>
      </c>
      <c r="M269" s="291" t="s">
        <v>749</v>
      </c>
      <c r="N269" s="278" t="s">
        <v>652</v>
      </c>
      <c r="P269" s="279"/>
      <c r="Q269" s="279"/>
      <c r="R269" s="279"/>
    </row>
    <row r="270" spans="1:18" s="278" customFormat="1" ht="16.5">
      <c r="A270" s="277">
        <v>45189</v>
      </c>
      <c r="B270" s="278" t="s">
        <v>568</v>
      </c>
      <c r="C270" s="279" t="s">
        <v>301</v>
      </c>
      <c r="D270" s="278" t="s">
        <v>818</v>
      </c>
      <c r="E270" s="211"/>
      <c r="F270" s="220">
        <v>70000</v>
      </c>
      <c r="G270" s="211">
        <f>G269+E270-F270</f>
        <v>12452362</v>
      </c>
      <c r="H270" s="278" t="s">
        <v>317</v>
      </c>
      <c r="I270" s="278" t="s">
        <v>337</v>
      </c>
      <c r="J270" s="278" t="s">
        <v>819</v>
      </c>
      <c r="K270" s="278" t="s">
        <v>198</v>
      </c>
      <c r="L270" s="278" t="s">
        <v>631</v>
      </c>
      <c r="M270" s="291"/>
      <c r="P270" s="279"/>
      <c r="Q270" s="279"/>
      <c r="R270" s="279"/>
    </row>
    <row r="271" spans="1:18" s="278" customFormat="1" ht="16.5">
      <c r="A271" s="277">
        <v>45189</v>
      </c>
      <c r="B271" s="279" t="s">
        <v>599</v>
      </c>
      <c r="C271" s="279" t="s">
        <v>34</v>
      </c>
      <c r="D271" s="278" t="s">
        <v>818</v>
      </c>
      <c r="E271" s="279"/>
      <c r="F271" s="279">
        <v>15000</v>
      </c>
      <c r="G271" s="289">
        <f>+G270+E271-F271</f>
        <v>12437362</v>
      </c>
      <c r="H271" s="279" t="s">
        <v>29</v>
      </c>
      <c r="I271" s="279" t="s">
        <v>349</v>
      </c>
      <c r="J271" s="278" t="s">
        <v>102</v>
      </c>
      <c r="K271" s="278" t="s">
        <v>199</v>
      </c>
      <c r="L271" s="278" t="s">
        <v>631</v>
      </c>
      <c r="M271" s="291" t="s">
        <v>750</v>
      </c>
      <c r="N271" s="279" t="s">
        <v>651</v>
      </c>
      <c r="O271" s="279"/>
      <c r="P271" s="279"/>
      <c r="Q271" s="279"/>
      <c r="R271" s="279"/>
    </row>
    <row r="272" spans="1:18" s="278" customFormat="1" ht="16.5">
      <c r="A272" s="277">
        <v>45189</v>
      </c>
      <c r="B272" s="279" t="s">
        <v>600</v>
      </c>
      <c r="C272" s="279" t="s">
        <v>301</v>
      </c>
      <c r="D272" s="278" t="s">
        <v>818</v>
      </c>
      <c r="E272" s="279"/>
      <c r="F272" s="279">
        <v>70000</v>
      </c>
      <c r="G272" s="289">
        <f>+G271+E272-F272</f>
        <v>12367362</v>
      </c>
      <c r="H272" s="279" t="s">
        <v>29</v>
      </c>
      <c r="I272" s="278" t="s">
        <v>337</v>
      </c>
      <c r="J272" s="278" t="s">
        <v>819</v>
      </c>
      <c r="K272" s="278" t="s">
        <v>199</v>
      </c>
      <c r="L272" s="278" t="s">
        <v>631</v>
      </c>
      <c r="M272" s="291" t="s">
        <v>751</v>
      </c>
      <c r="N272" s="278" t="s">
        <v>652</v>
      </c>
      <c r="O272" s="279"/>
      <c r="P272" s="279"/>
      <c r="Q272" s="279"/>
      <c r="R272" s="279"/>
    </row>
    <row r="273" spans="1:18" s="278" customFormat="1" ht="16.5">
      <c r="A273" s="277">
        <v>45189</v>
      </c>
      <c r="B273" s="278" t="s">
        <v>619</v>
      </c>
      <c r="C273" s="278" t="s">
        <v>338</v>
      </c>
      <c r="D273" s="278" t="s">
        <v>818</v>
      </c>
      <c r="E273" s="307"/>
      <c r="F273" s="308">
        <v>70000</v>
      </c>
      <c r="G273" s="211">
        <f>G272+E273-F273</f>
        <v>12297362</v>
      </c>
      <c r="H273" s="278" t="s">
        <v>268</v>
      </c>
      <c r="I273" s="278" t="s">
        <v>337</v>
      </c>
      <c r="J273" s="278" t="s">
        <v>819</v>
      </c>
      <c r="K273" s="278" t="s">
        <v>199</v>
      </c>
      <c r="L273" s="278" t="s">
        <v>631</v>
      </c>
      <c r="M273" s="291" t="s">
        <v>752</v>
      </c>
      <c r="N273" s="278" t="s">
        <v>652</v>
      </c>
      <c r="O273" s="307"/>
      <c r="P273" s="279"/>
      <c r="Q273" s="279"/>
      <c r="R273" s="279"/>
    </row>
    <row r="274" spans="1:18" s="278" customFormat="1" ht="16.5">
      <c r="A274" s="277">
        <v>45189</v>
      </c>
      <c r="B274" s="278" t="s">
        <v>620</v>
      </c>
      <c r="C274" s="278" t="s">
        <v>34</v>
      </c>
      <c r="D274" s="278" t="s">
        <v>818</v>
      </c>
      <c r="E274" s="307"/>
      <c r="F274" s="308">
        <v>3500</v>
      </c>
      <c r="G274" s="211">
        <f>G273+E274-F274</f>
        <v>12293862</v>
      </c>
      <c r="H274" s="278" t="s">
        <v>268</v>
      </c>
      <c r="I274" s="278" t="s">
        <v>328</v>
      </c>
      <c r="J274" s="278" t="s">
        <v>287</v>
      </c>
      <c r="K274" s="278" t="s">
        <v>199</v>
      </c>
      <c r="L274" s="278" t="s">
        <v>631</v>
      </c>
      <c r="M274" s="291" t="s">
        <v>753</v>
      </c>
      <c r="N274" s="279" t="s">
        <v>651</v>
      </c>
      <c r="O274" s="307"/>
      <c r="P274" s="279"/>
      <c r="Q274" s="279"/>
      <c r="R274" s="279"/>
    </row>
    <row r="275" spans="1:18" s="278" customFormat="1" ht="16.5">
      <c r="A275" s="277">
        <v>45190</v>
      </c>
      <c r="B275" s="278" t="s">
        <v>420</v>
      </c>
      <c r="C275" s="279" t="s">
        <v>373</v>
      </c>
      <c r="D275" s="279" t="s">
        <v>326</v>
      </c>
      <c r="F275" s="278">
        <v>19440</v>
      </c>
      <c r="G275" s="211">
        <f t="shared" ref="G275:G284" si="13">+G274+E275-F275</f>
        <v>12274422</v>
      </c>
      <c r="H275" s="278" t="s">
        <v>25</v>
      </c>
      <c r="I275" s="278" t="s">
        <v>331</v>
      </c>
      <c r="J275" s="278" t="s">
        <v>102</v>
      </c>
      <c r="K275" s="278" t="s">
        <v>199</v>
      </c>
      <c r="L275" s="278" t="s">
        <v>631</v>
      </c>
      <c r="M275" s="291" t="s">
        <v>754</v>
      </c>
      <c r="N275" s="279" t="s">
        <v>632</v>
      </c>
      <c r="P275" s="279"/>
      <c r="Q275" s="279"/>
      <c r="R275" s="279"/>
    </row>
    <row r="276" spans="1:18" s="278" customFormat="1" ht="16.5">
      <c r="A276" s="277">
        <v>45190</v>
      </c>
      <c r="B276" s="278" t="s">
        <v>332</v>
      </c>
      <c r="C276" s="279" t="s">
        <v>373</v>
      </c>
      <c r="D276" s="279" t="s">
        <v>326</v>
      </c>
      <c r="E276" s="211"/>
      <c r="F276" s="211">
        <v>6300</v>
      </c>
      <c r="G276" s="211">
        <f t="shared" si="13"/>
        <v>12268122</v>
      </c>
      <c r="H276" s="278" t="s">
        <v>25</v>
      </c>
      <c r="I276" s="279" t="s">
        <v>331</v>
      </c>
      <c r="J276" s="278" t="s">
        <v>287</v>
      </c>
      <c r="K276" s="279" t="s">
        <v>198</v>
      </c>
      <c r="L276" s="279" t="s">
        <v>631</v>
      </c>
      <c r="N276" s="279"/>
      <c r="P276" s="279"/>
      <c r="Q276" s="279"/>
      <c r="R276" s="279"/>
    </row>
    <row r="277" spans="1:18" s="278" customFormat="1" ht="16.5">
      <c r="A277" s="281">
        <v>45190</v>
      </c>
      <c r="B277" s="279" t="s">
        <v>479</v>
      </c>
      <c r="C277" s="279" t="s">
        <v>34</v>
      </c>
      <c r="D277" s="278" t="s">
        <v>395</v>
      </c>
      <c r="E277" s="279"/>
      <c r="F277" s="286">
        <v>131250</v>
      </c>
      <c r="G277" s="211">
        <f t="shared" si="13"/>
        <v>12136872</v>
      </c>
      <c r="H277" s="279" t="s">
        <v>47</v>
      </c>
      <c r="I277" s="278" t="s">
        <v>331</v>
      </c>
      <c r="J277" s="278" t="s">
        <v>287</v>
      </c>
      <c r="K277" s="279" t="s">
        <v>198</v>
      </c>
      <c r="L277" s="279" t="s">
        <v>631</v>
      </c>
      <c r="N277" s="279"/>
      <c r="O277" s="279"/>
      <c r="P277" s="279"/>
      <c r="Q277" s="279"/>
      <c r="R277" s="279"/>
    </row>
    <row r="278" spans="1:18" s="278" customFormat="1" ht="16.5">
      <c r="A278" s="287">
        <v>45190</v>
      </c>
      <c r="B278" s="288" t="s">
        <v>317</v>
      </c>
      <c r="C278" s="279" t="s">
        <v>75</v>
      </c>
      <c r="F278" s="227">
        <v>210000</v>
      </c>
      <c r="G278" s="211">
        <f t="shared" si="13"/>
        <v>11926872</v>
      </c>
      <c r="H278" s="280" t="s">
        <v>25</v>
      </c>
      <c r="N278" s="279"/>
      <c r="P278" s="279"/>
      <c r="Q278" s="279"/>
      <c r="R278" s="279"/>
    </row>
    <row r="279" spans="1:18" s="278" customFormat="1" ht="16.5">
      <c r="A279" s="287">
        <v>45190</v>
      </c>
      <c r="B279" s="294" t="s">
        <v>268</v>
      </c>
      <c r="C279" s="279" t="s">
        <v>75</v>
      </c>
      <c r="E279" s="295"/>
      <c r="F279" s="296">
        <v>211000</v>
      </c>
      <c r="G279" s="211">
        <f t="shared" si="13"/>
        <v>11715872</v>
      </c>
      <c r="H279" s="297" t="s">
        <v>25</v>
      </c>
      <c r="K279" s="279"/>
      <c r="L279" s="279"/>
      <c r="N279" s="279"/>
      <c r="P279" s="279"/>
      <c r="Q279" s="279"/>
      <c r="R279" s="279"/>
    </row>
    <row r="280" spans="1:18" s="278" customFormat="1" ht="16.5">
      <c r="A280" s="287">
        <v>45190</v>
      </c>
      <c r="B280" s="294" t="s">
        <v>29</v>
      </c>
      <c r="C280" s="279" t="s">
        <v>75</v>
      </c>
      <c r="E280" s="295"/>
      <c r="F280" s="296">
        <v>212000</v>
      </c>
      <c r="G280" s="211">
        <f t="shared" si="13"/>
        <v>11503872</v>
      </c>
      <c r="H280" s="297" t="s">
        <v>25</v>
      </c>
      <c r="K280" s="279"/>
      <c r="L280" s="279"/>
      <c r="N280" s="279"/>
      <c r="P280" s="279"/>
      <c r="Q280" s="279"/>
      <c r="R280" s="279"/>
    </row>
    <row r="281" spans="1:18" s="278" customFormat="1" ht="16.5">
      <c r="A281" s="287">
        <v>45190</v>
      </c>
      <c r="B281" s="279" t="s">
        <v>329</v>
      </c>
      <c r="C281" s="279" t="s">
        <v>75</v>
      </c>
      <c r="F281" s="278">
        <v>75000</v>
      </c>
      <c r="G281" s="211">
        <f t="shared" si="13"/>
        <v>11428872</v>
      </c>
      <c r="H281" s="278" t="s">
        <v>25</v>
      </c>
      <c r="I281" s="279"/>
      <c r="K281" s="279"/>
      <c r="L281" s="279"/>
      <c r="N281" s="279"/>
      <c r="P281" s="279"/>
      <c r="Q281" s="279"/>
      <c r="R281" s="279"/>
    </row>
    <row r="282" spans="1:18" s="278" customFormat="1" ht="16.5">
      <c r="A282" s="277">
        <v>45190</v>
      </c>
      <c r="B282" s="278" t="s">
        <v>31</v>
      </c>
      <c r="C282" s="279" t="s">
        <v>75</v>
      </c>
      <c r="F282" s="278">
        <v>75000</v>
      </c>
      <c r="G282" s="211">
        <f t="shared" si="13"/>
        <v>11353872</v>
      </c>
      <c r="H282" s="278" t="s">
        <v>25</v>
      </c>
      <c r="I282" s="279"/>
      <c r="K282" s="279"/>
      <c r="L282" s="279"/>
      <c r="N282" s="279"/>
      <c r="P282" s="279"/>
      <c r="Q282" s="279"/>
      <c r="R282" s="279"/>
    </row>
    <row r="283" spans="1:18" s="278" customFormat="1" ht="16.5">
      <c r="A283" s="277">
        <v>45190</v>
      </c>
      <c r="B283" s="288" t="s">
        <v>371</v>
      </c>
      <c r="C283" s="278" t="s">
        <v>75</v>
      </c>
      <c r="F283" s="211">
        <v>75000</v>
      </c>
      <c r="G283" s="211">
        <f t="shared" si="13"/>
        <v>11278872</v>
      </c>
      <c r="H283" s="278" t="s">
        <v>25</v>
      </c>
      <c r="I283" s="279"/>
      <c r="N283" s="279"/>
      <c r="P283" s="279"/>
      <c r="Q283" s="279"/>
      <c r="R283" s="279"/>
    </row>
    <row r="284" spans="1:18" s="278" customFormat="1" ht="16.5">
      <c r="A284" s="277">
        <v>45190</v>
      </c>
      <c r="B284" s="279" t="s">
        <v>464</v>
      </c>
      <c r="C284" s="283" t="s">
        <v>75</v>
      </c>
      <c r="E284" s="279">
        <v>75000</v>
      </c>
      <c r="F284" s="279"/>
      <c r="G284" s="211">
        <f t="shared" si="13"/>
        <v>11353872</v>
      </c>
      <c r="H284" s="279" t="s">
        <v>47</v>
      </c>
      <c r="I284" s="279"/>
      <c r="J284" s="279"/>
      <c r="K284" s="279"/>
      <c r="L284" s="279"/>
      <c r="N284" s="279"/>
      <c r="O284" s="279"/>
      <c r="P284" s="279"/>
      <c r="Q284" s="279"/>
      <c r="R284" s="279"/>
    </row>
    <row r="285" spans="1:18" s="278" customFormat="1" ht="16.5">
      <c r="A285" s="277">
        <v>45190</v>
      </c>
      <c r="B285" s="290" t="s">
        <v>540</v>
      </c>
      <c r="C285" s="278" t="s">
        <v>501</v>
      </c>
      <c r="D285" s="278" t="s">
        <v>154</v>
      </c>
      <c r="E285" s="228"/>
      <c r="F285" s="228">
        <v>20000</v>
      </c>
      <c r="G285" s="211">
        <f>G284+E285-F285</f>
        <v>11333872</v>
      </c>
      <c r="H285" s="290" t="s">
        <v>197</v>
      </c>
      <c r="I285" s="278" t="s">
        <v>337</v>
      </c>
      <c r="J285" s="278" t="s">
        <v>287</v>
      </c>
      <c r="K285" s="278" t="s">
        <v>198</v>
      </c>
      <c r="L285" s="278" t="s">
        <v>631</v>
      </c>
      <c r="N285" s="279"/>
      <c r="P285" s="279"/>
      <c r="Q285" s="279"/>
      <c r="R285" s="279"/>
    </row>
    <row r="286" spans="1:18" s="278" customFormat="1" ht="16.5">
      <c r="A286" s="281">
        <v>45190</v>
      </c>
      <c r="B286" s="279" t="s">
        <v>464</v>
      </c>
      <c r="C286" s="283" t="s">
        <v>75</v>
      </c>
      <c r="E286" s="279">
        <v>495000</v>
      </c>
      <c r="F286" s="284"/>
      <c r="G286" s="211">
        <f>+G285+E286-F286</f>
        <v>11828872</v>
      </c>
      <c r="H286" s="279" t="s">
        <v>47</v>
      </c>
      <c r="K286" s="279"/>
      <c r="L286" s="279"/>
      <c r="N286" s="279"/>
      <c r="O286" s="279"/>
      <c r="P286" s="279"/>
      <c r="Q286" s="279"/>
      <c r="R286" s="279"/>
    </row>
    <row r="287" spans="1:18" s="278" customFormat="1" ht="16.5">
      <c r="A287" s="277">
        <v>45190</v>
      </c>
      <c r="B287" s="290" t="s">
        <v>345</v>
      </c>
      <c r="C287" s="283" t="s">
        <v>75</v>
      </c>
      <c r="E287" s="228">
        <v>75000</v>
      </c>
      <c r="F287" s="228"/>
      <c r="G287" s="211">
        <f>G286+E287-F287</f>
        <v>11903872</v>
      </c>
      <c r="H287" s="290" t="s">
        <v>299</v>
      </c>
      <c r="K287" s="279"/>
      <c r="L287" s="279"/>
      <c r="M287" s="290"/>
      <c r="N287" s="290"/>
      <c r="P287" s="279"/>
      <c r="Q287" s="279"/>
      <c r="R287" s="279"/>
    </row>
    <row r="288" spans="1:18" s="278" customFormat="1" ht="16.5">
      <c r="A288" s="277">
        <v>45190</v>
      </c>
      <c r="B288" s="278" t="s">
        <v>346</v>
      </c>
      <c r="C288" s="283" t="s">
        <v>75</v>
      </c>
      <c r="E288" s="278">
        <v>75000</v>
      </c>
      <c r="F288" s="296"/>
      <c r="G288" s="211">
        <f>+G287+E288-F288</f>
        <v>11978872</v>
      </c>
      <c r="H288" s="278" t="s">
        <v>31</v>
      </c>
      <c r="K288" s="280"/>
      <c r="N288" s="279"/>
      <c r="P288" s="279"/>
      <c r="Q288" s="279"/>
      <c r="R288" s="279"/>
    </row>
    <row r="289" spans="1:18" s="278" customFormat="1" ht="16.5">
      <c r="A289" s="277">
        <v>45190</v>
      </c>
      <c r="B289" s="278" t="s">
        <v>340</v>
      </c>
      <c r="C289" s="283" t="s">
        <v>75</v>
      </c>
      <c r="E289" s="278">
        <v>210000</v>
      </c>
      <c r="F289" s="295"/>
      <c r="G289" s="211">
        <f>G288+E289-F289</f>
        <v>12188872</v>
      </c>
      <c r="H289" s="280" t="s">
        <v>317</v>
      </c>
      <c r="N289" s="279"/>
      <c r="P289" s="279"/>
      <c r="Q289" s="279"/>
      <c r="R289" s="279"/>
    </row>
    <row r="290" spans="1:18" s="278" customFormat="1" ht="16.5">
      <c r="A290" s="277">
        <v>45190</v>
      </c>
      <c r="B290" s="279" t="s">
        <v>350</v>
      </c>
      <c r="C290" s="283" t="s">
        <v>75</v>
      </c>
      <c r="E290" s="279">
        <v>212000</v>
      </c>
      <c r="F290" s="279"/>
      <c r="G290" s="289">
        <f>+G289+E290-F290</f>
        <v>12400872</v>
      </c>
      <c r="H290" s="279" t="s">
        <v>29</v>
      </c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</row>
    <row r="291" spans="1:18" s="278" customFormat="1" ht="16.5">
      <c r="A291" s="277">
        <v>45190</v>
      </c>
      <c r="B291" s="278" t="s">
        <v>343</v>
      </c>
      <c r="C291" s="283" t="s">
        <v>75</v>
      </c>
      <c r="E291" s="307">
        <v>211000</v>
      </c>
      <c r="F291" s="308"/>
      <c r="G291" s="211">
        <f>G290+E291-F291</f>
        <v>12611872</v>
      </c>
      <c r="H291" s="278" t="s">
        <v>268</v>
      </c>
      <c r="J291" s="307"/>
      <c r="K291" s="307"/>
      <c r="L291" s="307"/>
      <c r="M291" s="307"/>
      <c r="N291" s="307"/>
      <c r="O291" s="307"/>
      <c r="P291" s="279"/>
      <c r="Q291" s="279"/>
      <c r="R291" s="279"/>
    </row>
    <row r="292" spans="1:18" s="278" customFormat="1" ht="16.5">
      <c r="A292" s="287">
        <v>45191</v>
      </c>
      <c r="B292" s="278" t="s">
        <v>422</v>
      </c>
      <c r="C292" s="279" t="s">
        <v>373</v>
      </c>
      <c r="D292" s="279" t="s">
        <v>326</v>
      </c>
      <c r="F292" s="278">
        <v>5970</v>
      </c>
      <c r="G292" s="211">
        <f>+G291+E292-F292</f>
        <v>12605902</v>
      </c>
      <c r="H292" s="278" t="s">
        <v>25</v>
      </c>
      <c r="I292" s="278" t="s">
        <v>331</v>
      </c>
      <c r="J292" s="278" t="s">
        <v>102</v>
      </c>
      <c r="K292" s="278" t="s">
        <v>199</v>
      </c>
      <c r="L292" s="278" t="s">
        <v>631</v>
      </c>
      <c r="M292" s="291" t="s">
        <v>755</v>
      </c>
      <c r="N292" s="279" t="s">
        <v>632</v>
      </c>
      <c r="P292" s="279"/>
      <c r="Q292" s="279"/>
      <c r="R292" s="279"/>
    </row>
    <row r="293" spans="1:18" s="278" customFormat="1" ht="16.5">
      <c r="A293" s="285">
        <v>45191</v>
      </c>
      <c r="B293" s="278" t="s">
        <v>480</v>
      </c>
      <c r="C293" s="279" t="s">
        <v>238</v>
      </c>
      <c r="D293" s="278" t="s">
        <v>395</v>
      </c>
      <c r="F293" s="278">
        <v>7000</v>
      </c>
      <c r="G293" s="211">
        <f>+G292+E293-F293</f>
        <v>12598902</v>
      </c>
      <c r="H293" s="279" t="s">
        <v>47</v>
      </c>
      <c r="I293" s="278" t="s">
        <v>328</v>
      </c>
      <c r="J293" s="278" t="s">
        <v>287</v>
      </c>
      <c r="K293" s="280" t="s">
        <v>198</v>
      </c>
      <c r="L293" s="278" t="s">
        <v>631</v>
      </c>
      <c r="N293" s="279"/>
      <c r="P293" s="279"/>
      <c r="Q293" s="279"/>
      <c r="R293" s="279"/>
    </row>
    <row r="294" spans="1:18" s="278" customFormat="1" ht="16.5">
      <c r="A294" s="285">
        <v>45191</v>
      </c>
      <c r="B294" s="278" t="s">
        <v>481</v>
      </c>
      <c r="C294" s="278" t="s">
        <v>301</v>
      </c>
      <c r="D294" s="278" t="s">
        <v>395</v>
      </c>
      <c r="E294" s="211"/>
      <c r="F294" s="211">
        <v>29800</v>
      </c>
      <c r="G294" s="211">
        <f>+G293+E294-F294</f>
        <v>12569102</v>
      </c>
      <c r="H294" s="279" t="s">
        <v>47</v>
      </c>
      <c r="I294" s="278" t="s">
        <v>331</v>
      </c>
      <c r="J294" s="278" t="s">
        <v>287</v>
      </c>
      <c r="K294" s="279" t="s">
        <v>198</v>
      </c>
      <c r="L294" s="279" t="s">
        <v>631</v>
      </c>
      <c r="N294" s="279"/>
      <c r="P294" s="279"/>
      <c r="Q294" s="279"/>
      <c r="R294" s="279"/>
    </row>
    <row r="295" spans="1:18" s="278" customFormat="1" ht="16.5">
      <c r="A295" s="287">
        <v>45191</v>
      </c>
      <c r="B295" s="278" t="s">
        <v>482</v>
      </c>
      <c r="C295" s="279" t="s">
        <v>229</v>
      </c>
      <c r="D295" s="278" t="s">
        <v>395</v>
      </c>
      <c r="F295" s="278">
        <v>100000</v>
      </c>
      <c r="G295" s="211">
        <f>+G294+E295-F295</f>
        <v>12469102</v>
      </c>
      <c r="H295" s="278" t="s">
        <v>47</v>
      </c>
      <c r="I295" s="278" t="s">
        <v>331</v>
      </c>
      <c r="J295" s="278" t="s">
        <v>287</v>
      </c>
      <c r="K295" s="279" t="s">
        <v>198</v>
      </c>
      <c r="L295" s="279" t="s">
        <v>631</v>
      </c>
      <c r="N295" s="279"/>
      <c r="P295" s="279"/>
      <c r="Q295" s="279"/>
      <c r="R295" s="279"/>
    </row>
    <row r="296" spans="1:18" s="278" customFormat="1" ht="16.5">
      <c r="A296" s="277">
        <v>45191</v>
      </c>
      <c r="B296" s="290" t="s">
        <v>541</v>
      </c>
      <c r="C296" s="279" t="s">
        <v>301</v>
      </c>
      <c r="D296" s="278" t="s">
        <v>154</v>
      </c>
      <c r="E296" s="228"/>
      <c r="F296" s="228">
        <v>30000</v>
      </c>
      <c r="G296" s="211">
        <f>G295+E296-F296</f>
        <v>12439102</v>
      </c>
      <c r="H296" s="290" t="s">
        <v>197</v>
      </c>
      <c r="I296" s="278" t="s">
        <v>331</v>
      </c>
      <c r="J296" s="278" t="s">
        <v>287</v>
      </c>
      <c r="K296" s="278" t="s">
        <v>199</v>
      </c>
      <c r="L296" s="278" t="s">
        <v>631</v>
      </c>
      <c r="M296" s="291" t="s">
        <v>756</v>
      </c>
      <c r="N296" s="278" t="s">
        <v>652</v>
      </c>
      <c r="P296" s="279"/>
      <c r="Q296" s="279"/>
      <c r="R296" s="279"/>
    </row>
    <row r="297" spans="1:18" s="278" customFormat="1" ht="16.5">
      <c r="A297" s="277">
        <v>45191</v>
      </c>
      <c r="B297" s="290" t="s">
        <v>542</v>
      </c>
      <c r="C297" s="290" t="s">
        <v>34</v>
      </c>
      <c r="D297" s="278" t="s">
        <v>154</v>
      </c>
      <c r="E297" s="228"/>
      <c r="F297" s="228">
        <v>10000</v>
      </c>
      <c r="G297" s="211">
        <f>G296+E297-F297</f>
        <v>12429102</v>
      </c>
      <c r="H297" s="290" t="s">
        <v>197</v>
      </c>
      <c r="I297" s="278" t="s">
        <v>328</v>
      </c>
      <c r="J297" s="278" t="s">
        <v>102</v>
      </c>
      <c r="K297" s="278" t="s">
        <v>199</v>
      </c>
      <c r="L297" s="278" t="s">
        <v>631</v>
      </c>
      <c r="M297" s="291" t="s">
        <v>757</v>
      </c>
      <c r="N297" s="279" t="s">
        <v>651</v>
      </c>
      <c r="P297" s="279"/>
      <c r="Q297" s="279"/>
      <c r="R297" s="279"/>
    </row>
    <row r="298" spans="1:18" s="278" customFormat="1" ht="16.5">
      <c r="A298" s="277">
        <v>45191</v>
      </c>
      <c r="B298" s="279" t="s">
        <v>421</v>
      </c>
      <c r="C298" s="279" t="s">
        <v>75</v>
      </c>
      <c r="E298" s="278">
        <v>2000000</v>
      </c>
      <c r="G298" s="211">
        <f>+G297+E298-F298</f>
        <v>14429102</v>
      </c>
      <c r="H298" s="278" t="s">
        <v>25</v>
      </c>
      <c r="I298" s="279"/>
      <c r="J298" s="279"/>
      <c r="K298" s="279"/>
      <c r="L298" s="279"/>
      <c r="N298" s="279"/>
      <c r="O298" s="284"/>
      <c r="P298" s="279"/>
      <c r="Q298" s="279"/>
      <c r="R298" s="279"/>
    </row>
    <row r="299" spans="1:18" s="278" customFormat="1" ht="16.5">
      <c r="A299" s="277">
        <v>45191</v>
      </c>
      <c r="B299" s="278" t="s">
        <v>329</v>
      </c>
      <c r="C299" s="279" t="s">
        <v>75</v>
      </c>
      <c r="E299" s="211"/>
      <c r="F299" s="211">
        <v>75000</v>
      </c>
      <c r="G299" s="211">
        <f>+G298+E299-F299</f>
        <v>14354102</v>
      </c>
      <c r="H299" s="278" t="s">
        <v>25</v>
      </c>
      <c r="I299" s="279"/>
      <c r="K299" s="279"/>
      <c r="L299" s="279"/>
      <c r="N299" s="279"/>
      <c r="P299" s="279"/>
      <c r="Q299" s="279"/>
      <c r="R299" s="279"/>
    </row>
    <row r="300" spans="1:18" s="278" customFormat="1" ht="16.5">
      <c r="A300" s="277">
        <v>45191</v>
      </c>
      <c r="B300" s="278" t="s">
        <v>31</v>
      </c>
      <c r="C300" s="279" t="s">
        <v>75</v>
      </c>
      <c r="E300" s="211"/>
      <c r="F300" s="211">
        <v>25000</v>
      </c>
      <c r="G300" s="211">
        <f>+G299+E300-F300</f>
        <v>14329102</v>
      </c>
      <c r="H300" s="278" t="s">
        <v>25</v>
      </c>
      <c r="K300" s="279"/>
      <c r="L300" s="279"/>
      <c r="N300" s="279"/>
      <c r="P300" s="279"/>
      <c r="Q300" s="279"/>
      <c r="R300" s="279"/>
    </row>
    <row r="301" spans="1:18" s="278" customFormat="1" ht="16.5">
      <c r="A301" s="277">
        <v>45191</v>
      </c>
      <c r="B301" s="278" t="s">
        <v>371</v>
      </c>
      <c r="C301" s="279" t="s">
        <v>75</v>
      </c>
      <c r="E301" s="211"/>
      <c r="F301" s="211">
        <v>99000</v>
      </c>
      <c r="G301" s="211">
        <f>+G300+E301-F301</f>
        <v>14230102</v>
      </c>
      <c r="H301" s="278" t="s">
        <v>25</v>
      </c>
      <c r="K301" s="279"/>
      <c r="L301" s="279"/>
      <c r="N301" s="211"/>
      <c r="O301" s="284"/>
      <c r="P301" s="279"/>
      <c r="Q301" s="279"/>
      <c r="R301" s="279"/>
    </row>
    <row r="302" spans="1:18" s="278" customFormat="1" ht="16.5">
      <c r="A302" s="281">
        <v>45191</v>
      </c>
      <c r="B302" s="278" t="s">
        <v>443</v>
      </c>
      <c r="C302" s="211" t="s">
        <v>75</v>
      </c>
      <c r="D302" s="211"/>
      <c r="F302" s="286">
        <v>2000000</v>
      </c>
      <c r="G302" s="211">
        <f>+G301+E302-F302</f>
        <v>12230102</v>
      </c>
      <c r="H302" s="278" t="s">
        <v>24</v>
      </c>
      <c r="I302" s="283">
        <v>3654570</v>
      </c>
      <c r="K302" s="279"/>
      <c r="L302" s="279"/>
      <c r="N302" s="279"/>
    </row>
    <row r="303" spans="1:18" s="278" customFormat="1" ht="16.5">
      <c r="A303" s="281">
        <v>45191</v>
      </c>
      <c r="B303" s="278" t="s">
        <v>569</v>
      </c>
      <c r="C303" s="279" t="s">
        <v>34</v>
      </c>
      <c r="D303" s="278" t="s">
        <v>818</v>
      </c>
      <c r="E303" s="211"/>
      <c r="F303" s="220">
        <v>8000</v>
      </c>
      <c r="G303" s="211">
        <f>G302+E303-F303</f>
        <v>12222102</v>
      </c>
      <c r="H303" s="278" t="s">
        <v>317</v>
      </c>
      <c r="I303" s="278" t="s">
        <v>328</v>
      </c>
      <c r="J303" s="278" t="s">
        <v>287</v>
      </c>
      <c r="K303" s="278" t="s">
        <v>198</v>
      </c>
      <c r="L303" s="278" t="s">
        <v>631</v>
      </c>
      <c r="M303" s="291"/>
      <c r="N303" s="279"/>
      <c r="P303" s="279"/>
      <c r="Q303" s="279"/>
      <c r="R303" s="279"/>
    </row>
    <row r="304" spans="1:18" s="279" customFormat="1" ht="16.5">
      <c r="A304" s="277">
        <v>45191</v>
      </c>
      <c r="B304" s="211" t="s">
        <v>345</v>
      </c>
      <c r="C304" s="283" t="s">
        <v>75</v>
      </c>
      <c r="D304" s="278"/>
      <c r="E304" s="278">
        <v>99000</v>
      </c>
      <c r="F304" s="283"/>
      <c r="G304" s="211">
        <f>G303+E304-F304</f>
        <v>12321102</v>
      </c>
      <c r="H304" s="278" t="s">
        <v>299</v>
      </c>
      <c r="I304" s="278"/>
      <c r="M304" s="278"/>
      <c r="O304" s="278"/>
    </row>
    <row r="305" spans="1:18" s="278" customFormat="1" ht="16.5">
      <c r="A305" s="277">
        <v>45191</v>
      </c>
      <c r="B305" s="288" t="s">
        <v>346</v>
      </c>
      <c r="C305" s="283" t="s">
        <v>75</v>
      </c>
      <c r="E305" s="278">
        <v>25000</v>
      </c>
      <c r="G305" s="211">
        <f>+G304+E305-F305</f>
        <v>12346102</v>
      </c>
      <c r="H305" s="278" t="s">
        <v>31</v>
      </c>
      <c r="K305" s="279"/>
      <c r="L305" s="279"/>
      <c r="N305" s="279"/>
      <c r="P305" s="279"/>
      <c r="Q305" s="279"/>
      <c r="R305" s="279"/>
    </row>
    <row r="306" spans="1:18" s="278" customFormat="1" ht="16.5">
      <c r="A306" s="277">
        <v>45192</v>
      </c>
      <c r="B306" s="278" t="s">
        <v>483</v>
      </c>
      <c r="C306" s="279" t="s">
        <v>301</v>
      </c>
      <c r="D306" s="278" t="s">
        <v>395</v>
      </c>
      <c r="E306" s="211"/>
      <c r="F306" s="211">
        <v>15000</v>
      </c>
      <c r="G306" s="211">
        <f>+G305+E306-F306</f>
        <v>12331102</v>
      </c>
      <c r="H306" s="278" t="s">
        <v>47</v>
      </c>
      <c r="I306" s="278" t="s">
        <v>331</v>
      </c>
      <c r="J306" s="278" t="s">
        <v>287</v>
      </c>
      <c r="K306" s="279" t="s">
        <v>198</v>
      </c>
      <c r="L306" s="279" t="s">
        <v>631</v>
      </c>
      <c r="N306" s="279"/>
      <c r="P306" s="279"/>
      <c r="Q306" s="279"/>
      <c r="R306" s="279"/>
    </row>
    <row r="307" spans="1:18" s="278" customFormat="1" ht="16.5">
      <c r="A307" s="287">
        <v>45192</v>
      </c>
      <c r="B307" s="288" t="s">
        <v>484</v>
      </c>
      <c r="C307" s="279" t="s">
        <v>301</v>
      </c>
      <c r="D307" s="278" t="s">
        <v>395</v>
      </c>
      <c r="E307" s="282"/>
      <c r="F307" s="220">
        <v>20000</v>
      </c>
      <c r="G307" s="211">
        <f>+G306+E307-F307</f>
        <v>12311102</v>
      </c>
      <c r="H307" s="280" t="s">
        <v>47</v>
      </c>
      <c r="I307" s="278" t="s">
        <v>331</v>
      </c>
      <c r="J307" s="278" t="s">
        <v>287</v>
      </c>
      <c r="K307" s="279" t="s">
        <v>198</v>
      </c>
      <c r="L307" s="279" t="s">
        <v>631</v>
      </c>
      <c r="N307" s="279"/>
    </row>
    <row r="308" spans="1:18" s="278" customFormat="1" ht="16.5">
      <c r="A308" s="277">
        <v>45192</v>
      </c>
      <c r="B308" s="278" t="s">
        <v>485</v>
      </c>
      <c r="C308" s="279" t="s">
        <v>34</v>
      </c>
      <c r="D308" s="278" t="s">
        <v>395</v>
      </c>
      <c r="E308" s="211"/>
      <c r="F308" s="220">
        <v>50000</v>
      </c>
      <c r="G308" s="211">
        <f>+G307+E308-F308</f>
        <v>12261102</v>
      </c>
      <c r="H308" s="278" t="s">
        <v>47</v>
      </c>
      <c r="I308" s="279" t="s">
        <v>331</v>
      </c>
      <c r="J308" s="278" t="s">
        <v>287</v>
      </c>
      <c r="K308" s="279" t="s">
        <v>198</v>
      </c>
      <c r="L308" s="279" t="s">
        <v>631</v>
      </c>
      <c r="N308" s="279"/>
    </row>
    <row r="309" spans="1:18" s="278" customFormat="1" ht="16.5">
      <c r="A309" s="277">
        <v>45192</v>
      </c>
      <c r="B309" s="278" t="s">
        <v>486</v>
      </c>
      <c r="C309" s="279" t="s">
        <v>229</v>
      </c>
      <c r="D309" s="278" t="s">
        <v>395</v>
      </c>
      <c r="F309" s="211">
        <v>150000</v>
      </c>
      <c r="G309" s="211">
        <f>+G308+E309-F309</f>
        <v>12111102</v>
      </c>
      <c r="H309" s="211" t="s">
        <v>47</v>
      </c>
      <c r="I309" s="278" t="s">
        <v>331</v>
      </c>
      <c r="J309" s="278" t="s">
        <v>287</v>
      </c>
      <c r="K309" s="279" t="s">
        <v>198</v>
      </c>
      <c r="L309" s="279" t="s">
        <v>631</v>
      </c>
      <c r="N309" s="279"/>
    </row>
    <row r="310" spans="1:18" s="278" customFormat="1" ht="16.5">
      <c r="A310" s="277">
        <v>45192</v>
      </c>
      <c r="B310" s="278" t="s">
        <v>570</v>
      </c>
      <c r="C310" s="279" t="s">
        <v>301</v>
      </c>
      <c r="D310" s="278" t="s">
        <v>818</v>
      </c>
      <c r="E310" s="211"/>
      <c r="F310" s="211">
        <v>45000</v>
      </c>
      <c r="G310" s="211">
        <f>G309+E310-F310</f>
        <v>12066102</v>
      </c>
      <c r="H310" s="279" t="s">
        <v>317</v>
      </c>
      <c r="I310" s="278" t="s">
        <v>328</v>
      </c>
      <c r="J310" s="278" t="s">
        <v>819</v>
      </c>
      <c r="K310" s="278" t="s">
        <v>198</v>
      </c>
      <c r="L310" s="278" t="s">
        <v>631</v>
      </c>
      <c r="M310" s="291"/>
    </row>
    <row r="311" spans="1:18" s="278" customFormat="1" ht="16.5">
      <c r="A311" s="277">
        <v>45192</v>
      </c>
      <c r="B311" s="278" t="s">
        <v>621</v>
      </c>
      <c r="C311" s="278" t="s">
        <v>338</v>
      </c>
      <c r="D311" s="278" t="s">
        <v>818</v>
      </c>
      <c r="E311" s="307"/>
      <c r="F311" s="308">
        <v>45000</v>
      </c>
      <c r="G311" s="211">
        <f>G310+E311-F311</f>
        <v>12021102</v>
      </c>
      <c r="H311" s="278" t="s">
        <v>268</v>
      </c>
      <c r="I311" s="278" t="s">
        <v>328</v>
      </c>
      <c r="J311" s="278" t="s">
        <v>819</v>
      </c>
      <c r="K311" s="278" t="s">
        <v>199</v>
      </c>
      <c r="L311" s="278" t="s">
        <v>631</v>
      </c>
      <c r="M311" s="291" t="s">
        <v>758</v>
      </c>
      <c r="N311" s="278" t="s">
        <v>652</v>
      </c>
      <c r="O311" s="307"/>
      <c r="P311" s="280"/>
      <c r="Q311" s="280"/>
      <c r="R311" s="280"/>
    </row>
    <row r="312" spans="1:18" s="278" customFormat="1" ht="16.5">
      <c r="A312" s="277">
        <v>45192</v>
      </c>
      <c r="B312" s="278" t="s">
        <v>622</v>
      </c>
      <c r="C312" s="278" t="s">
        <v>34</v>
      </c>
      <c r="D312" s="278" t="s">
        <v>818</v>
      </c>
      <c r="E312" s="307"/>
      <c r="F312" s="308">
        <v>8000</v>
      </c>
      <c r="G312" s="211">
        <f>G311+E312-F312</f>
        <v>12013102</v>
      </c>
      <c r="H312" s="278" t="s">
        <v>268</v>
      </c>
      <c r="I312" s="278" t="s">
        <v>328</v>
      </c>
      <c r="J312" s="278" t="s">
        <v>287</v>
      </c>
      <c r="K312" s="278" t="s">
        <v>199</v>
      </c>
      <c r="L312" s="278" t="s">
        <v>631</v>
      </c>
      <c r="M312" s="291" t="s">
        <v>760</v>
      </c>
      <c r="N312" s="279" t="s">
        <v>651</v>
      </c>
      <c r="O312" s="307"/>
    </row>
    <row r="313" spans="1:18" s="278" customFormat="1" ht="16.5">
      <c r="A313" s="285">
        <v>45194</v>
      </c>
      <c r="B313" s="288" t="s">
        <v>423</v>
      </c>
      <c r="C313" s="279" t="s">
        <v>373</v>
      </c>
      <c r="D313" s="279" t="s">
        <v>326</v>
      </c>
      <c r="F313" s="284">
        <v>750</v>
      </c>
      <c r="G313" s="211">
        <f>+G312+E313-F313</f>
        <v>12012352</v>
      </c>
      <c r="H313" s="278" t="s">
        <v>25</v>
      </c>
      <c r="I313" s="279" t="s">
        <v>331</v>
      </c>
      <c r="J313" s="278" t="s">
        <v>102</v>
      </c>
      <c r="K313" s="278" t="s">
        <v>199</v>
      </c>
      <c r="L313" s="278" t="s">
        <v>631</v>
      </c>
      <c r="M313" s="291" t="s">
        <v>759</v>
      </c>
      <c r="N313" s="279" t="s">
        <v>632</v>
      </c>
    </row>
    <row r="314" spans="1:18" s="278" customFormat="1" ht="16.5">
      <c r="A314" s="277">
        <v>45194</v>
      </c>
      <c r="B314" s="278" t="s">
        <v>640</v>
      </c>
      <c r="C314" s="279" t="s">
        <v>381</v>
      </c>
      <c r="D314" s="278" t="s">
        <v>154</v>
      </c>
      <c r="F314" s="227">
        <f>27000+72000</f>
        <v>99000</v>
      </c>
      <c r="G314" s="211">
        <f>+G313+E314-F314</f>
        <v>11913352</v>
      </c>
      <c r="H314" s="290" t="s">
        <v>25</v>
      </c>
      <c r="I314" s="278" t="s">
        <v>328</v>
      </c>
      <c r="J314" s="278" t="s">
        <v>352</v>
      </c>
      <c r="K314" s="278" t="s">
        <v>198</v>
      </c>
      <c r="L314" s="278" t="s">
        <v>631</v>
      </c>
      <c r="N314" s="279"/>
    </row>
    <row r="315" spans="1:18" s="278" customFormat="1" ht="16.5">
      <c r="A315" s="277">
        <v>45194</v>
      </c>
      <c r="B315" s="278" t="s">
        <v>571</v>
      </c>
      <c r="C315" s="279" t="s">
        <v>301</v>
      </c>
      <c r="D315" s="278" t="s">
        <v>818</v>
      </c>
      <c r="E315" s="211"/>
      <c r="F315" s="211">
        <v>30000</v>
      </c>
      <c r="G315" s="211">
        <f>G314+E315-F315</f>
        <v>11883352</v>
      </c>
      <c r="H315" s="278" t="s">
        <v>317</v>
      </c>
      <c r="I315" s="278" t="s">
        <v>331</v>
      </c>
      <c r="J315" s="278" t="s">
        <v>819</v>
      </c>
      <c r="K315" s="278" t="s">
        <v>198</v>
      </c>
      <c r="L315" s="278" t="s">
        <v>631</v>
      </c>
      <c r="M315" s="291"/>
    </row>
    <row r="316" spans="1:18" s="278" customFormat="1" ht="16.5">
      <c r="A316" s="281">
        <v>45194</v>
      </c>
      <c r="B316" s="279" t="s">
        <v>572</v>
      </c>
      <c r="C316" s="279" t="s">
        <v>34</v>
      </c>
      <c r="D316" s="278" t="s">
        <v>818</v>
      </c>
      <c r="E316" s="279"/>
      <c r="F316" s="279">
        <v>3000</v>
      </c>
      <c r="G316" s="211">
        <f>G315+E316-F316</f>
        <v>11880352</v>
      </c>
      <c r="H316" s="279" t="s">
        <v>317</v>
      </c>
      <c r="I316" s="278" t="s">
        <v>331</v>
      </c>
      <c r="J316" s="278" t="s">
        <v>287</v>
      </c>
      <c r="K316" s="278" t="s">
        <v>198</v>
      </c>
      <c r="L316" s="278" t="s">
        <v>631</v>
      </c>
      <c r="M316" s="291"/>
      <c r="N316" s="279"/>
      <c r="O316" s="279"/>
    </row>
    <row r="317" spans="1:18" s="278" customFormat="1" ht="16.5">
      <c r="A317" s="285">
        <v>45194</v>
      </c>
      <c r="B317" s="288" t="s">
        <v>31</v>
      </c>
      <c r="C317" s="279" t="s">
        <v>75</v>
      </c>
      <c r="F317" s="227">
        <v>25000</v>
      </c>
      <c r="G317" s="211">
        <f>+G316+E317-F317</f>
        <v>11855352</v>
      </c>
      <c r="H317" s="278" t="s">
        <v>25</v>
      </c>
      <c r="I317" s="279"/>
      <c r="K317" s="279"/>
      <c r="L317" s="279"/>
      <c r="N317" s="279"/>
    </row>
    <row r="318" spans="1:18" s="278" customFormat="1" ht="16.5">
      <c r="A318" s="277">
        <v>45194</v>
      </c>
      <c r="B318" s="288" t="s">
        <v>464</v>
      </c>
      <c r="C318" s="283" t="s">
        <v>75</v>
      </c>
      <c r="E318" s="282">
        <v>75000</v>
      </c>
      <c r="F318" s="282"/>
      <c r="G318" s="211">
        <f>+G317+E318-F318</f>
        <v>11930352</v>
      </c>
      <c r="H318" s="278" t="s">
        <v>47</v>
      </c>
      <c r="J318" s="279"/>
    </row>
    <row r="319" spans="1:18" s="278" customFormat="1" ht="16.5">
      <c r="A319" s="285">
        <v>45194</v>
      </c>
      <c r="B319" s="227" t="s">
        <v>346</v>
      </c>
      <c r="C319" s="283" t="s">
        <v>75</v>
      </c>
      <c r="E319" s="278">
        <v>25000</v>
      </c>
      <c r="G319" s="211">
        <f>+G318+E319-F319</f>
        <v>11955352</v>
      </c>
      <c r="H319" s="279" t="s">
        <v>31</v>
      </c>
      <c r="I319" s="279"/>
      <c r="N319" s="279"/>
      <c r="O319" s="284"/>
    </row>
    <row r="320" spans="1:18" s="278" customFormat="1" ht="16.5">
      <c r="A320" s="277">
        <v>45194</v>
      </c>
      <c r="B320" s="279" t="s">
        <v>601</v>
      </c>
      <c r="C320" s="279" t="s">
        <v>301</v>
      </c>
      <c r="D320" s="278" t="s">
        <v>818</v>
      </c>
      <c r="E320" s="279"/>
      <c r="F320" s="279">
        <v>75000</v>
      </c>
      <c r="G320" s="289">
        <f>+G319+E320-F320</f>
        <v>11880352</v>
      </c>
      <c r="H320" s="279" t="s">
        <v>29</v>
      </c>
      <c r="I320" s="279" t="s">
        <v>349</v>
      </c>
      <c r="J320" s="278" t="s">
        <v>819</v>
      </c>
      <c r="K320" s="278" t="s">
        <v>199</v>
      </c>
      <c r="L320" s="278" t="s">
        <v>631</v>
      </c>
      <c r="M320" s="291" t="s">
        <v>761</v>
      </c>
      <c r="N320" s="278" t="s">
        <v>652</v>
      </c>
      <c r="O320" s="279"/>
    </row>
    <row r="321" spans="1:15" s="278" customFormat="1" ht="16.5">
      <c r="A321" s="277">
        <v>45194</v>
      </c>
      <c r="B321" s="279" t="s">
        <v>602</v>
      </c>
      <c r="C321" s="279" t="s">
        <v>34</v>
      </c>
      <c r="D321" s="278" t="s">
        <v>818</v>
      </c>
      <c r="E321" s="279"/>
      <c r="F321" s="279">
        <v>5000</v>
      </c>
      <c r="G321" s="289">
        <f>+G320+E321-F321</f>
        <v>11875352</v>
      </c>
      <c r="H321" s="279" t="s">
        <v>29</v>
      </c>
      <c r="I321" s="279" t="s">
        <v>349</v>
      </c>
      <c r="J321" s="278" t="s">
        <v>102</v>
      </c>
      <c r="K321" s="278" t="s">
        <v>199</v>
      </c>
      <c r="L321" s="278" t="s">
        <v>631</v>
      </c>
      <c r="M321" s="291" t="s">
        <v>762</v>
      </c>
      <c r="N321" s="279" t="s">
        <v>651</v>
      </c>
      <c r="O321" s="279"/>
    </row>
    <row r="322" spans="1:15" s="278" customFormat="1" ht="16.5">
      <c r="A322" s="277">
        <v>45194</v>
      </c>
      <c r="B322" s="278" t="s">
        <v>623</v>
      </c>
      <c r="C322" s="278" t="s">
        <v>338</v>
      </c>
      <c r="D322" s="278" t="s">
        <v>818</v>
      </c>
      <c r="E322" s="307"/>
      <c r="F322" s="308">
        <v>30000</v>
      </c>
      <c r="G322" s="211">
        <f>G321+E322-F322</f>
        <v>11845352</v>
      </c>
      <c r="H322" s="307" t="s">
        <v>268</v>
      </c>
      <c r="I322" s="278" t="s">
        <v>328</v>
      </c>
      <c r="J322" s="278" t="s">
        <v>819</v>
      </c>
      <c r="K322" s="278" t="s">
        <v>199</v>
      </c>
      <c r="L322" s="278" t="s">
        <v>631</v>
      </c>
      <c r="M322" s="291" t="s">
        <v>763</v>
      </c>
      <c r="N322" s="278" t="s">
        <v>652</v>
      </c>
      <c r="O322" s="307"/>
    </row>
    <row r="323" spans="1:15" s="278" customFormat="1" ht="16.5">
      <c r="A323" s="277">
        <v>45194</v>
      </c>
      <c r="B323" s="278" t="s">
        <v>624</v>
      </c>
      <c r="C323" s="278" t="s">
        <v>34</v>
      </c>
      <c r="D323" s="278" t="s">
        <v>818</v>
      </c>
      <c r="E323" s="307"/>
      <c r="F323" s="308">
        <v>8000</v>
      </c>
      <c r="G323" s="211">
        <f>G322+E323-F323</f>
        <v>11837352</v>
      </c>
      <c r="H323" s="307" t="s">
        <v>268</v>
      </c>
      <c r="I323" s="278" t="s">
        <v>328</v>
      </c>
      <c r="J323" s="278" t="s">
        <v>287</v>
      </c>
      <c r="K323" s="278" t="s">
        <v>199</v>
      </c>
      <c r="L323" s="278" t="s">
        <v>631</v>
      </c>
      <c r="M323" s="291" t="s">
        <v>764</v>
      </c>
      <c r="N323" s="279" t="s">
        <v>651</v>
      </c>
      <c r="O323" s="307"/>
    </row>
    <row r="324" spans="1:15" s="278" customFormat="1" ht="16.5">
      <c r="A324" s="287">
        <v>45195</v>
      </c>
      <c r="B324" s="278" t="s">
        <v>424</v>
      </c>
      <c r="C324" s="279" t="s">
        <v>373</v>
      </c>
      <c r="D324" s="279" t="s">
        <v>326</v>
      </c>
      <c r="E324" s="211"/>
      <c r="F324" s="220">
        <v>1140</v>
      </c>
      <c r="G324" s="211">
        <f>+G323+E324-F324</f>
        <v>11836212</v>
      </c>
      <c r="H324" s="278" t="s">
        <v>25</v>
      </c>
      <c r="I324" s="278" t="s">
        <v>331</v>
      </c>
      <c r="J324" s="278" t="s">
        <v>102</v>
      </c>
      <c r="K324" s="278" t="s">
        <v>199</v>
      </c>
      <c r="L324" s="278" t="s">
        <v>631</v>
      </c>
      <c r="M324" s="291" t="s">
        <v>765</v>
      </c>
      <c r="N324" s="279" t="s">
        <v>632</v>
      </c>
    </row>
    <row r="325" spans="1:15" s="278" customFormat="1" ht="16.5">
      <c r="A325" s="287">
        <v>45195</v>
      </c>
      <c r="B325" s="227" t="s">
        <v>402</v>
      </c>
      <c r="C325" s="279" t="s">
        <v>171</v>
      </c>
      <c r="D325" s="278" t="s">
        <v>2</v>
      </c>
      <c r="E325" s="282"/>
      <c r="F325" s="227">
        <v>10000</v>
      </c>
      <c r="G325" s="211">
        <f>+G324+E325-F325</f>
        <v>11826212</v>
      </c>
      <c r="H325" s="280" t="s">
        <v>25</v>
      </c>
      <c r="I325" s="278" t="s">
        <v>331</v>
      </c>
      <c r="J325" s="278" t="s">
        <v>102</v>
      </c>
      <c r="K325" s="279" t="s">
        <v>199</v>
      </c>
      <c r="L325" s="279" t="s">
        <v>631</v>
      </c>
      <c r="M325" s="291" t="s">
        <v>766</v>
      </c>
      <c r="N325" s="279" t="s">
        <v>650</v>
      </c>
    </row>
    <row r="326" spans="1:15" s="278" customFormat="1" ht="16.5">
      <c r="A326" s="277">
        <v>45195</v>
      </c>
      <c r="B326" s="278" t="s">
        <v>425</v>
      </c>
      <c r="C326" s="279" t="s">
        <v>229</v>
      </c>
      <c r="D326" s="278" t="s">
        <v>395</v>
      </c>
      <c r="E326" s="299"/>
      <c r="F326" s="299">
        <v>20000</v>
      </c>
      <c r="G326" s="211">
        <f>+G325+E326-F326</f>
        <v>11806212</v>
      </c>
      <c r="H326" s="278" t="s">
        <v>25</v>
      </c>
      <c r="I326" s="278" t="s">
        <v>337</v>
      </c>
      <c r="J326" s="278" t="s">
        <v>287</v>
      </c>
      <c r="K326" s="279" t="s">
        <v>198</v>
      </c>
      <c r="L326" s="279" t="s">
        <v>631</v>
      </c>
      <c r="N326" s="279"/>
    </row>
    <row r="327" spans="1:15" s="278" customFormat="1" ht="16.5">
      <c r="A327" s="277">
        <v>45195</v>
      </c>
      <c r="B327" s="288" t="s">
        <v>498</v>
      </c>
      <c r="C327" s="279" t="s">
        <v>238</v>
      </c>
      <c r="D327" s="278" t="s">
        <v>154</v>
      </c>
      <c r="F327" s="278">
        <v>7200</v>
      </c>
      <c r="G327" s="211">
        <f>G326+E327-F327</f>
        <v>11799012</v>
      </c>
      <c r="H327" s="280" t="s">
        <v>299</v>
      </c>
      <c r="I327" s="278" t="s">
        <v>328</v>
      </c>
      <c r="J327" s="278" t="s">
        <v>287</v>
      </c>
      <c r="K327" s="280" t="s">
        <v>198</v>
      </c>
      <c r="L327" s="278" t="s">
        <v>631</v>
      </c>
      <c r="N327" s="279"/>
      <c r="O327" s="284"/>
    </row>
    <row r="328" spans="1:15" s="278" customFormat="1" ht="16.5">
      <c r="A328" s="277">
        <v>45195</v>
      </c>
      <c r="B328" s="278" t="s">
        <v>499</v>
      </c>
      <c r="C328" s="279" t="s">
        <v>238</v>
      </c>
      <c r="D328" s="278" t="s">
        <v>154</v>
      </c>
      <c r="E328" s="211"/>
      <c r="F328" s="211">
        <v>29600</v>
      </c>
      <c r="G328" s="211">
        <f>G327+E328-F328</f>
        <v>11769412</v>
      </c>
      <c r="H328" s="278" t="s">
        <v>299</v>
      </c>
      <c r="I328" s="278" t="s">
        <v>328</v>
      </c>
      <c r="J328" s="278" t="s">
        <v>287</v>
      </c>
      <c r="K328" s="280" t="s">
        <v>198</v>
      </c>
      <c r="L328" s="278" t="s">
        <v>631</v>
      </c>
      <c r="N328" s="279"/>
    </row>
    <row r="329" spans="1:15" s="278" customFormat="1" ht="16.5">
      <c r="A329" s="277">
        <v>45195</v>
      </c>
      <c r="B329" s="278" t="s">
        <v>527</v>
      </c>
      <c r="C329" s="279" t="s">
        <v>34</v>
      </c>
      <c r="D329" s="278" t="s">
        <v>155</v>
      </c>
      <c r="E329" s="280"/>
      <c r="F329" s="278">
        <v>8000</v>
      </c>
      <c r="G329" s="211">
        <f>+G328+E329-F329</f>
        <v>11761412</v>
      </c>
      <c r="H329" s="290" t="s">
        <v>31</v>
      </c>
      <c r="I329" s="278" t="s">
        <v>328</v>
      </c>
      <c r="J329" s="278" t="s">
        <v>102</v>
      </c>
      <c r="K329" s="278" t="s">
        <v>199</v>
      </c>
      <c r="L329" s="278" t="s">
        <v>631</v>
      </c>
      <c r="M329" s="291" t="s">
        <v>767</v>
      </c>
      <c r="N329" s="279" t="s">
        <v>651</v>
      </c>
      <c r="O329" s="279"/>
    </row>
    <row r="330" spans="1:15" s="278" customFormat="1" ht="16.5">
      <c r="A330" s="277">
        <v>45195</v>
      </c>
      <c r="B330" s="290" t="s">
        <v>528</v>
      </c>
      <c r="C330" s="279" t="s">
        <v>301</v>
      </c>
      <c r="D330" s="278" t="s">
        <v>155</v>
      </c>
      <c r="E330" s="228"/>
      <c r="F330" s="228">
        <v>225000</v>
      </c>
      <c r="G330" s="211">
        <f>+G329+E330-F330</f>
        <v>11536412</v>
      </c>
      <c r="H330" s="290" t="s">
        <v>31</v>
      </c>
      <c r="I330" s="290" t="s">
        <v>328</v>
      </c>
      <c r="J330" s="278" t="s">
        <v>287</v>
      </c>
      <c r="K330" s="278" t="s">
        <v>199</v>
      </c>
      <c r="L330" s="278" t="s">
        <v>631</v>
      </c>
      <c r="M330" s="291" t="s">
        <v>768</v>
      </c>
      <c r="N330" s="278" t="s">
        <v>652</v>
      </c>
    </row>
    <row r="331" spans="1:15" s="278" customFormat="1" ht="16.5">
      <c r="A331" s="277">
        <v>45195</v>
      </c>
      <c r="B331" s="279" t="s">
        <v>603</v>
      </c>
      <c r="C331" s="279" t="s">
        <v>344</v>
      </c>
      <c r="D331" s="278" t="s">
        <v>818</v>
      </c>
      <c r="E331" s="279"/>
      <c r="F331" s="279">
        <v>20000</v>
      </c>
      <c r="G331" s="289">
        <f>+G330+E331-F331</f>
        <v>11516412</v>
      </c>
      <c r="H331" s="279" t="s">
        <v>29</v>
      </c>
      <c r="I331" s="278" t="s">
        <v>337</v>
      </c>
      <c r="J331" s="279" t="s">
        <v>287</v>
      </c>
      <c r="K331" s="279" t="s">
        <v>198</v>
      </c>
      <c r="L331" s="279" t="s">
        <v>631</v>
      </c>
      <c r="M331" s="279"/>
      <c r="N331" s="279"/>
      <c r="O331" s="279"/>
    </row>
    <row r="332" spans="1:15" s="278" customFormat="1" ht="16.5">
      <c r="A332" s="277">
        <v>45195</v>
      </c>
      <c r="B332" s="278" t="s">
        <v>625</v>
      </c>
      <c r="C332" s="278" t="s">
        <v>338</v>
      </c>
      <c r="D332" s="278" t="s">
        <v>818</v>
      </c>
      <c r="E332" s="307"/>
      <c r="F332" s="308">
        <v>15000</v>
      </c>
      <c r="G332" s="211">
        <f>G331+E332-F332</f>
        <v>11501412</v>
      </c>
      <c r="H332" s="307" t="s">
        <v>268</v>
      </c>
      <c r="I332" s="278" t="s">
        <v>328</v>
      </c>
      <c r="J332" s="278" t="s">
        <v>819</v>
      </c>
      <c r="K332" s="278" t="s">
        <v>199</v>
      </c>
      <c r="L332" s="278" t="s">
        <v>631</v>
      </c>
      <c r="M332" s="291" t="s">
        <v>769</v>
      </c>
      <c r="N332" s="278" t="s">
        <v>652</v>
      </c>
      <c r="O332" s="307"/>
    </row>
    <row r="333" spans="1:15" s="278" customFormat="1" ht="16.5">
      <c r="A333" s="277">
        <v>45195</v>
      </c>
      <c r="B333" s="278" t="s">
        <v>626</v>
      </c>
      <c r="C333" s="278" t="s">
        <v>34</v>
      </c>
      <c r="D333" s="278" t="s">
        <v>818</v>
      </c>
      <c r="E333" s="307"/>
      <c r="F333" s="308">
        <v>3500</v>
      </c>
      <c r="G333" s="211">
        <f>G332+E333-F333</f>
        <v>11497912</v>
      </c>
      <c r="H333" s="307" t="s">
        <v>268</v>
      </c>
      <c r="I333" s="278" t="s">
        <v>328</v>
      </c>
      <c r="J333" s="278" t="s">
        <v>287</v>
      </c>
      <c r="K333" s="278" t="s">
        <v>199</v>
      </c>
      <c r="L333" s="278" t="s">
        <v>631</v>
      </c>
      <c r="M333" s="291" t="s">
        <v>770</v>
      </c>
      <c r="N333" s="279" t="s">
        <v>651</v>
      </c>
      <c r="O333" s="307"/>
    </row>
    <row r="334" spans="1:15" s="307" customFormat="1" ht="17.25" customHeight="1">
      <c r="A334" s="277">
        <v>45195</v>
      </c>
      <c r="B334" s="278" t="s">
        <v>627</v>
      </c>
      <c r="C334" s="278" t="s">
        <v>344</v>
      </c>
      <c r="D334" s="278" t="s">
        <v>818</v>
      </c>
      <c r="F334" s="308">
        <v>57700</v>
      </c>
      <c r="G334" s="211">
        <f>G333+E334-F334</f>
        <v>11440212</v>
      </c>
      <c r="H334" s="307" t="s">
        <v>268</v>
      </c>
      <c r="I334" s="278" t="s">
        <v>337</v>
      </c>
      <c r="J334" s="279" t="s">
        <v>287</v>
      </c>
      <c r="K334" s="279" t="s">
        <v>198</v>
      </c>
      <c r="L334" s="279" t="s">
        <v>631</v>
      </c>
    </row>
    <row r="335" spans="1:15" s="307" customFormat="1" ht="17.25" customHeight="1">
      <c r="A335" s="277">
        <v>45196</v>
      </c>
      <c r="B335" s="279" t="s">
        <v>426</v>
      </c>
      <c r="C335" s="279" t="s">
        <v>238</v>
      </c>
      <c r="D335" s="279" t="s">
        <v>326</v>
      </c>
      <c r="E335" s="279"/>
      <c r="F335" s="286">
        <v>15000</v>
      </c>
      <c r="G335" s="211">
        <f t="shared" ref="G335:G341" si="14">+G334+E335-F335</f>
        <v>11425212</v>
      </c>
      <c r="H335" s="280" t="s">
        <v>25</v>
      </c>
      <c r="I335" s="278" t="s">
        <v>328</v>
      </c>
      <c r="J335" s="278" t="s">
        <v>102</v>
      </c>
      <c r="K335" s="278" t="s">
        <v>199</v>
      </c>
      <c r="L335" s="278" t="s">
        <v>631</v>
      </c>
      <c r="M335" s="291" t="s">
        <v>771</v>
      </c>
      <c r="N335" s="279" t="s">
        <v>634</v>
      </c>
      <c r="O335" s="279"/>
    </row>
    <row r="336" spans="1:15" s="307" customFormat="1" ht="15" customHeight="1">
      <c r="A336" s="277">
        <v>45196</v>
      </c>
      <c r="B336" s="278" t="s">
        <v>351</v>
      </c>
      <c r="C336" s="279" t="s">
        <v>238</v>
      </c>
      <c r="D336" s="279" t="s">
        <v>326</v>
      </c>
      <c r="E336" s="278"/>
      <c r="F336" s="278">
        <v>45150</v>
      </c>
      <c r="G336" s="211">
        <f t="shared" si="14"/>
        <v>11380062</v>
      </c>
      <c r="H336" s="278" t="s">
        <v>25</v>
      </c>
      <c r="I336" s="278" t="s">
        <v>328</v>
      </c>
      <c r="J336" s="278" t="s">
        <v>102</v>
      </c>
      <c r="K336" s="278" t="s">
        <v>199</v>
      </c>
      <c r="L336" s="278" t="s">
        <v>631</v>
      </c>
      <c r="M336" s="291" t="s">
        <v>772</v>
      </c>
      <c r="N336" s="279" t="s">
        <v>634</v>
      </c>
      <c r="O336" s="211"/>
    </row>
    <row r="337" spans="1:15" s="307" customFormat="1" ht="17.25" customHeight="1">
      <c r="A337" s="277">
        <v>45196</v>
      </c>
      <c r="B337" s="278" t="s">
        <v>427</v>
      </c>
      <c r="C337" s="279" t="s">
        <v>3</v>
      </c>
      <c r="D337" s="279" t="s">
        <v>326</v>
      </c>
      <c r="E337" s="211"/>
      <c r="F337" s="220">
        <v>20000</v>
      </c>
      <c r="G337" s="211">
        <f t="shared" si="14"/>
        <v>11360062</v>
      </c>
      <c r="H337" s="280" t="s">
        <v>25</v>
      </c>
      <c r="I337" s="278" t="s">
        <v>331</v>
      </c>
      <c r="J337" s="279" t="s">
        <v>287</v>
      </c>
      <c r="K337" s="290" t="s">
        <v>198</v>
      </c>
      <c r="L337" s="290" t="s">
        <v>631</v>
      </c>
      <c r="M337" s="278"/>
      <c r="N337" s="279"/>
      <c r="O337" s="278"/>
    </row>
    <row r="338" spans="1:15" s="307" customFormat="1" ht="17.25" customHeight="1">
      <c r="A338" s="277">
        <v>45196</v>
      </c>
      <c r="B338" s="278" t="s">
        <v>428</v>
      </c>
      <c r="C338" s="279" t="s">
        <v>229</v>
      </c>
      <c r="D338" s="278" t="s">
        <v>155</v>
      </c>
      <c r="E338" s="278"/>
      <c r="F338" s="278">
        <v>86000</v>
      </c>
      <c r="G338" s="211">
        <f t="shared" si="14"/>
        <v>11274062</v>
      </c>
      <c r="H338" s="278" t="s">
        <v>25</v>
      </c>
      <c r="I338" s="278" t="s">
        <v>337</v>
      </c>
      <c r="J338" s="278" t="s">
        <v>287</v>
      </c>
      <c r="K338" s="279" t="s">
        <v>198</v>
      </c>
      <c r="L338" s="279" t="s">
        <v>631</v>
      </c>
      <c r="M338" s="278"/>
      <c r="N338" s="279"/>
      <c r="O338" s="279"/>
    </row>
    <row r="339" spans="1:15" s="307" customFormat="1" ht="17.25" customHeight="1">
      <c r="A339" s="285">
        <v>45196</v>
      </c>
      <c r="B339" s="288" t="s">
        <v>430</v>
      </c>
      <c r="C339" s="279" t="s">
        <v>431</v>
      </c>
      <c r="D339" s="279" t="s">
        <v>326</v>
      </c>
      <c r="E339" s="278"/>
      <c r="F339" s="227">
        <v>258000</v>
      </c>
      <c r="G339" s="211">
        <f t="shared" si="14"/>
        <v>11016062</v>
      </c>
      <c r="H339" s="278" t="s">
        <v>25</v>
      </c>
      <c r="I339" s="278" t="s">
        <v>328</v>
      </c>
      <c r="J339" s="279" t="s">
        <v>102</v>
      </c>
      <c r="K339" s="278" t="s">
        <v>199</v>
      </c>
      <c r="L339" s="278" t="s">
        <v>631</v>
      </c>
      <c r="M339" s="291" t="s">
        <v>773</v>
      </c>
      <c r="N339" s="278" t="s">
        <v>648</v>
      </c>
      <c r="O339" s="278"/>
    </row>
    <row r="340" spans="1:15" s="307" customFormat="1" ht="17.25" customHeight="1">
      <c r="A340" s="277">
        <v>45196</v>
      </c>
      <c r="B340" s="278" t="s">
        <v>372</v>
      </c>
      <c r="C340" s="279" t="s">
        <v>373</v>
      </c>
      <c r="D340" s="279" t="s">
        <v>326</v>
      </c>
      <c r="E340" s="279"/>
      <c r="F340" s="278">
        <v>6294</v>
      </c>
      <c r="G340" s="211">
        <f t="shared" si="14"/>
        <v>11009768</v>
      </c>
      <c r="H340" s="278" t="s">
        <v>25</v>
      </c>
      <c r="I340" s="279" t="s">
        <v>331</v>
      </c>
      <c r="J340" s="278" t="s">
        <v>102</v>
      </c>
      <c r="K340" s="278" t="s">
        <v>199</v>
      </c>
      <c r="L340" s="278" t="s">
        <v>631</v>
      </c>
      <c r="M340" s="291" t="s">
        <v>774</v>
      </c>
      <c r="N340" s="279" t="s">
        <v>632</v>
      </c>
      <c r="O340" s="279"/>
    </row>
    <row r="341" spans="1:15" s="307" customFormat="1" ht="17.25" customHeight="1">
      <c r="A341" s="281">
        <v>45196</v>
      </c>
      <c r="B341" s="279" t="s">
        <v>432</v>
      </c>
      <c r="C341" s="279" t="s">
        <v>229</v>
      </c>
      <c r="D341" s="278" t="s">
        <v>155</v>
      </c>
      <c r="E341" s="279"/>
      <c r="F341" s="278">
        <v>150000</v>
      </c>
      <c r="G341" s="211">
        <f t="shared" si="14"/>
        <v>10859768</v>
      </c>
      <c r="H341" s="278" t="s">
        <v>25</v>
      </c>
      <c r="I341" s="278" t="s">
        <v>337</v>
      </c>
      <c r="J341" s="278" t="s">
        <v>287</v>
      </c>
      <c r="K341" s="279" t="s">
        <v>198</v>
      </c>
      <c r="L341" s="279" t="s">
        <v>631</v>
      </c>
      <c r="M341" s="278"/>
      <c r="N341" s="278"/>
      <c r="O341" s="279"/>
    </row>
    <row r="342" spans="1:15" s="307" customFormat="1" ht="17.25" customHeight="1">
      <c r="A342" s="277">
        <v>45196</v>
      </c>
      <c r="B342" s="278" t="s">
        <v>500</v>
      </c>
      <c r="C342" s="278" t="s">
        <v>501</v>
      </c>
      <c r="D342" s="278" t="s">
        <v>154</v>
      </c>
      <c r="E342" s="279"/>
      <c r="F342" s="278">
        <v>79000</v>
      </c>
      <c r="G342" s="211">
        <f>G341+E342-F342</f>
        <v>10780768</v>
      </c>
      <c r="H342" s="290" t="s">
        <v>299</v>
      </c>
      <c r="I342" s="278" t="s">
        <v>337</v>
      </c>
      <c r="J342" s="278" t="s">
        <v>287</v>
      </c>
      <c r="K342" s="278" t="s">
        <v>198</v>
      </c>
      <c r="L342" s="278" t="s">
        <v>631</v>
      </c>
      <c r="M342" s="278"/>
      <c r="N342" s="279"/>
      <c r="O342" s="279"/>
    </row>
    <row r="343" spans="1:15" s="307" customFormat="1" ht="17.25" customHeight="1">
      <c r="A343" s="277">
        <v>45196</v>
      </c>
      <c r="B343" s="278" t="s">
        <v>513</v>
      </c>
      <c r="C343" s="279" t="s">
        <v>34</v>
      </c>
      <c r="D343" s="278" t="s">
        <v>2</v>
      </c>
      <c r="E343" s="211"/>
      <c r="F343" s="211">
        <v>10750</v>
      </c>
      <c r="G343" s="211">
        <f>G342+E343-F343</f>
        <v>10770018</v>
      </c>
      <c r="H343" s="278" t="s">
        <v>308</v>
      </c>
      <c r="I343" s="278" t="s">
        <v>337</v>
      </c>
      <c r="J343" s="278" t="s">
        <v>102</v>
      </c>
      <c r="K343" s="278" t="s">
        <v>199</v>
      </c>
      <c r="L343" s="278" t="s">
        <v>631</v>
      </c>
      <c r="M343" s="291" t="s">
        <v>775</v>
      </c>
      <c r="N343" s="279" t="s">
        <v>651</v>
      </c>
      <c r="O343" s="278"/>
    </row>
    <row r="344" spans="1:15" s="307" customFormat="1" ht="17.25" customHeight="1">
      <c r="A344" s="277">
        <v>45196</v>
      </c>
      <c r="B344" s="290" t="s">
        <v>573</v>
      </c>
      <c r="C344" s="290" t="s">
        <v>301</v>
      </c>
      <c r="D344" s="278" t="s">
        <v>818</v>
      </c>
      <c r="E344" s="228"/>
      <c r="F344" s="228">
        <v>30000</v>
      </c>
      <c r="G344" s="211">
        <f>G343+E344-F344</f>
        <v>10740018</v>
      </c>
      <c r="H344" s="290" t="s">
        <v>317</v>
      </c>
      <c r="I344" s="278" t="s">
        <v>331</v>
      </c>
      <c r="J344" s="278" t="s">
        <v>819</v>
      </c>
      <c r="K344" s="278" t="s">
        <v>198</v>
      </c>
      <c r="L344" s="278" t="s">
        <v>631</v>
      </c>
      <c r="M344" s="291"/>
      <c r="N344" s="278"/>
      <c r="O344" s="278"/>
    </row>
    <row r="345" spans="1:15" s="307" customFormat="1" ht="17.25" customHeight="1">
      <c r="A345" s="277">
        <v>45196</v>
      </c>
      <c r="B345" s="290" t="s">
        <v>574</v>
      </c>
      <c r="C345" s="290" t="s">
        <v>34</v>
      </c>
      <c r="D345" s="278" t="s">
        <v>818</v>
      </c>
      <c r="E345" s="228"/>
      <c r="F345" s="228">
        <v>7000</v>
      </c>
      <c r="G345" s="211">
        <f>G344+E345-F345</f>
        <v>10733018</v>
      </c>
      <c r="H345" s="290" t="s">
        <v>317</v>
      </c>
      <c r="I345" s="278" t="s">
        <v>331</v>
      </c>
      <c r="J345" s="278" t="s">
        <v>287</v>
      </c>
      <c r="K345" s="278" t="s">
        <v>198</v>
      </c>
      <c r="L345" s="278" t="s">
        <v>631</v>
      </c>
      <c r="M345" s="291"/>
      <c r="N345" s="279"/>
      <c r="O345" s="278"/>
    </row>
    <row r="346" spans="1:15" s="307" customFormat="1" ht="17.25" customHeight="1">
      <c r="A346" s="277">
        <v>45196</v>
      </c>
      <c r="B346" s="278" t="s">
        <v>300</v>
      </c>
      <c r="C346" s="279" t="s">
        <v>75</v>
      </c>
      <c r="D346" s="278"/>
      <c r="E346" s="278"/>
      <c r="F346" s="296">
        <v>85000</v>
      </c>
      <c r="G346" s="211">
        <f t="shared" ref="G346:G354" si="15">+G345+E346-F346</f>
        <v>10648018</v>
      </c>
      <c r="H346" s="279" t="s">
        <v>25</v>
      </c>
      <c r="I346" s="278"/>
      <c r="J346" s="278"/>
      <c r="K346" s="279"/>
      <c r="L346" s="279"/>
      <c r="M346" s="278"/>
      <c r="N346" s="279"/>
      <c r="O346" s="278"/>
    </row>
    <row r="347" spans="1:15" s="307" customFormat="1" ht="17.25" customHeight="1">
      <c r="A347" s="285">
        <v>45196</v>
      </c>
      <c r="B347" s="288" t="s">
        <v>429</v>
      </c>
      <c r="C347" s="279" t="s">
        <v>75</v>
      </c>
      <c r="D347" s="292"/>
      <c r="E347" s="278"/>
      <c r="F347" s="227">
        <v>20000</v>
      </c>
      <c r="G347" s="211">
        <f t="shared" si="15"/>
        <v>10628018</v>
      </c>
      <c r="H347" s="278" t="s">
        <v>25</v>
      </c>
      <c r="I347" s="278"/>
      <c r="J347" s="278"/>
      <c r="K347" s="280"/>
      <c r="L347" s="278"/>
      <c r="M347" s="278"/>
      <c r="N347" s="278"/>
      <c r="O347" s="278"/>
    </row>
    <row r="348" spans="1:15" s="307" customFormat="1" ht="17.25" customHeight="1">
      <c r="A348" s="285">
        <v>45196</v>
      </c>
      <c r="B348" s="288" t="s">
        <v>371</v>
      </c>
      <c r="C348" s="279" t="s">
        <v>75</v>
      </c>
      <c r="D348" s="278"/>
      <c r="E348" s="278"/>
      <c r="F348" s="227">
        <v>132800</v>
      </c>
      <c r="G348" s="211">
        <f t="shared" si="15"/>
        <v>10495218</v>
      </c>
      <c r="H348" s="278" t="s">
        <v>25</v>
      </c>
      <c r="I348" s="278"/>
      <c r="J348" s="278"/>
      <c r="K348" s="280"/>
      <c r="L348" s="278"/>
      <c r="M348" s="278"/>
      <c r="N348" s="278"/>
      <c r="O348" s="278"/>
    </row>
    <row r="349" spans="1:15" s="307" customFormat="1" ht="17.25" customHeight="1">
      <c r="A349" s="285">
        <v>45196</v>
      </c>
      <c r="B349" s="288" t="s">
        <v>329</v>
      </c>
      <c r="C349" s="278" t="s">
        <v>75</v>
      </c>
      <c r="D349" s="278"/>
      <c r="E349" s="278"/>
      <c r="F349" s="227">
        <v>50000</v>
      </c>
      <c r="G349" s="211">
        <f t="shared" si="15"/>
        <v>10445218</v>
      </c>
      <c r="H349" s="278" t="s">
        <v>25</v>
      </c>
      <c r="I349" s="279"/>
      <c r="J349" s="278"/>
      <c r="K349" s="278"/>
      <c r="L349" s="278"/>
      <c r="M349" s="278"/>
      <c r="N349" s="279"/>
      <c r="O349" s="278"/>
    </row>
    <row r="350" spans="1:15" s="307" customFormat="1" ht="17.25" customHeight="1">
      <c r="A350" s="281">
        <v>45196</v>
      </c>
      <c r="B350" s="278" t="s">
        <v>93</v>
      </c>
      <c r="C350" s="278" t="s">
        <v>75</v>
      </c>
      <c r="D350" s="278"/>
      <c r="E350" s="278"/>
      <c r="F350" s="278">
        <v>20000</v>
      </c>
      <c r="G350" s="211">
        <f t="shared" si="15"/>
        <v>10425218</v>
      </c>
      <c r="H350" s="278" t="s">
        <v>25</v>
      </c>
      <c r="I350" s="283"/>
      <c r="J350" s="278"/>
      <c r="K350" s="278"/>
      <c r="L350" s="278"/>
      <c r="M350" s="278"/>
      <c r="N350" s="279"/>
      <c r="O350" s="279"/>
    </row>
    <row r="351" spans="1:15" s="307" customFormat="1" ht="17.25" customHeight="1">
      <c r="A351" s="281">
        <v>45196</v>
      </c>
      <c r="B351" s="279" t="s">
        <v>464</v>
      </c>
      <c r="C351" s="283" t="s">
        <v>75</v>
      </c>
      <c r="D351" s="278"/>
      <c r="E351" s="279">
        <v>50000</v>
      </c>
      <c r="F351" s="279"/>
      <c r="G351" s="211">
        <f t="shared" si="15"/>
        <v>10475218</v>
      </c>
      <c r="H351" s="280" t="s">
        <v>47</v>
      </c>
      <c r="I351" s="278"/>
      <c r="J351" s="278"/>
      <c r="K351" s="278"/>
      <c r="L351" s="278"/>
      <c r="M351" s="278"/>
      <c r="N351" s="278"/>
      <c r="O351" s="279"/>
    </row>
    <row r="352" spans="1:15" s="307" customFormat="1" ht="17.25" customHeight="1">
      <c r="A352" s="277">
        <v>45196</v>
      </c>
      <c r="B352" s="279" t="s">
        <v>604</v>
      </c>
      <c r="C352" s="279" t="s">
        <v>301</v>
      </c>
      <c r="D352" s="278" t="s">
        <v>818</v>
      </c>
      <c r="E352" s="279"/>
      <c r="F352" s="279">
        <v>30000</v>
      </c>
      <c r="G352" s="289">
        <f t="shared" si="15"/>
        <v>10445218</v>
      </c>
      <c r="H352" s="279" t="s">
        <v>29</v>
      </c>
      <c r="I352" s="279" t="s">
        <v>349</v>
      </c>
      <c r="J352" s="278" t="s">
        <v>819</v>
      </c>
      <c r="K352" s="278" t="s">
        <v>199</v>
      </c>
      <c r="L352" s="278" t="s">
        <v>631</v>
      </c>
      <c r="M352" s="291" t="s">
        <v>776</v>
      </c>
      <c r="N352" s="279" t="s">
        <v>652</v>
      </c>
      <c r="O352" s="279"/>
    </row>
    <row r="353" spans="1:15" s="307" customFormat="1" ht="17.25" customHeight="1">
      <c r="A353" s="277">
        <v>45196</v>
      </c>
      <c r="B353" s="279" t="s">
        <v>605</v>
      </c>
      <c r="C353" s="279" t="s">
        <v>34</v>
      </c>
      <c r="D353" s="278" t="s">
        <v>818</v>
      </c>
      <c r="E353" s="279"/>
      <c r="F353" s="279">
        <v>10000</v>
      </c>
      <c r="G353" s="289">
        <f t="shared" si="15"/>
        <v>10435218</v>
      </c>
      <c r="H353" s="279" t="s">
        <v>29</v>
      </c>
      <c r="I353" s="279" t="s">
        <v>349</v>
      </c>
      <c r="J353" s="278" t="s">
        <v>102</v>
      </c>
      <c r="K353" s="278" t="s">
        <v>199</v>
      </c>
      <c r="L353" s="278" t="s">
        <v>631</v>
      </c>
      <c r="M353" s="291" t="s">
        <v>777</v>
      </c>
      <c r="N353" s="279" t="s">
        <v>651</v>
      </c>
      <c r="O353" s="279"/>
    </row>
    <row r="354" spans="1:15" s="279" customFormat="1" ht="16.5">
      <c r="A354" s="277">
        <v>45196</v>
      </c>
      <c r="B354" s="279" t="s">
        <v>606</v>
      </c>
      <c r="C354" s="279" t="s">
        <v>34</v>
      </c>
      <c r="D354" s="278" t="s">
        <v>818</v>
      </c>
      <c r="F354" s="279">
        <v>96200</v>
      </c>
      <c r="G354" s="289">
        <f t="shared" si="15"/>
        <v>10339018</v>
      </c>
      <c r="H354" s="279" t="s">
        <v>29</v>
      </c>
      <c r="I354" s="278" t="s">
        <v>337</v>
      </c>
      <c r="J354" s="278" t="s">
        <v>102</v>
      </c>
      <c r="K354" s="278" t="s">
        <v>199</v>
      </c>
      <c r="L354" s="278" t="s">
        <v>631</v>
      </c>
      <c r="M354" s="291" t="s">
        <v>778</v>
      </c>
      <c r="N354" s="279" t="s">
        <v>651</v>
      </c>
    </row>
    <row r="355" spans="1:15" s="279" customFormat="1" ht="16.5">
      <c r="A355" s="277">
        <v>45196</v>
      </c>
      <c r="B355" s="278" t="s">
        <v>345</v>
      </c>
      <c r="C355" s="283" t="s">
        <v>75</v>
      </c>
      <c r="D355" s="278"/>
      <c r="E355" s="211">
        <v>132800</v>
      </c>
      <c r="F355" s="211"/>
      <c r="G355" s="211">
        <f t="shared" ref="G355:G361" si="16">G354+E355-F355</f>
        <v>10471818</v>
      </c>
      <c r="H355" s="278" t="s">
        <v>299</v>
      </c>
      <c r="I355" s="278"/>
      <c r="J355" s="278"/>
      <c r="K355" s="278"/>
      <c r="L355" s="278"/>
      <c r="M355" s="278"/>
      <c r="O355" s="278"/>
    </row>
    <row r="356" spans="1:15" s="279" customFormat="1" ht="16.5">
      <c r="A356" s="277">
        <v>45196</v>
      </c>
      <c r="B356" s="278" t="s">
        <v>517</v>
      </c>
      <c r="C356" s="283" t="s">
        <v>75</v>
      </c>
      <c r="D356" s="278"/>
      <c r="E356" s="278">
        <v>20000</v>
      </c>
      <c r="F356" s="295"/>
      <c r="G356" s="211">
        <f t="shared" si="16"/>
        <v>10491818</v>
      </c>
      <c r="H356" s="278" t="s">
        <v>308</v>
      </c>
      <c r="J356" s="278"/>
      <c r="M356" s="278"/>
      <c r="O356" s="278"/>
    </row>
    <row r="357" spans="1:15" s="279" customFormat="1" ht="16.5">
      <c r="A357" s="277">
        <v>45196</v>
      </c>
      <c r="B357" s="278" t="s">
        <v>342</v>
      </c>
      <c r="C357" s="283" t="s">
        <v>75</v>
      </c>
      <c r="D357" s="278"/>
      <c r="E357" s="211">
        <v>20000</v>
      </c>
      <c r="F357" s="227"/>
      <c r="G357" s="211">
        <f t="shared" si="16"/>
        <v>10511818</v>
      </c>
      <c r="H357" s="278" t="s">
        <v>93</v>
      </c>
      <c r="J357" s="278"/>
      <c r="K357" s="278"/>
      <c r="L357" s="278"/>
      <c r="M357" s="278"/>
      <c r="O357" s="278"/>
    </row>
    <row r="358" spans="1:15" s="279" customFormat="1" ht="16.5">
      <c r="A358" s="277">
        <v>45196</v>
      </c>
      <c r="B358" s="278" t="s">
        <v>579</v>
      </c>
      <c r="C358" s="283" t="s">
        <v>75</v>
      </c>
      <c r="D358" s="278"/>
      <c r="E358" s="211">
        <v>85000</v>
      </c>
      <c r="F358" s="211"/>
      <c r="G358" s="211">
        <f t="shared" si="16"/>
        <v>10596818</v>
      </c>
      <c r="H358" s="278" t="s">
        <v>300</v>
      </c>
      <c r="I358" s="278"/>
      <c r="J358" s="307"/>
      <c r="K358" s="307"/>
      <c r="L358" s="307"/>
      <c r="M358" s="307"/>
      <c r="N358" s="307"/>
      <c r="O358" s="307"/>
    </row>
    <row r="359" spans="1:15" s="279" customFormat="1" ht="16.5">
      <c r="A359" s="277">
        <v>45196</v>
      </c>
      <c r="B359" s="278" t="s">
        <v>628</v>
      </c>
      <c r="C359" s="278" t="s">
        <v>338</v>
      </c>
      <c r="D359" s="278" t="s">
        <v>818</v>
      </c>
      <c r="E359" s="307"/>
      <c r="F359" s="308">
        <v>15000</v>
      </c>
      <c r="G359" s="211">
        <f t="shared" si="16"/>
        <v>10581818</v>
      </c>
      <c r="H359" s="307" t="s">
        <v>268</v>
      </c>
      <c r="I359" s="278" t="s">
        <v>328</v>
      </c>
      <c r="J359" s="278" t="s">
        <v>819</v>
      </c>
      <c r="K359" s="278" t="s">
        <v>199</v>
      </c>
      <c r="L359" s="278" t="s">
        <v>631</v>
      </c>
      <c r="M359" s="291" t="s">
        <v>779</v>
      </c>
      <c r="N359" s="278" t="s">
        <v>652</v>
      </c>
      <c r="O359" s="307"/>
    </row>
    <row r="360" spans="1:15" s="279" customFormat="1" ht="16.5">
      <c r="A360" s="277">
        <v>45196</v>
      </c>
      <c r="B360" s="278" t="s">
        <v>629</v>
      </c>
      <c r="C360" s="278" t="s">
        <v>34</v>
      </c>
      <c r="D360" s="278" t="s">
        <v>818</v>
      </c>
      <c r="E360" s="307"/>
      <c r="F360" s="308">
        <v>7000</v>
      </c>
      <c r="G360" s="211">
        <f t="shared" si="16"/>
        <v>10574818</v>
      </c>
      <c r="H360" s="307" t="s">
        <v>268</v>
      </c>
      <c r="I360" s="278" t="s">
        <v>328</v>
      </c>
      <c r="J360" s="278" t="s">
        <v>287</v>
      </c>
      <c r="K360" s="278" t="s">
        <v>199</v>
      </c>
      <c r="L360" s="278" t="s">
        <v>631</v>
      </c>
      <c r="M360" s="291" t="s">
        <v>780</v>
      </c>
      <c r="N360" s="279" t="s">
        <v>651</v>
      </c>
      <c r="O360" s="307"/>
    </row>
    <row r="361" spans="1:15" s="279" customFormat="1" ht="16.5">
      <c r="A361" s="277">
        <v>45196</v>
      </c>
      <c r="B361" s="278" t="s">
        <v>630</v>
      </c>
      <c r="C361" s="278" t="s">
        <v>34</v>
      </c>
      <c r="D361" s="278" t="s">
        <v>818</v>
      </c>
      <c r="E361" s="307"/>
      <c r="F361" s="308">
        <v>62000</v>
      </c>
      <c r="G361" s="211">
        <f t="shared" si="16"/>
        <v>10512818</v>
      </c>
      <c r="H361" s="307" t="s">
        <v>268</v>
      </c>
      <c r="I361" s="278" t="s">
        <v>337</v>
      </c>
      <c r="J361" s="278" t="s">
        <v>287</v>
      </c>
      <c r="K361" s="278" t="s">
        <v>199</v>
      </c>
      <c r="L361" s="278" t="s">
        <v>631</v>
      </c>
      <c r="M361" s="291" t="s">
        <v>781</v>
      </c>
      <c r="N361" s="279" t="s">
        <v>651</v>
      </c>
      <c r="O361" s="307"/>
    </row>
    <row r="362" spans="1:15" s="279" customFormat="1" ht="16.5">
      <c r="A362" s="281">
        <v>45197</v>
      </c>
      <c r="B362" s="278" t="s">
        <v>433</v>
      </c>
      <c r="C362" s="279" t="s">
        <v>171</v>
      </c>
      <c r="D362" s="278" t="s">
        <v>818</v>
      </c>
      <c r="E362" s="211"/>
      <c r="F362" s="227">
        <v>10500</v>
      </c>
      <c r="G362" s="211">
        <f>+G361+E362-F362</f>
        <v>10502318</v>
      </c>
      <c r="H362" s="278" t="s">
        <v>25</v>
      </c>
      <c r="I362" s="278" t="s">
        <v>328</v>
      </c>
      <c r="J362" s="278" t="s">
        <v>287</v>
      </c>
      <c r="K362" s="280" t="s">
        <v>198</v>
      </c>
      <c r="L362" s="278" t="s">
        <v>631</v>
      </c>
      <c r="M362" s="278"/>
      <c r="O362" s="278"/>
    </row>
    <row r="363" spans="1:15" s="279" customFormat="1" ht="16.5">
      <c r="A363" s="277">
        <v>45197</v>
      </c>
      <c r="B363" s="278" t="s">
        <v>817</v>
      </c>
      <c r="C363" s="279" t="s">
        <v>238</v>
      </c>
      <c r="D363" s="279" t="s">
        <v>326</v>
      </c>
      <c r="E363" s="211"/>
      <c r="F363" s="227">
        <v>19500</v>
      </c>
      <c r="G363" s="211">
        <f>+G362+E363-F363</f>
        <v>10482818</v>
      </c>
      <c r="H363" s="278" t="s">
        <v>25</v>
      </c>
      <c r="I363" s="278" t="s">
        <v>328</v>
      </c>
      <c r="J363" s="278" t="s">
        <v>102</v>
      </c>
      <c r="K363" s="278" t="s">
        <v>199</v>
      </c>
      <c r="L363" s="278" t="s">
        <v>631</v>
      </c>
      <c r="M363" s="291" t="s">
        <v>782</v>
      </c>
      <c r="N363" s="279" t="s">
        <v>634</v>
      </c>
      <c r="O363" s="278"/>
    </row>
    <row r="364" spans="1:15" s="279" customFormat="1" ht="16.5">
      <c r="A364" s="277">
        <v>45197</v>
      </c>
      <c r="B364" s="278" t="s">
        <v>529</v>
      </c>
      <c r="C364" s="279" t="s">
        <v>34</v>
      </c>
      <c r="D364" s="278" t="s">
        <v>155</v>
      </c>
      <c r="E364" s="211"/>
      <c r="F364" s="211">
        <v>47000</v>
      </c>
      <c r="G364" s="211">
        <f>+G363+E364-F364</f>
        <v>10435818</v>
      </c>
      <c r="H364" s="278" t="s">
        <v>31</v>
      </c>
      <c r="I364" s="278" t="s">
        <v>337</v>
      </c>
      <c r="J364" s="278" t="s">
        <v>102</v>
      </c>
      <c r="K364" s="278" t="s">
        <v>199</v>
      </c>
      <c r="L364" s="278" t="s">
        <v>631</v>
      </c>
      <c r="M364" s="291" t="s">
        <v>783</v>
      </c>
      <c r="N364" s="279" t="s">
        <v>651</v>
      </c>
      <c r="O364" s="278"/>
    </row>
    <row r="365" spans="1:15" s="279" customFormat="1" ht="16.5">
      <c r="A365" s="277">
        <v>45197</v>
      </c>
      <c r="B365" s="278" t="s">
        <v>585</v>
      </c>
      <c r="C365" s="278" t="s">
        <v>34</v>
      </c>
      <c r="D365" s="278" t="s">
        <v>154</v>
      </c>
      <c r="E365" s="211"/>
      <c r="F365" s="211">
        <v>9000</v>
      </c>
      <c r="G365" s="211">
        <f>G364+E365-F365</f>
        <v>10426818</v>
      </c>
      <c r="H365" s="278" t="s">
        <v>300</v>
      </c>
      <c r="I365" s="278" t="s">
        <v>328</v>
      </c>
      <c r="J365" s="278" t="s">
        <v>287</v>
      </c>
      <c r="K365" s="278" t="s">
        <v>199</v>
      </c>
      <c r="L365" s="278" t="s">
        <v>631</v>
      </c>
      <c r="M365" s="291" t="s">
        <v>784</v>
      </c>
      <c r="N365" s="279" t="s">
        <v>651</v>
      </c>
      <c r="O365" s="307"/>
    </row>
    <row r="366" spans="1:15" s="279" customFormat="1" ht="16.5">
      <c r="A366" s="277">
        <v>45197</v>
      </c>
      <c r="B366" s="278" t="s">
        <v>586</v>
      </c>
      <c r="C366" s="278" t="s">
        <v>34</v>
      </c>
      <c r="D366" s="278" t="s">
        <v>154</v>
      </c>
      <c r="E366" s="211"/>
      <c r="F366" s="211">
        <v>3500</v>
      </c>
      <c r="G366" s="211">
        <f>G365+E366-F366</f>
        <v>10423318</v>
      </c>
      <c r="H366" s="278" t="s">
        <v>300</v>
      </c>
      <c r="I366" s="278" t="s">
        <v>328</v>
      </c>
      <c r="J366" s="278" t="s">
        <v>287</v>
      </c>
      <c r="K366" s="278" t="s">
        <v>199</v>
      </c>
      <c r="L366" s="278" t="s">
        <v>631</v>
      </c>
      <c r="M366" s="291" t="s">
        <v>785</v>
      </c>
      <c r="N366" s="279" t="s">
        <v>651</v>
      </c>
      <c r="O366" s="307"/>
    </row>
    <row r="367" spans="1:15" s="279" customFormat="1" ht="16.5">
      <c r="A367" s="277">
        <v>45197</v>
      </c>
      <c r="B367" s="278" t="s">
        <v>587</v>
      </c>
      <c r="C367" s="278" t="s">
        <v>301</v>
      </c>
      <c r="D367" s="278" t="s">
        <v>154</v>
      </c>
      <c r="E367" s="211"/>
      <c r="F367" s="211">
        <v>20000</v>
      </c>
      <c r="G367" s="211">
        <f>G366+E367-F367</f>
        <v>10403318</v>
      </c>
      <c r="H367" s="278" t="s">
        <v>300</v>
      </c>
      <c r="I367" s="278" t="s">
        <v>337</v>
      </c>
      <c r="J367" s="278" t="s">
        <v>287</v>
      </c>
      <c r="K367" s="278" t="s">
        <v>199</v>
      </c>
      <c r="L367" s="278" t="s">
        <v>631</v>
      </c>
      <c r="M367" s="291" t="s">
        <v>786</v>
      </c>
      <c r="N367" s="278" t="s">
        <v>652</v>
      </c>
      <c r="O367" s="307"/>
    </row>
    <row r="368" spans="1:15" s="279" customFormat="1" ht="16.5">
      <c r="A368" s="277">
        <v>45198</v>
      </c>
      <c r="B368" s="279" t="s">
        <v>434</v>
      </c>
      <c r="C368" s="279" t="s">
        <v>267</v>
      </c>
      <c r="D368" s="279" t="s">
        <v>326</v>
      </c>
      <c r="E368" s="211"/>
      <c r="F368" s="211">
        <v>37897</v>
      </c>
      <c r="G368" s="211">
        <f t="shared" ref="G368:G383" si="17">+G367+E368-F368</f>
        <v>10365421</v>
      </c>
      <c r="H368" s="278" t="s">
        <v>25</v>
      </c>
      <c r="I368" s="278" t="s">
        <v>328</v>
      </c>
      <c r="J368" s="278" t="s">
        <v>102</v>
      </c>
      <c r="K368" s="278" t="s">
        <v>199</v>
      </c>
      <c r="L368" s="278" t="s">
        <v>631</v>
      </c>
      <c r="M368" s="291" t="s">
        <v>787</v>
      </c>
      <c r="N368" s="278" t="s">
        <v>633</v>
      </c>
      <c r="O368" s="278"/>
    </row>
    <row r="369" spans="1:15" s="279" customFormat="1" ht="16.5">
      <c r="A369" s="277">
        <v>45198</v>
      </c>
      <c r="B369" s="288" t="s">
        <v>435</v>
      </c>
      <c r="C369" s="279" t="s">
        <v>267</v>
      </c>
      <c r="D369" s="279" t="s">
        <v>326</v>
      </c>
      <c r="E369" s="278"/>
      <c r="F369" s="220">
        <v>7153</v>
      </c>
      <c r="G369" s="211">
        <f t="shared" si="17"/>
        <v>10358268</v>
      </c>
      <c r="H369" s="278" t="s">
        <v>25</v>
      </c>
      <c r="I369" s="278" t="s">
        <v>328</v>
      </c>
      <c r="J369" s="278" t="s">
        <v>287</v>
      </c>
      <c r="K369" s="278" t="s">
        <v>198</v>
      </c>
      <c r="L369" s="278" t="s">
        <v>631</v>
      </c>
      <c r="M369" s="278"/>
      <c r="N369" s="278"/>
      <c r="O369" s="278"/>
    </row>
    <row r="370" spans="1:15" s="279" customFormat="1" ht="16.5">
      <c r="A370" s="277">
        <v>45198</v>
      </c>
      <c r="B370" s="292" t="s">
        <v>436</v>
      </c>
      <c r="C370" s="279" t="s">
        <v>3</v>
      </c>
      <c r="D370" s="279" t="s">
        <v>326</v>
      </c>
      <c r="E370" s="278"/>
      <c r="F370" s="278">
        <v>75625</v>
      </c>
      <c r="G370" s="211">
        <f t="shared" si="17"/>
        <v>10282643</v>
      </c>
      <c r="H370" s="279" t="s">
        <v>25</v>
      </c>
      <c r="I370" s="279" t="s">
        <v>331</v>
      </c>
      <c r="J370" s="279" t="s">
        <v>287</v>
      </c>
      <c r="K370" s="290" t="s">
        <v>198</v>
      </c>
      <c r="L370" s="290" t="s">
        <v>631</v>
      </c>
      <c r="M370" s="278"/>
      <c r="O370" s="278"/>
    </row>
    <row r="371" spans="1:15" s="279" customFormat="1" ht="16.5">
      <c r="A371" s="277">
        <v>45198</v>
      </c>
      <c r="B371" s="278" t="s">
        <v>641</v>
      </c>
      <c r="C371" s="278" t="s">
        <v>381</v>
      </c>
      <c r="D371" s="279" t="s">
        <v>154</v>
      </c>
      <c r="E371" s="278"/>
      <c r="F371" s="299">
        <v>149000</v>
      </c>
      <c r="G371" s="211">
        <f t="shared" si="17"/>
        <v>10133643</v>
      </c>
      <c r="H371" s="290" t="s">
        <v>25</v>
      </c>
      <c r="I371" s="278" t="s">
        <v>328</v>
      </c>
      <c r="J371" s="278" t="s">
        <v>352</v>
      </c>
      <c r="K371" s="278" t="s">
        <v>198</v>
      </c>
      <c r="L371" s="278" t="s">
        <v>631</v>
      </c>
      <c r="M371" s="278"/>
      <c r="O371" s="278"/>
    </row>
    <row r="372" spans="1:15" s="279" customFormat="1" ht="16.5">
      <c r="A372" s="281">
        <v>45198</v>
      </c>
      <c r="B372" s="278" t="s">
        <v>437</v>
      </c>
      <c r="C372" s="279" t="s">
        <v>229</v>
      </c>
      <c r="D372" s="278" t="s">
        <v>2</v>
      </c>
      <c r="E372" s="278"/>
      <c r="F372" s="278">
        <v>50000</v>
      </c>
      <c r="G372" s="211">
        <f t="shared" si="17"/>
        <v>10083643</v>
      </c>
      <c r="H372" s="278" t="s">
        <v>25</v>
      </c>
      <c r="I372" s="278" t="s">
        <v>337</v>
      </c>
      <c r="J372" s="278" t="s">
        <v>287</v>
      </c>
      <c r="K372" s="279" t="s">
        <v>198</v>
      </c>
      <c r="L372" s="279" t="s">
        <v>631</v>
      </c>
      <c r="M372" s="278"/>
      <c r="O372" s="278"/>
    </row>
    <row r="373" spans="1:15" s="279" customFormat="1" ht="16.5">
      <c r="A373" s="277">
        <v>45198</v>
      </c>
      <c r="B373" s="290" t="s">
        <v>438</v>
      </c>
      <c r="C373" s="279" t="s">
        <v>170</v>
      </c>
      <c r="D373" s="278" t="s">
        <v>2</v>
      </c>
      <c r="E373" s="228"/>
      <c r="F373" s="228">
        <v>154370</v>
      </c>
      <c r="G373" s="211">
        <f t="shared" si="17"/>
        <v>9929273</v>
      </c>
      <c r="H373" s="278" t="s">
        <v>25</v>
      </c>
      <c r="I373" s="278" t="s">
        <v>337</v>
      </c>
      <c r="J373" s="278" t="s">
        <v>287</v>
      </c>
      <c r="K373" s="279" t="s">
        <v>198</v>
      </c>
      <c r="L373" s="279" t="s">
        <v>631</v>
      </c>
      <c r="M373" s="278"/>
      <c r="O373" s="278"/>
    </row>
    <row r="374" spans="1:15" s="279" customFormat="1" ht="16.5">
      <c r="A374" s="277">
        <v>45198</v>
      </c>
      <c r="B374" s="278" t="s">
        <v>448</v>
      </c>
      <c r="C374" s="278" t="s">
        <v>170</v>
      </c>
      <c r="D374" s="278" t="s">
        <v>2</v>
      </c>
      <c r="E374" s="278"/>
      <c r="F374" s="278">
        <v>634000</v>
      </c>
      <c r="G374" s="211">
        <f t="shared" si="17"/>
        <v>9295273</v>
      </c>
      <c r="H374" s="278" t="s">
        <v>148</v>
      </c>
      <c r="I374" s="288">
        <v>3667386</v>
      </c>
      <c r="J374" s="278" t="s">
        <v>102</v>
      </c>
      <c r="K374" s="278" t="s">
        <v>199</v>
      </c>
      <c r="L374" s="290" t="s">
        <v>631</v>
      </c>
      <c r="M374" s="291" t="s">
        <v>788</v>
      </c>
      <c r="N374" s="279" t="s">
        <v>644</v>
      </c>
      <c r="O374" s="278"/>
    </row>
    <row r="375" spans="1:15" s="279" customFormat="1" ht="16.5">
      <c r="A375" s="277">
        <v>45198</v>
      </c>
      <c r="B375" s="278" t="s">
        <v>449</v>
      </c>
      <c r="C375" s="278" t="s">
        <v>170</v>
      </c>
      <c r="D375" s="278" t="s">
        <v>154</v>
      </c>
      <c r="E375" s="278"/>
      <c r="F375" s="278">
        <v>359500</v>
      </c>
      <c r="G375" s="211">
        <f t="shared" si="17"/>
        <v>8935773</v>
      </c>
      <c r="H375" s="278" t="s">
        <v>148</v>
      </c>
      <c r="I375" s="283">
        <v>3667389</v>
      </c>
      <c r="J375" s="278" t="s">
        <v>102</v>
      </c>
      <c r="K375" s="278" t="s">
        <v>199</v>
      </c>
      <c r="L375" s="290" t="s">
        <v>631</v>
      </c>
      <c r="M375" s="291" t="s">
        <v>789</v>
      </c>
      <c r="N375" s="279" t="s">
        <v>645</v>
      </c>
      <c r="O375" s="278"/>
    </row>
    <row r="376" spans="1:15" s="307" customFormat="1" ht="16.5">
      <c r="A376" s="285">
        <v>45198</v>
      </c>
      <c r="B376" s="278" t="s">
        <v>450</v>
      </c>
      <c r="C376" s="278" t="s">
        <v>170</v>
      </c>
      <c r="D376" s="278" t="s">
        <v>154</v>
      </c>
      <c r="E376" s="278"/>
      <c r="F376" s="278">
        <v>200000</v>
      </c>
      <c r="G376" s="211">
        <f t="shared" si="17"/>
        <v>8735773</v>
      </c>
      <c r="H376" s="278" t="s">
        <v>148</v>
      </c>
      <c r="I376" s="283">
        <v>3667390</v>
      </c>
      <c r="J376" s="278" t="s">
        <v>102</v>
      </c>
      <c r="K376" s="278" t="s">
        <v>199</v>
      </c>
      <c r="L376" s="290" t="s">
        <v>631</v>
      </c>
      <c r="M376" s="291" t="s">
        <v>790</v>
      </c>
      <c r="N376" s="279" t="s">
        <v>645</v>
      </c>
      <c r="O376" s="279"/>
    </row>
    <row r="377" spans="1:15" s="307" customFormat="1" ht="16.5">
      <c r="A377" s="277">
        <v>45198</v>
      </c>
      <c r="B377" s="278" t="s">
        <v>451</v>
      </c>
      <c r="C377" s="278" t="s">
        <v>170</v>
      </c>
      <c r="D377" s="278" t="s">
        <v>154</v>
      </c>
      <c r="E377" s="278"/>
      <c r="F377" s="279">
        <v>200000</v>
      </c>
      <c r="G377" s="211">
        <f t="shared" si="17"/>
        <v>8535773</v>
      </c>
      <c r="H377" s="278" t="s">
        <v>148</v>
      </c>
      <c r="I377" s="283">
        <v>3667391</v>
      </c>
      <c r="J377" s="278" t="s">
        <v>102</v>
      </c>
      <c r="K377" s="278" t="s">
        <v>199</v>
      </c>
      <c r="L377" s="290" t="s">
        <v>631</v>
      </c>
      <c r="M377" s="291" t="s">
        <v>791</v>
      </c>
      <c r="N377" s="279" t="s">
        <v>645</v>
      </c>
      <c r="O377" s="278"/>
    </row>
    <row r="378" spans="1:15" s="307" customFormat="1" ht="16.5">
      <c r="A378" s="287">
        <v>45198</v>
      </c>
      <c r="B378" s="227" t="s">
        <v>452</v>
      </c>
      <c r="C378" s="278" t="s">
        <v>170</v>
      </c>
      <c r="D378" s="278" t="s">
        <v>154</v>
      </c>
      <c r="E378" s="278"/>
      <c r="F378" s="278">
        <v>200000</v>
      </c>
      <c r="G378" s="211">
        <f t="shared" si="17"/>
        <v>8335773</v>
      </c>
      <c r="H378" s="278" t="s">
        <v>148</v>
      </c>
      <c r="I378" s="283">
        <v>3667394</v>
      </c>
      <c r="J378" s="278" t="s">
        <v>102</v>
      </c>
      <c r="K378" s="278" t="s">
        <v>199</v>
      </c>
      <c r="L378" s="290" t="s">
        <v>631</v>
      </c>
      <c r="M378" s="291" t="s">
        <v>792</v>
      </c>
      <c r="N378" s="279" t="s">
        <v>645</v>
      </c>
      <c r="O378" s="278"/>
    </row>
    <row r="379" spans="1:15" s="307" customFormat="1" ht="16.5">
      <c r="A379" s="277">
        <v>45198</v>
      </c>
      <c r="B379" s="278" t="s">
        <v>453</v>
      </c>
      <c r="C379" s="211" t="s">
        <v>170</v>
      </c>
      <c r="D379" s="279" t="s">
        <v>326</v>
      </c>
      <c r="E379" s="278"/>
      <c r="F379" s="278">
        <v>300000</v>
      </c>
      <c r="G379" s="211">
        <f t="shared" si="17"/>
        <v>8035773</v>
      </c>
      <c r="H379" s="278" t="s">
        <v>148</v>
      </c>
      <c r="I379" s="288">
        <v>3667396</v>
      </c>
      <c r="J379" s="278" t="s">
        <v>102</v>
      </c>
      <c r="K379" s="278" t="s">
        <v>199</v>
      </c>
      <c r="L379" s="290" t="s">
        <v>631</v>
      </c>
      <c r="M379" s="291" t="s">
        <v>793</v>
      </c>
      <c r="N379" s="279" t="s">
        <v>644</v>
      </c>
      <c r="O379" s="278"/>
    </row>
    <row r="380" spans="1:15" s="307" customFormat="1" ht="16.5">
      <c r="A380" s="281">
        <v>45198</v>
      </c>
      <c r="B380" s="278" t="s">
        <v>454</v>
      </c>
      <c r="C380" s="279" t="s">
        <v>170</v>
      </c>
      <c r="D380" s="279" t="s">
        <v>155</v>
      </c>
      <c r="E380" s="278"/>
      <c r="F380" s="279">
        <v>235600</v>
      </c>
      <c r="G380" s="211">
        <f t="shared" si="17"/>
        <v>7800173</v>
      </c>
      <c r="H380" s="278" t="s">
        <v>148</v>
      </c>
      <c r="I380" s="288">
        <v>3667397</v>
      </c>
      <c r="J380" s="278" t="s">
        <v>102</v>
      </c>
      <c r="K380" s="278" t="s">
        <v>199</v>
      </c>
      <c r="L380" s="290" t="s">
        <v>631</v>
      </c>
      <c r="M380" s="291" t="s">
        <v>794</v>
      </c>
      <c r="N380" s="279" t="s">
        <v>646</v>
      </c>
      <c r="O380" s="279"/>
    </row>
    <row r="381" spans="1:15" s="307" customFormat="1" ht="16.5">
      <c r="A381" s="281">
        <v>45198</v>
      </c>
      <c r="B381" s="278" t="s">
        <v>455</v>
      </c>
      <c r="C381" s="279" t="s">
        <v>170</v>
      </c>
      <c r="D381" s="279" t="s">
        <v>2</v>
      </c>
      <c r="E381" s="278"/>
      <c r="F381" s="279">
        <v>918340</v>
      </c>
      <c r="G381" s="211">
        <f t="shared" si="17"/>
        <v>6881833</v>
      </c>
      <c r="H381" s="278" t="s">
        <v>148</v>
      </c>
      <c r="I381" s="283">
        <v>3667398</v>
      </c>
      <c r="J381" s="278" t="s">
        <v>102</v>
      </c>
      <c r="K381" s="278" t="s">
        <v>199</v>
      </c>
      <c r="L381" s="290" t="s">
        <v>631</v>
      </c>
      <c r="M381" s="291" t="s">
        <v>795</v>
      </c>
      <c r="N381" s="279" t="s">
        <v>647</v>
      </c>
      <c r="O381" s="279"/>
    </row>
    <row r="382" spans="1:15" s="307" customFormat="1" ht="16.5">
      <c r="A382" s="277">
        <v>45198</v>
      </c>
      <c r="B382" s="278" t="s">
        <v>456</v>
      </c>
      <c r="C382" s="278" t="s">
        <v>170</v>
      </c>
      <c r="D382" s="278" t="s">
        <v>818</v>
      </c>
      <c r="E382" s="278"/>
      <c r="F382" s="279">
        <v>465000</v>
      </c>
      <c r="G382" s="211">
        <f t="shared" si="17"/>
        <v>6416833</v>
      </c>
      <c r="H382" s="278" t="s">
        <v>148</v>
      </c>
      <c r="I382" s="283">
        <v>3667399</v>
      </c>
      <c r="J382" s="278" t="s">
        <v>102</v>
      </c>
      <c r="K382" s="278" t="s">
        <v>199</v>
      </c>
      <c r="L382" s="290" t="s">
        <v>631</v>
      </c>
      <c r="M382" s="291" t="s">
        <v>796</v>
      </c>
      <c r="N382" s="279" t="s">
        <v>643</v>
      </c>
      <c r="O382" s="278"/>
    </row>
    <row r="383" spans="1:15" s="307" customFormat="1" ht="16.5">
      <c r="A383" s="277">
        <v>45198</v>
      </c>
      <c r="B383" s="292" t="s">
        <v>458</v>
      </c>
      <c r="C383" s="279" t="s">
        <v>174</v>
      </c>
      <c r="D383" s="279" t="s">
        <v>326</v>
      </c>
      <c r="E383" s="278"/>
      <c r="F383" s="278">
        <v>500000</v>
      </c>
      <c r="G383" s="211">
        <f t="shared" si="17"/>
        <v>5916833</v>
      </c>
      <c r="H383" s="278" t="s">
        <v>148</v>
      </c>
      <c r="I383" s="283">
        <v>3667401</v>
      </c>
      <c r="J383" s="278" t="s">
        <v>102</v>
      </c>
      <c r="K383" s="278" t="s">
        <v>199</v>
      </c>
      <c r="L383" s="279" t="s">
        <v>631</v>
      </c>
      <c r="M383" s="291" t="s">
        <v>797</v>
      </c>
      <c r="N383" s="279" t="s">
        <v>649</v>
      </c>
      <c r="O383" s="278"/>
    </row>
    <row r="384" spans="1:15" s="307" customFormat="1" ht="16.5">
      <c r="A384" s="287">
        <v>45198</v>
      </c>
      <c r="B384" s="278" t="s">
        <v>459</v>
      </c>
      <c r="C384" s="279" t="s">
        <v>34</v>
      </c>
      <c r="D384" s="292" t="s">
        <v>2</v>
      </c>
      <c r="E384" s="211"/>
      <c r="F384" s="211">
        <v>44500</v>
      </c>
      <c r="G384" s="211">
        <f>G383+E384-F384</f>
        <v>5872333</v>
      </c>
      <c r="H384" s="278" t="s">
        <v>143</v>
      </c>
      <c r="I384" s="278" t="s">
        <v>337</v>
      </c>
      <c r="J384" s="278" t="s">
        <v>102</v>
      </c>
      <c r="K384" s="278" t="s">
        <v>199</v>
      </c>
      <c r="L384" s="278" t="s">
        <v>631</v>
      </c>
      <c r="M384" s="291" t="s">
        <v>798</v>
      </c>
      <c r="N384" s="279" t="s">
        <v>651</v>
      </c>
      <c r="O384" s="278"/>
    </row>
    <row r="385" spans="1:15" s="307" customFormat="1" ht="16.5">
      <c r="A385" s="277">
        <v>45198</v>
      </c>
      <c r="B385" s="278" t="s">
        <v>487</v>
      </c>
      <c r="C385" s="279" t="s">
        <v>301</v>
      </c>
      <c r="D385" s="278" t="s">
        <v>2</v>
      </c>
      <c r="E385" s="211"/>
      <c r="F385" s="227">
        <v>195000</v>
      </c>
      <c r="G385" s="211">
        <f>+G384+E385-F385</f>
        <v>5677333</v>
      </c>
      <c r="H385" s="278" t="s">
        <v>47</v>
      </c>
      <c r="I385" s="278" t="s">
        <v>331</v>
      </c>
      <c r="J385" s="278" t="s">
        <v>102</v>
      </c>
      <c r="K385" s="278" t="s">
        <v>199</v>
      </c>
      <c r="L385" s="278" t="s">
        <v>631</v>
      </c>
      <c r="M385" s="291" t="s">
        <v>799</v>
      </c>
      <c r="N385" s="278" t="s">
        <v>652</v>
      </c>
      <c r="O385" s="278"/>
    </row>
    <row r="386" spans="1:15" s="307" customFormat="1" ht="16.5">
      <c r="A386" s="287">
        <v>45198</v>
      </c>
      <c r="B386" s="292" t="s">
        <v>488</v>
      </c>
      <c r="C386" s="279" t="s">
        <v>34</v>
      </c>
      <c r="D386" s="279" t="s">
        <v>2</v>
      </c>
      <c r="E386" s="303"/>
      <c r="F386" s="299">
        <v>8000</v>
      </c>
      <c r="G386" s="211">
        <f>+G385+E386-F386</f>
        <v>5669333</v>
      </c>
      <c r="H386" s="278" t="s">
        <v>47</v>
      </c>
      <c r="I386" s="278" t="s">
        <v>331</v>
      </c>
      <c r="J386" s="278" t="s">
        <v>102</v>
      </c>
      <c r="K386" s="278" t="s">
        <v>199</v>
      </c>
      <c r="L386" s="278" t="s">
        <v>631</v>
      </c>
      <c r="M386" s="291" t="s">
        <v>800</v>
      </c>
      <c r="N386" s="279" t="s">
        <v>651</v>
      </c>
      <c r="O386" s="278"/>
    </row>
    <row r="387" spans="1:15" s="307" customFormat="1" ht="16.5">
      <c r="A387" s="277">
        <v>45198</v>
      </c>
      <c r="B387" s="279" t="s">
        <v>489</v>
      </c>
      <c r="C387" s="279" t="s">
        <v>34</v>
      </c>
      <c r="D387" s="278" t="s">
        <v>2</v>
      </c>
      <c r="E387" s="279"/>
      <c r="F387" s="278">
        <v>46000</v>
      </c>
      <c r="G387" s="211">
        <f>+G386+E387-F387</f>
        <v>5623333</v>
      </c>
      <c r="H387" s="278" t="s">
        <v>47</v>
      </c>
      <c r="I387" s="278" t="s">
        <v>337</v>
      </c>
      <c r="J387" s="278" t="s">
        <v>102</v>
      </c>
      <c r="K387" s="278" t="s">
        <v>199</v>
      </c>
      <c r="L387" s="278" t="s">
        <v>631</v>
      </c>
      <c r="M387" s="291" t="s">
        <v>801</v>
      </c>
      <c r="N387" s="279" t="s">
        <v>651</v>
      </c>
      <c r="O387" s="279"/>
    </row>
    <row r="388" spans="1:15" s="307" customFormat="1" ht="16.5">
      <c r="A388" s="287">
        <v>45198</v>
      </c>
      <c r="B388" s="278" t="s">
        <v>502</v>
      </c>
      <c r="C388" s="278" t="s">
        <v>301</v>
      </c>
      <c r="D388" s="279" t="s">
        <v>154</v>
      </c>
      <c r="E388" s="278"/>
      <c r="F388" s="278">
        <v>270000</v>
      </c>
      <c r="G388" s="211">
        <f>G387+E388-F388</f>
        <v>5353333</v>
      </c>
      <c r="H388" s="279" t="s">
        <v>299</v>
      </c>
      <c r="I388" s="283" t="s">
        <v>328</v>
      </c>
      <c r="J388" s="278" t="s">
        <v>287</v>
      </c>
      <c r="K388" s="278" t="s">
        <v>199</v>
      </c>
      <c r="L388" s="278" t="s">
        <v>631</v>
      </c>
      <c r="M388" s="291" t="s">
        <v>802</v>
      </c>
      <c r="N388" s="278" t="s">
        <v>652</v>
      </c>
      <c r="O388" s="278"/>
    </row>
    <row r="389" spans="1:15" s="307" customFormat="1" ht="16.5">
      <c r="A389" s="287">
        <v>45198</v>
      </c>
      <c r="B389" s="278" t="s">
        <v>503</v>
      </c>
      <c r="C389" s="278" t="s">
        <v>319</v>
      </c>
      <c r="D389" s="279" t="s">
        <v>154</v>
      </c>
      <c r="E389" s="278"/>
      <c r="F389" s="278">
        <v>8000</v>
      </c>
      <c r="G389" s="211">
        <f>G388+E389-F389</f>
        <v>5345333</v>
      </c>
      <c r="H389" s="279" t="s">
        <v>299</v>
      </c>
      <c r="I389" s="283" t="s">
        <v>328</v>
      </c>
      <c r="J389" s="278" t="s">
        <v>102</v>
      </c>
      <c r="K389" s="278" t="s">
        <v>199</v>
      </c>
      <c r="L389" s="278" t="s">
        <v>631</v>
      </c>
      <c r="M389" s="291" t="s">
        <v>803</v>
      </c>
      <c r="N389" s="279" t="s">
        <v>651</v>
      </c>
      <c r="O389" s="278"/>
    </row>
    <row r="390" spans="1:15" s="307" customFormat="1" ht="16.5">
      <c r="A390" s="287">
        <v>45198</v>
      </c>
      <c r="B390" s="278" t="s">
        <v>457</v>
      </c>
      <c r="C390" s="278" t="s">
        <v>170</v>
      </c>
      <c r="D390" s="278" t="s">
        <v>818</v>
      </c>
      <c r="E390" s="278"/>
      <c r="F390" s="279">
        <v>360000</v>
      </c>
      <c r="G390" s="211">
        <f>+G389+E390-F390</f>
        <v>4985333</v>
      </c>
      <c r="H390" s="278" t="s">
        <v>148</v>
      </c>
      <c r="I390" s="283">
        <v>3667400</v>
      </c>
      <c r="J390" s="278" t="s">
        <v>102</v>
      </c>
      <c r="K390" s="278" t="s">
        <v>199</v>
      </c>
      <c r="L390" s="290" t="s">
        <v>631</v>
      </c>
      <c r="M390" s="291" t="s">
        <v>804</v>
      </c>
      <c r="N390" s="279" t="s">
        <v>643</v>
      </c>
      <c r="O390" s="278"/>
    </row>
    <row r="391" spans="1:15" s="307" customFormat="1" ht="16.5">
      <c r="A391" s="285">
        <v>45198</v>
      </c>
      <c r="B391" s="288" t="s">
        <v>543</v>
      </c>
      <c r="C391" s="279" t="s">
        <v>34</v>
      </c>
      <c r="D391" s="279" t="s">
        <v>154</v>
      </c>
      <c r="E391" s="278"/>
      <c r="F391" s="278">
        <v>15000</v>
      </c>
      <c r="G391" s="211">
        <f t="shared" ref="G391:G396" si="18">G390+E391-F391</f>
        <v>4970333</v>
      </c>
      <c r="H391" s="278" t="s">
        <v>197</v>
      </c>
      <c r="I391" s="278" t="s">
        <v>328</v>
      </c>
      <c r="J391" s="278" t="s">
        <v>102</v>
      </c>
      <c r="K391" s="278" t="s">
        <v>199</v>
      </c>
      <c r="L391" s="278" t="s">
        <v>631</v>
      </c>
      <c r="M391" s="291" t="s">
        <v>805</v>
      </c>
      <c r="N391" s="279" t="s">
        <v>651</v>
      </c>
      <c r="O391" s="278"/>
    </row>
    <row r="392" spans="1:15" s="307" customFormat="1" ht="16.5">
      <c r="A392" s="281">
        <v>45198</v>
      </c>
      <c r="B392" s="278" t="s">
        <v>544</v>
      </c>
      <c r="C392" s="278" t="s">
        <v>34</v>
      </c>
      <c r="D392" s="278" t="s">
        <v>154</v>
      </c>
      <c r="E392" s="278"/>
      <c r="F392" s="278">
        <v>52800</v>
      </c>
      <c r="G392" s="211">
        <f t="shared" si="18"/>
        <v>4917533</v>
      </c>
      <c r="H392" s="290" t="s">
        <v>197</v>
      </c>
      <c r="I392" s="278" t="s">
        <v>337</v>
      </c>
      <c r="J392" s="278" t="s">
        <v>102</v>
      </c>
      <c r="K392" s="278" t="s">
        <v>199</v>
      </c>
      <c r="L392" s="278" t="s">
        <v>631</v>
      </c>
      <c r="M392" s="291" t="s">
        <v>806</v>
      </c>
      <c r="N392" s="279" t="s">
        <v>651</v>
      </c>
      <c r="O392" s="278"/>
    </row>
    <row r="393" spans="1:15" s="307" customFormat="1" ht="16.5">
      <c r="A393" s="277">
        <v>45198</v>
      </c>
      <c r="B393" s="279" t="s">
        <v>558</v>
      </c>
      <c r="C393" s="279" t="s">
        <v>34</v>
      </c>
      <c r="D393" s="279" t="s">
        <v>326</v>
      </c>
      <c r="E393" s="279"/>
      <c r="F393" s="282">
        <v>41100</v>
      </c>
      <c r="G393" s="211">
        <f t="shared" si="18"/>
        <v>4876433</v>
      </c>
      <c r="H393" s="279" t="s">
        <v>93</v>
      </c>
      <c r="I393" s="278" t="s">
        <v>337</v>
      </c>
      <c r="J393" s="278" t="s">
        <v>102</v>
      </c>
      <c r="K393" s="278" t="s">
        <v>199</v>
      </c>
      <c r="L393" s="278" t="s">
        <v>631</v>
      </c>
      <c r="M393" s="291" t="s">
        <v>807</v>
      </c>
      <c r="N393" s="279" t="s">
        <v>651</v>
      </c>
      <c r="O393" s="279"/>
    </row>
    <row r="394" spans="1:15" s="307" customFormat="1" ht="16.5">
      <c r="A394" s="277">
        <v>45198</v>
      </c>
      <c r="B394" s="290" t="s">
        <v>575</v>
      </c>
      <c r="C394" s="279" t="s">
        <v>301</v>
      </c>
      <c r="D394" s="278" t="s">
        <v>818</v>
      </c>
      <c r="E394" s="228"/>
      <c r="F394" s="228">
        <v>8000</v>
      </c>
      <c r="G394" s="211">
        <f t="shared" si="18"/>
        <v>4868433</v>
      </c>
      <c r="H394" s="290" t="s">
        <v>317</v>
      </c>
      <c r="I394" s="278" t="s">
        <v>337</v>
      </c>
      <c r="J394" s="290" t="s">
        <v>287</v>
      </c>
      <c r="K394" s="290" t="s">
        <v>198</v>
      </c>
      <c r="L394" s="290" t="s">
        <v>631</v>
      </c>
      <c r="M394" s="290"/>
      <c r="N394" s="290"/>
      <c r="O394" s="278"/>
    </row>
    <row r="395" spans="1:15" s="307" customFormat="1" ht="16.5">
      <c r="A395" s="277">
        <v>45198</v>
      </c>
      <c r="B395" s="278" t="s">
        <v>576</v>
      </c>
      <c r="C395" s="278" t="s">
        <v>34</v>
      </c>
      <c r="D395" s="278" t="s">
        <v>818</v>
      </c>
      <c r="E395" s="278"/>
      <c r="F395" s="278">
        <v>77600</v>
      </c>
      <c r="G395" s="211">
        <f t="shared" si="18"/>
        <v>4790833</v>
      </c>
      <c r="H395" s="278" t="s">
        <v>317</v>
      </c>
      <c r="I395" s="278" t="s">
        <v>337</v>
      </c>
      <c r="J395" s="278" t="s">
        <v>287</v>
      </c>
      <c r="K395" s="278" t="s">
        <v>198</v>
      </c>
      <c r="L395" s="278" t="s">
        <v>631</v>
      </c>
      <c r="M395" s="291"/>
      <c r="N395" s="279"/>
      <c r="O395" s="278"/>
    </row>
    <row r="396" spans="1:15" s="307" customFormat="1" ht="16.5">
      <c r="A396" s="277">
        <v>45198</v>
      </c>
      <c r="B396" s="278" t="s">
        <v>588</v>
      </c>
      <c r="C396" s="278" t="s">
        <v>501</v>
      </c>
      <c r="D396" s="278" t="s">
        <v>154</v>
      </c>
      <c r="E396" s="211"/>
      <c r="F396" s="211">
        <v>7000</v>
      </c>
      <c r="G396" s="211">
        <f t="shared" si="18"/>
        <v>4783833</v>
      </c>
      <c r="H396" s="278" t="s">
        <v>300</v>
      </c>
      <c r="I396" s="278" t="s">
        <v>337</v>
      </c>
      <c r="J396" s="278" t="s">
        <v>287</v>
      </c>
      <c r="K396" s="278" t="s">
        <v>198</v>
      </c>
      <c r="L396" s="278" t="s">
        <v>631</v>
      </c>
    </row>
    <row r="397" spans="1:15" s="307" customFormat="1" ht="16.5">
      <c r="A397" s="277">
        <v>45198</v>
      </c>
      <c r="B397" s="278" t="s">
        <v>197</v>
      </c>
      <c r="C397" s="279" t="s">
        <v>75</v>
      </c>
      <c r="D397" s="278"/>
      <c r="E397" s="211"/>
      <c r="F397" s="227">
        <v>36000</v>
      </c>
      <c r="G397" s="211">
        <f>+G396+E397-F397</f>
        <v>4747833</v>
      </c>
      <c r="H397" s="278" t="s">
        <v>25</v>
      </c>
      <c r="I397" s="283"/>
      <c r="J397" s="278"/>
      <c r="K397" s="279"/>
      <c r="L397" s="279"/>
      <c r="M397" s="278"/>
      <c r="N397" s="279"/>
      <c r="O397" s="278"/>
    </row>
    <row r="398" spans="1:15" s="307" customFormat="1" ht="16.5">
      <c r="A398" s="277">
        <v>45198</v>
      </c>
      <c r="B398" s="290" t="s">
        <v>439</v>
      </c>
      <c r="C398" s="279" t="s">
        <v>75</v>
      </c>
      <c r="D398" s="278"/>
      <c r="E398" s="228">
        <v>91650</v>
      </c>
      <c r="F398" s="228"/>
      <c r="G398" s="211">
        <f>+G397+E398-F398</f>
        <v>4839483</v>
      </c>
      <c r="H398" s="278" t="s">
        <v>25</v>
      </c>
      <c r="I398" s="283"/>
      <c r="J398" s="278"/>
      <c r="K398" s="278"/>
      <c r="L398" s="278"/>
      <c r="M398" s="290"/>
      <c r="N398" s="290"/>
      <c r="O398" s="278"/>
    </row>
    <row r="399" spans="1:15" s="307" customFormat="1" ht="16.5">
      <c r="A399" s="277">
        <v>45198</v>
      </c>
      <c r="B399" s="279" t="s">
        <v>460</v>
      </c>
      <c r="C399" s="283" t="s">
        <v>75</v>
      </c>
      <c r="D399" s="278"/>
      <c r="E399" s="299"/>
      <c r="F399" s="278">
        <v>91650</v>
      </c>
      <c r="G399" s="211">
        <f t="shared" ref="G399:G405" si="19">G398+E399-F399</f>
        <v>4747833</v>
      </c>
      <c r="H399" s="278" t="s">
        <v>143</v>
      </c>
      <c r="I399" s="278"/>
      <c r="J399" s="279"/>
      <c r="K399" s="290"/>
      <c r="L399" s="290"/>
      <c r="M399" s="278"/>
      <c r="N399" s="279"/>
      <c r="O399" s="279"/>
    </row>
    <row r="400" spans="1:15" s="307" customFormat="1" ht="16.5">
      <c r="A400" s="281">
        <v>45198</v>
      </c>
      <c r="B400" s="278" t="s">
        <v>339</v>
      </c>
      <c r="C400" s="283" t="s">
        <v>75</v>
      </c>
      <c r="D400" s="279"/>
      <c r="E400" s="278">
        <v>36000</v>
      </c>
      <c r="F400" s="278"/>
      <c r="G400" s="211">
        <f t="shared" si="19"/>
        <v>4783833</v>
      </c>
      <c r="H400" s="290" t="s">
        <v>197</v>
      </c>
      <c r="I400" s="283"/>
      <c r="J400" s="278"/>
      <c r="K400" s="279"/>
      <c r="L400" s="279"/>
      <c r="M400" s="278"/>
      <c r="N400" s="279"/>
      <c r="O400" s="278"/>
    </row>
    <row r="401" spans="1:15" s="307" customFormat="1" ht="16.5">
      <c r="A401" s="277">
        <v>45199</v>
      </c>
      <c r="B401" s="278" t="s">
        <v>504</v>
      </c>
      <c r="C401" s="279" t="s">
        <v>319</v>
      </c>
      <c r="D401" s="278" t="s">
        <v>154</v>
      </c>
      <c r="E401" s="278"/>
      <c r="F401" s="278">
        <v>83000</v>
      </c>
      <c r="G401" s="211">
        <f t="shared" si="19"/>
        <v>4700833</v>
      </c>
      <c r="H401" s="279" t="s">
        <v>299</v>
      </c>
      <c r="I401" s="278" t="s">
        <v>337</v>
      </c>
      <c r="J401" s="278" t="s">
        <v>102</v>
      </c>
      <c r="K401" s="278" t="s">
        <v>199</v>
      </c>
      <c r="L401" s="278" t="s">
        <v>631</v>
      </c>
      <c r="M401" s="291" t="s">
        <v>808</v>
      </c>
      <c r="N401" s="279" t="s">
        <v>651</v>
      </c>
      <c r="O401" s="278"/>
    </row>
    <row r="402" spans="1:15" s="307" customFormat="1" ht="16.5">
      <c r="A402" s="277">
        <v>45199</v>
      </c>
      <c r="B402" s="278" t="s">
        <v>589</v>
      </c>
      <c r="C402" s="278" t="s">
        <v>301</v>
      </c>
      <c r="D402" s="278" t="s">
        <v>154</v>
      </c>
      <c r="E402" s="211"/>
      <c r="F402" s="211">
        <v>30000</v>
      </c>
      <c r="G402" s="211">
        <f t="shared" si="19"/>
        <v>4670833</v>
      </c>
      <c r="H402" s="278" t="s">
        <v>300</v>
      </c>
      <c r="I402" s="278" t="s">
        <v>328</v>
      </c>
      <c r="J402" s="278" t="s">
        <v>287</v>
      </c>
      <c r="K402" s="278" t="s">
        <v>199</v>
      </c>
      <c r="L402" s="278" t="s">
        <v>631</v>
      </c>
      <c r="M402" s="291" t="s">
        <v>809</v>
      </c>
      <c r="N402" s="278" t="s">
        <v>652</v>
      </c>
    </row>
    <row r="403" spans="1:15" s="307" customFormat="1" ht="16.5">
      <c r="A403" s="277">
        <v>45199</v>
      </c>
      <c r="B403" s="278" t="s">
        <v>590</v>
      </c>
      <c r="C403" s="278" t="s">
        <v>34</v>
      </c>
      <c r="D403" s="278" t="s">
        <v>154</v>
      </c>
      <c r="E403" s="211"/>
      <c r="F403" s="211">
        <v>3500</v>
      </c>
      <c r="G403" s="211">
        <f t="shared" si="19"/>
        <v>4667333</v>
      </c>
      <c r="H403" s="278" t="s">
        <v>300</v>
      </c>
      <c r="I403" s="278" t="s">
        <v>328</v>
      </c>
      <c r="J403" s="278" t="s">
        <v>287</v>
      </c>
      <c r="K403" s="278" t="s">
        <v>199</v>
      </c>
      <c r="L403" s="278" t="s">
        <v>631</v>
      </c>
      <c r="M403" s="291" t="s">
        <v>810</v>
      </c>
      <c r="N403" s="279" t="s">
        <v>651</v>
      </c>
    </row>
    <row r="404" spans="1:15" s="307" customFormat="1" ht="16.5">
      <c r="A404" s="277">
        <v>45199</v>
      </c>
      <c r="B404" s="278" t="s">
        <v>591</v>
      </c>
      <c r="C404" s="278" t="s">
        <v>34</v>
      </c>
      <c r="D404" s="278" t="s">
        <v>154</v>
      </c>
      <c r="E404" s="211"/>
      <c r="F404" s="211">
        <v>8000</v>
      </c>
      <c r="G404" s="211">
        <f t="shared" si="19"/>
        <v>4659333</v>
      </c>
      <c r="H404" s="278" t="s">
        <v>300</v>
      </c>
      <c r="I404" s="278" t="s">
        <v>328</v>
      </c>
      <c r="J404" s="278" t="s">
        <v>287</v>
      </c>
      <c r="K404" s="278" t="s">
        <v>199</v>
      </c>
      <c r="L404" s="278" t="s">
        <v>631</v>
      </c>
      <c r="M404" s="291" t="s">
        <v>811</v>
      </c>
      <c r="N404" s="279" t="s">
        <v>651</v>
      </c>
    </row>
    <row r="405" spans="1:15" s="307" customFormat="1" ht="16.5">
      <c r="A405" s="277">
        <v>45199</v>
      </c>
      <c r="B405" s="278" t="s">
        <v>592</v>
      </c>
      <c r="C405" s="278" t="s">
        <v>34</v>
      </c>
      <c r="D405" s="278" t="s">
        <v>154</v>
      </c>
      <c r="E405" s="278"/>
      <c r="F405" s="211">
        <v>34100</v>
      </c>
      <c r="G405" s="211">
        <f t="shared" si="19"/>
        <v>4625233</v>
      </c>
      <c r="H405" s="278" t="s">
        <v>300</v>
      </c>
      <c r="I405" s="278" t="s">
        <v>337</v>
      </c>
      <c r="J405" s="278" t="s">
        <v>287</v>
      </c>
      <c r="K405" s="278" t="s">
        <v>199</v>
      </c>
      <c r="L405" s="278" t="s">
        <v>631</v>
      </c>
      <c r="M405" s="291" t="s">
        <v>812</v>
      </c>
      <c r="N405" s="279" t="s">
        <v>651</v>
      </c>
    </row>
    <row r="406" spans="1:15" s="278" customFormat="1" ht="16.5"/>
    <row r="407" spans="1:15" s="278" customFormat="1" ht="16.5"/>
    <row r="408" spans="1:15" s="278" customFormat="1" ht="16.5"/>
    <row r="409" spans="1:15" s="278" customFormat="1" ht="16.5"/>
    <row r="410" spans="1:15" s="278" customFormat="1" ht="16.5"/>
    <row r="411" spans="1:15" s="278" customFormat="1" ht="16.5"/>
    <row r="412" spans="1:15" s="278" customFormat="1" ht="16.5"/>
    <row r="413" spans="1:15" s="278" customFormat="1" ht="16.5"/>
    <row r="414" spans="1:15" s="278" customFormat="1" ht="16.5"/>
    <row r="415" spans="1:15" s="278" customFormat="1" ht="16.5"/>
    <row r="416" spans="1:15" s="278" customFormat="1" ht="16.5"/>
    <row r="417" spans="16:16" s="278" customFormat="1" ht="16.5"/>
    <row r="418" spans="16:16" s="278" customFormat="1" ht="16.5"/>
    <row r="419" spans="16:16" s="278" customFormat="1" ht="16.5"/>
    <row r="420" spans="16:16" s="278" customFormat="1" ht="16.5">
      <c r="P420" s="306"/>
    </row>
    <row r="421" spans="16:16" s="278" customFormat="1" ht="16.5">
      <c r="P421" s="306"/>
    </row>
    <row r="422" spans="16:16" s="278" customFormat="1" ht="16.5">
      <c r="P422" s="306"/>
    </row>
    <row r="423" spans="16:16" s="278" customFormat="1" ht="16.5">
      <c r="P423" s="306"/>
    </row>
    <row r="424" spans="16:16" s="278" customFormat="1" ht="16.5">
      <c r="P424" s="306"/>
    </row>
    <row r="425" spans="16:16" s="278" customFormat="1" ht="16.5">
      <c r="P425" s="306"/>
    </row>
    <row r="426" spans="16:16" s="278" customFormat="1" ht="16.5">
      <c r="P426" s="306"/>
    </row>
    <row r="427" spans="16:16" s="278" customFormat="1" ht="16.5">
      <c r="P427" s="306"/>
    </row>
    <row r="428" spans="16:16" s="278" customFormat="1" ht="16.5">
      <c r="P428" s="306"/>
    </row>
    <row r="429" spans="16:16" s="278" customFormat="1" ht="16.5">
      <c r="P429" s="306"/>
    </row>
    <row r="430" spans="16:16" s="278" customFormat="1" ht="16.5">
      <c r="P430" s="306"/>
    </row>
    <row r="431" spans="16:16" s="278" customFormat="1" ht="16.5">
      <c r="P431" s="306"/>
    </row>
    <row r="432" spans="16:16" s="278" customFormat="1" ht="16.5">
      <c r="P432" s="306"/>
    </row>
    <row r="433" spans="16:16" s="278" customFormat="1" ht="16.5">
      <c r="P433" s="306"/>
    </row>
    <row r="434" spans="16:16" s="278" customFormat="1" ht="16.5">
      <c r="P434" s="306"/>
    </row>
    <row r="435" spans="16:16" s="278" customFormat="1" ht="16.5">
      <c r="P435" s="306"/>
    </row>
    <row r="436" spans="16:16" s="278" customFormat="1" ht="16.5">
      <c r="P436" s="306"/>
    </row>
    <row r="437" spans="16:16" s="278" customFormat="1" ht="16.5">
      <c r="P437" s="306"/>
    </row>
    <row r="438" spans="16:16" s="278" customFormat="1" ht="16.5">
      <c r="P438" s="306"/>
    </row>
    <row r="439" spans="16:16" s="278" customFormat="1" ht="16.5">
      <c r="P439" s="306"/>
    </row>
    <row r="440" spans="16:16" s="278" customFormat="1" ht="16.5">
      <c r="P440" s="306"/>
    </row>
    <row r="441" spans="16:16" s="278" customFormat="1" ht="16.5">
      <c r="P441" s="306"/>
    </row>
    <row r="442" spans="16:16" s="278" customFormat="1" ht="16.5">
      <c r="P442" s="306"/>
    </row>
    <row r="443" spans="16:16" s="278" customFormat="1" ht="16.5">
      <c r="P443" s="306"/>
    </row>
    <row r="444" spans="16:16" s="278" customFormat="1" ht="16.5">
      <c r="P444" s="306"/>
    </row>
    <row r="445" spans="16:16" s="278" customFormat="1" ht="16.5">
      <c r="P445" s="306"/>
    </row>
    <row r="446" spans="16:16" s="278" customFormat="1" ht="16.5">
      <c r="P446" s="306"/>
    </row>
    <row r="447" spans="16:16" s="278" customFormat="1" ht="16.5">
      <c r="P447" s="306"/>
    </row>
    <row r="448" spans="16:16" s="278" customFormat="1" ht="16.5">
      <c r="P448" s="306"/>
    </row>
    <row r="449" spans="16:16" s="278" customFormat="1" ht="16.5">
      <c r="P449" s="306"/>
    </row>
    <row r="450" spans="16:16" s="278" customFormat="1" ht="16.5">
      <c r="P450" s="306"/>
    </row>
    <row r="451" spans="16:16" s="278" customFormat="1" ht="16.5">
      <c r="P451" s="306"/>
    </row>
    <row r="452" spans="16:16" s="278" customFormat="1" ht="16.5">
      <c r="P452" s="306"/>
    </row>
    <row r="453" spans="16:16" s="278" customFormat="1" ht="16.5">
      <c r="P453" s="306"/>
    </row>
    <row r="454" spans="16:16" s="278" customFormat="1" ht="16.5">
      <c r="P454" s="306"/>
    </row>
    <row r="455" spans="16:16" s="278" customFormat="1" ht="16.5">
      <c r="P455" s="306"/>
    </row>
    <row r="456" spans="16:16" s="278" customFormat="1" ht="16.5">
      <c r="P456" s="306"/>
    </row>
    <row r="457" spans="16:16" s="278" customFormat="1" ht="16.5">
      <c r="P457" s="306"/>
    </row>
    <row r="458" spans="16:16" s="278" customFormat="1" ht="16.5">
      <c r="P458" s="306"/>
    </row>
    <row r="459" spans="16:16" s="278" customFormat="1" ht="16.5">
      <c r="P459" s="306"/>
    </row>
    <row r="460" spans="16:16" s="278" customFormat="1" ht="16.5">
      <c r="P460" s="306"/>
    </row>
    <row r="461" spans="16:16" s="278" customFormat="1" ht="16.5">
      <c r="P461" s="306"/>
    </row>
    <row r="462" spans="16:16" s="278" customFormat="1" ht="16.5">
      <c r="P462" s="306"/>
    </row>
    <row r="463" spans="16:16" s="278" customFormat="1" ht="16.5">
      <c r="P463" s="306"/>
    </row>
    <row r="464" spans="16:16" s="278" customFormat="1" ht="16.5">
      <c r="P464" s="306"/>
    </row>
    <row r="465" spans="16:16" s="278" customFormat="1" ht="16.5">
      <c r="P465" s="306"/>
    </row>
    <row r="466" spans="16:16" s="278" customFormat="1" ht="16.5">
      <c r="P466" s="306"/>
    </row>
    <row r="467" spans="16:16" s="278" customFormat="1" ht="16.5">
      <c r="P467" s="306"/>
    </row>
    <row r="468" spans="16:16" s="278" customFormat="1" ht="16.5">
      <c r="P468" s="306"/>
    </row>
    <row r="469" spans="16:16" s="278" customFormat="1" ht="16.5">
      <c r="P469" s="306"/>
    </row>
    <row r="470" spans="16:16" s="278" customFormat="1" ht="16.5">
      <c r="P470" s="306"/>
    </row>
    <row r="471" spans="16:16" s="278" customFormat="1" ht="16.5">
      <c r="P471" s="306"/>
    </row>
    <row r="472" spans="16:16" s="278" customFormat="1" ht="16.5">
      <c r="P472" s="306"/>
    </row>
    <row r="473" spans="16:16" s="278" customFormat="1" ht="16.5">
      <c r="P473" s="306"/>
    </row>
    <row r="474" spans="16:16" s="278" customFormat="1" ht="16.5">
      <c r="P474" s="306"/>
    </row>
    <row r="475" spans="16:16" s="278" customFormat="1" ht="16.5">
      <c r="P475" s="306"/>
    </row>
    <row r="476" spans="16:16" s="278" customFormat="1" ht="16.5">
      <c r="P476" s="306"/>
    </row>
    <row r="477" spans="16:16" s="278" customFormat="1" ht="16.5">
      <c r="P477" s="306"/>
    </row>
    <row r="478" spans="16:16" s="278" customFormat="1" ht="16.5">
      <c r="P478" s="306"/>
    </row>
    <row r="479" spans="16:16" s="278" customFormat="1" ht="16.5">
      <c r="P479" s="306"/>
    </row>
    <row r="480" spans="16:16" s="278" customFormat="1" ht="16.5">
      <c r="P480" s="306"/>
    </row>
    <row r="481" spans="16:16" s="278" customFormat="1" ht="16.5">
      <c r="P481" s="306"/>
    </row>
    <row r="482" spans="16:16" s="278" customFormat="1" ht="16.5">
      <c r="P482" s="306"/>
    </row>
    <row r="483" spans="16:16" s="278" customFormat="1" ht="16.5">
      <c r="P483" s="306"/>
    </row>
    <row r="484" spans="16:16" s="278" customFormat="1" ht="16.5">
      <c r="P484" s="306"/>
    </row>
    <row r="485" spans="16:16" s="278" customFormat="1" ht="16.5">
      <c r="P485" s="306"/>
    </row>
    <row r="486" spans="16:16" s="278" customFormat="1" ht="16.5">
      <c r="P486" s="306"/>
    </row>
    <row r="487" spans="16:16" s="278" customFormat="1" ht="16.5">
      <c r="P487" s="306"/>
    </row>
    <row r="488" spans="16:16" s="278" customFormat="1" ht="16.5">
      <c r="P488" s="306"/>
    </row>
    <row r="489" spans="16:16" s="278" customFormat="1" ht="16.5">
      <c r="P489" s="306"/>
    </row>
    <row r="490" spans="16:16" s="278" customFormat="1" ht="16.5">
      <c r="P490" s="306"/>
    </row>
    <row r="491" spans="16:16" s="278" customFormat="1" ht="16.5">
      <c r="P491" s="306"/>
    </row>
    <row r="492" spans="16:16" s="278" customFormat="1" ht="16.5">
      <c r="P492" s="306"/>
    </row>
    <row r="493" spans="16:16" s="278" customFormat="1" ht="16.5">
      <c r="P493" s="306"/>
    </row>
    <row r="494" spans="16:16" s="278" customFormat="1" ht="16.5">
      <c r="P494" s="306"/>
    </row>
    <row r="495" spans="16:16" s="278" customFormat="1" ht="16.5">
      <c r="P495" s="306"/>
    </row>
    <row r="496" spans="16:16" s="278" customFormat="1" ht="16.5">
      <c r="P496" s="306"/>
    </row>
    <row r="497" spans="16:16" s="278" customFormat="1" ht="16.5">
      <c r="P497" s="306"/>
    </row>
    <row r="498" spans="16:16" s="278" customFormat="1" ht="16.5">
      <c r="P498" s="306"/>
    </row>
    <row r="499" spans="16:16" s="278" customFormat="1" ht="16.5">
      <c r="P499" s="306"/>
    </row>
    <row r="500" spans="16:16" s="278" customFormat="1" ht="16.5">
      <c r="P500" s="306"/>
    </row>
    <row r="501" spans="16:16" s="278" customFormat="1" ht="16.5">
      <c r="P501" s="306"/>
    </row>
    <row r="502" spans="16:16" s="278" customFormat="1" ht="16.5">
      <c r="P502" s="306"/>
    </row>
    <row r="503" spans="16:16" s="278" customFormat="1" ht="16.5">
      <c r="P503" s="306"/>
    </row>
    <row r="504" spans="16:16" s="278" customFormat="1" ht="16.5">
      <c r="P504" s="306"/>
    </row>
    <row r="505" spans="16:16" s="278" customFormat="1" ht="16.5">
      <c r="P505" s="306"/>
    </row>
    <row r="506" spans="16:16" s="278" customFormat="1" ht="16.5">
      <c r="P506" s="306"/>
    </row>
    <row r="507" spans="16:16" s="278" customFormat="1" ht="16.5">
      <c r="P507" s="306"/>
    </row>
    <row r="508" spans="16:16" s="278" customFormat="1" ht="16.5">
      <c r="P508" s="306"/>
    </row>
    <row r="509" spans="16:16" s="278" customFormat="1" ht="16.5">
      <c r="P509" s="306"/>
    </row>
    <row r="510" spans="16:16" s="278" customFormat="1" ht="16.5">
      <c r="P510" s="306"/>
    </row>
    <row r="511" spans="16:16" s="278" customFormat="1" ht="16.5">
      <c r="P511" s="306"/>
    </row>
    <row r="512" spans="16:16" s="278" customFormat="1" ht="16.5">
      <c r="P512" s="306"/>
    </row>
    <row r="513" spans="16:16" s="278" customFormat="1" ht="16.5">
      <c r="P513" s="306"/>
    </row>
    <row r="514" spans="16:16" s="278" customFormat="1" ht="16.5">
      <c r="P514" s="306"/>
    </row>
    <row r="515" spans="16:16" s="278" customFormat="1" ht="16.5">
      <c r="P515" s="306"/>
    </row>
    <row r="516" spans="16:16" s="278" customFormat="1" ht="16.5">
      <c r="P516" s="306"/>
    </row>
    <row r="517" spans="16:16" s="278" customFormat="1" ht="16.5">
      <c r="P517" s="306"/>
    </row>
    <row r="518" spans="16:16" s="278" customFormat="1" ht="16.5">
      <c r="P518" s="306"/>
    </row>
    <row r="519" spans="16:16" s="278" customFormat="1" ht="16.5">
      <c r="P519" s="306"/>
    </row>
    <row r="520" spans="16:16" s="278" customFormat="1" ht="16.5">
      <c r="P520" s="306"/>
    </row>
    <row r="521" spans="16:16" s="278" customFormat="1" ht="16.5">
      <c r="P521" s="306"/>
    </row>
    <row r="522" spans="16:16" s="278" customFormat="1" ht="16.5">
      <c r="P522" s="306"/>
    </row>
    <row r="523" spans="16:16" s="278" customFormat="1" ht="16.5">
      <c r="P523" s="306"/>
    </row>
    <row r="524" spans="16:16" s="278" customFormat="1" ht="16.5">
      <c r="P524" s="306"/>
    </row>
    <row r="525" spans="16:16" s="278" customFormat="1" ht="16.5">
      <c r="P525" s="306"/>
    </row>
    <row r="526" spans="16:16" s="278" customFormat="1" ht="16.5">
      <c r="P526" s="306"/>
    </row>
    <row r="527" spans="16:16" s="278" customFormat="1" ht="16.5">
      <c r="P527" s="306"/>
    </row>
    <row r="528" spans="16:16" s="278" customFormat="1" ht="16.5">
      <c r="P528" s="306"/>
    </row>
    <row r="529" spans="16:16" s="278" customFormat="1" ht="16.5">
      <c r="P529" s="306"/>
    </row>
    <row r="530" spans="16:16" s="278" customFormat="1" ht="16.5">
      <c r="P530" s="306"/>
    </row>
    <row r="531" spans="16:16" s="278" customFormat="1" ht="16.5">
      <c r="P531" s="306"/>
    </row>
    <row r="532" spans="16:16" s="278" customFormat="1" ht="16.5">
      <c r="P532" s="306"/>
    </row>
    <row r="533" spans="16:16" s="278" customFormat="1" ht="16.5">
      <c r="P533" s="306"/>
    </row>
    <row r="534" spans="16:16" s="278" customFormat="1" ht="16.5">
      <c r="P534" s="306"/>
    </row>
    <row r="535" spans="16:16" s="278" customFormat="1" ht="16.5">
      <c r="P535" s="306"/>
    </row>
    <row r="536" spans="16:16" s="278" customFormat="1" ht="16.5">
      <c r="P536" s="306"/>
    </row>
    <row r="537" spans="16:16" s="278" customFormat="1" ht="16.5">
      <c r="P537" s="306"/>
    </row>
    <row r="538" spans="16:16" s="278" customFormat="1" ht="16.5">
      <c r="P538" s="306"/>
    </row>
    <row r="539" spans="16:16" s="278" customFormat="1" ht="16.5">
      <c r="P539" s="306"/>
    </row>
    <row r="540" spans="16:16" s="278" customFormat="1" ht="16.5">
      <c r="P540" s="306"/>
    </row>
    <row r="541" spans="16:16" s="278" customFormat="1" ht="16.5">
      <c r="P541" s="306"/>
    </row>
    <row r="542" spans="16:16" s="278" customFormat="1" ht="16.5">
      <c r="P542" s="306"/>
    </row>
    <row r="543" spans="16:16" s="278" customFormat="1" ht="16.5">
      <c r="P543" s="306"/>
    </row>
    <row r="544" spans="16:16" s="278" customFormat="1" ht="16.5">
      <c r="P544" s="306"/>
    </row>
    <row r="545" spans="16:16" s="278" customFormat="1" ht="16.5">
      <c r="P545" s="306"/>
    </row>
    <row r="546" spans="16:16" s="278" customFormat="1" ht="16.5">
      <c r="P546" s="306"/>
    </row>
    <row r="547" spans="16:16" s="278" customFormat="1" ht="16.5">
      <c r="P547" s="306"/>
    </row>
    <row r="548" spans="16:16" s="278" customFormat="1" ht="16.5">
      <c r="P548" s="306"/>
    </row>
    <row r="549" spans="16:16" s="278" customFormat="1" ht="16.5">
      <c r="P549" s="306"/>
    </row>
    <row r="550" spans="16:16" s="278" customFormat="1" ht="16.5">
      <c r="P550" s="306"/>
    </row>
    <row r="551" spans="16:16" s="278" customFormat="1" ht="16.5">
      <c r="P551" s="306"/>
    </row>
    <row r="552" spans="16:16" s="278" customFormat="1" ht="16.5">
      <c r="P552" s="306"/>
    </row>
    <row r="553" spans="16:16" s="278" customFormat="1" ht="16.5">
      <c r="P553" s="306"/>
    </row>
    <row r="554" spans="16:16" s="278" customFormat="1" ht="16.5">
      <c r="P554" s="306"/>
    </row>
    <row r="555" spans="16:16" s="278" customFormat="1" ht="16.5">
      <c r="P555" s="306"/>
    </row>
    <row r="556" spans="16:16" s="278" customFormat="1" ht="16.5">
      <c r="P556" s="306"/>
    </row>
    <row r="557" spans="16:16" s="278" customFormat="1" ht="16.5">
      <c r="P557" s="306"/>
    </row>
    <row r="558" spans="16:16" s="278" customFormat="1" ht="16.5">
      <c r="P558" s="306"/>
    </row>
    <row r="559" spans="16:16" s="190" customFormat="1" ht="16.5">
      <c r="P559" s="215"/>
    </row>
    <row r="560" spans="16:16" s="190" customFormat="1" ht="16.5">
      <c r="P560" s="215"/>
    </row>
    <row r="561" spans="16:16" s="190" customFormat="1" ht="16.5">
      <c r="P561" s="215"/>
    </row>
    <row r="562" spans="16:16" s="190" customFormat="1" ht="16.5">
      <c r="P562" s="215"/>
    </row>
    <row r="563" spans="16:16" s="190" customFormat="1" ht="16.5">
      <c r="P563" s="215"/>
    </row>
    <row r="564" spans="16:16" s="190" customFormat="1" ht="16.5">
      <c r="P564" s="215"/>
    </row>
    <row r="565" spans="16:16" s="190" customFormat="1" ht="16.5">
      <c r="P565" s="215"/>
    </row>
    <row r="566" spans="16:16" s="190" customFormat="1" ht="16.5">
      <c r="P566" s="215"/>
    </row>
    <row r="567" spans="16:16" s="190" customFormat="1" ht="16.5">
      <c r="P567" s="215"/>
    </row>
    <row r="568" spans="16:16" s="190" customFormat="1" ht="16.5">
      <c r="P568" s="215"/>
    </row>
    <row r="569" spans="16:16" s="190" customFormat="1" ht="16.5">
      <c r="P569" s="215"/>
    </row>
    <row r="570" spans="16:16" s="190" customFormat="1" ht="16.5">
      <c r="P570" s="215"/>
    </row>
    <row r="571" spans="16:16" s="190" customFormat="1" ht="16.5">
      <c r="P571" s="215"/>
    </row>
    <row r="572" spans="16:16" s="190" customFormat="1" ht="16.5">
      <c r="P572" s="215"/>
    </row>
    <row r="573" spans="16:16" s="190" customFormat="1" ht="16.5">
      <c r="P573" s="215"/>
    </row>
    <row r="574" spans="16:16" s="190" customFormat="1" ht="16.5">
      <c r="P574" s="215"/>
    </row>
    <row r="575" spans="16:16" s="190" customFormat="1" ht="16.5">
      <c r="P575" s="215"/>
    </row>
    <row r="576" spans="16:16" s="190" customFormat="1" ht="16.5">
      <c r="P576" s="215"/>
    </row>
    <row r="577" spans="16:16" s="190" customFormat="1" ht="16.5">
      <c r="P577" s="215"/>
    </row>
    <row r="578" spans="16:16" s="190" customFormat="1" ht="16.5">
      <c r="P578" s="215"/>
    </row>
    <row r="579" spans="16:16" s="190" customFormat="1" ht="16.5">
      <c r="P579" s="215"/>
    </row>
    <row r="580" spans="16:16" s="190" customFormat="1" ht="16.5">
      <c r="P580" s="215"/>
    </row>
    <row r="581" spans="16:16" s="190" customFormat="1" ht="16.5">
      <c r="P581" s="215"/>
    </row>
    <row r="582" spans="16:16" s="190" customFormat="1" ht="16.5">
      <c r="P582" s="215"/>
    </row>
    <row r="583" spans="16:16" s="190" customFormat="1" ht="16.5">
      <c r="P583" s="215"/>
    </row>
    <row r="584" spans="16:16" s="190" customFormat="1" ht="16.5">
      <c r="P584" s="215"/>
    </row>
    <row r="585" spans="16:16" s="190" customFormat="1" ht="16.5">
      <c r="P585" s="215"/>
    </row>
    <row r="586" spans="16:16" s="190" customFormat="1" ht="16.5">
      <c r="P586" s="215"/>
    </row>
    <row r="587" spans="16:16" s="190" customFormat="1" ht="16.5">
      <c r="P587" s="215"/>
    </row>
    <row r="588" spans="16:16" s="190" customFormat="1" ht="16.5">
      <c r="P588" s="215"/>
    </row>
    <row r="589" spans="16:16" s="190" customFormat="1" ht="16.5">
      <c r="P589" s="215"/>
    </row>
    <row r="590" spans="16:16" s="190" customFormat="1" ht="16.5">
      <c r="P590" s="215"/>
    </row>
    <row r="591" spans="16:16" s="190" customFormat="1" ht="16.5">
      <c r="P591" s="215"/>
    </row>
    <row r="592" spans="16:16" s="190" customFormat="1" ht="16.5">
      <c r="P592" s="215"/>
    </row>
    <row r="593" spans="16:16" s="190" customFormat="1" ht="16.5">
      <c r="P593" s="215"/>
    </row>
    <row r="594" spans="16:16" s="190" customFormat="1" ht="16.5">
      <c r="P594" s="215"/>
    </row>
    <row r="595" spans="16:16" s="190" customFormat="1" ht="16.5">
      <c r="P595" s="215"/>
    </row>
    <row r="596" spans="16:16" s="190" customFormat="1" ht="16.5">
      <c r="P596" s="215"/>
    </row>
    <row r="597" spans="16:16" s="190" customFormat="1" ht="16.5">
      <c r="P597" s="215"/>
    </row>
    <row r="598" spans="16:16" s="190" customFormat="1" ht="16.5">
      <c r="P598" s="215"/>
    </row>
    <row r="599" spans="16:16" s="190" customFormat="1" ht="16.5">
      <c r="P599" s="215"/>
    </row>
    <row r="600" spans="16:16" s="190" customFormat="1" ht="16.5">
      <c r="P600" s="215"/>
    </row>
    <row r="601" spans="16:16" s="190" customFormat="1" ht="16.5">
      <c r="P601" s="215"/>
    </row>
    <row r="602" spans="16:16" s="190" customFormat="1" ht="16.5">
      <c r="P602" s="215"/>
    </row>
    <row r="603" spans="16:16" s="190" customFormat="1" ht="16.5">
      <c r="P603" s="215"/>
    </row>
    <row r="604" spans="16:16" s="190" customFormat="1" ht="16.5">
      <c r="P604" s="215"/>
    </row>
    <row r="605" spans="16:16" s="190" customFormat="1" ht="16.5">
      <c r="P605" s="215"/>
    </row>
    <row r="606" spans="16:16" s="190" customFormat="1" ht="16.5">
      <c r="P606" s="215"/>
    </row>
    <row r="607" spans="16:16" s="190" customFormat="1" ht="16.5">
      <c r="P607" s="215"/>
    </row>
    <row r="608" spans="16:16" s="190" customFormat="1" ht="16.5">
      <c r="P608" s="215"/>
    </row>
    <row r="609" spans="16:16" s="190" customFormat="1" ht="16.5">
      <c r="P609" s="215"/>
    </row>
    <row r="610" spans="16:16" s="190" customFormat="1" ht="16.5">
      <c r="P610" s="215"/>
    </row>
    <row r="611" spans="16:16" s="190" customFormat="1" ht="16.5">
      <c r="P611" s="215"/>
    </row>
    <row r="612" spans="16:16" s="190" customFormat="1" ht="16.5">
      <c r="P612" s="215"/>
    </row>
    <row r="613" spans="16:16" s="190" customFormat="1" ht="16.5">
      <c r="P613" s="215"/>
    </row>
    <row r="614" spans="16:16" s="190" customFormat="1" ht="16.5">
      <c r="P614" s="215"/>
    </row>
    <row r="615" spans="16:16" s="190" customFormat="1" ht="16.5">
      <c r="P615" s="215"/>
    </row>
    <row r="616" spans="16:16" s="190" customFormat="1" ht="16.5">
      <c r="P616" s="215"/>
    </row>
    <row r="617" spans="16:16" s="190" customFormat="1" ht="16.5">
      <c r="P617" s="215"/>
    </row>
    <row r="618" spans="16:16" s="190" customFormat="1" ht="16.5">
      <c r="P618" s="215"/>
    </row>
    <row r="619" spans="16:16" s="190" customFormat="1" ht="16.5">
      <c r="P619" s="215"/>
    </row>
    <row r="620" spans="16:16" s="190" customFormat="1" ht="16.5">
      <c r="P620" s="215"/>
    </row>
    <row r="621" spans="16:16" s="190" customFormat="1" ht="16.5">
      <c r="P621" s="215"/>
    </row>
    <row r="622" spans="16:16" s="190" customFormat="1" ht="16.5">
      <c r="P622" s="215"/>
    </row>
    <row r="623" spans="16:16" s="190" customFormat="1" ht="16.5">
      <c r="P623" s="215"/>
    </row>
    <row r="624" spans="16:16" s="190" customFormat="1" ht="16.5">
      <c r="P624" s="215"/>
    </row>
    <row r="625" spans="16:16" s="190" customFormat="1" ht="16.5">
      <c r="P625" s="215"/>
    </row>
    <row r="626" spans="16:16" s="190" customFormat="1" ht="16.5">
      <c r="P626" s="215"/>
    </row>
    <row r="627" spans="16:16" s="190" customFormat="1" ht="16.5">
      <c r="P627" s="215"/>
    </row>
    <row r="628" spans="16:16" s="190" customFormat="1" ht="16.5">
      <c r="P628" s="215"/>
    </row>
    <row r="629" spans="16:16" s="190" customFormat="1" ht="16.5">
      <c r="P629" s="215"/>
    </row>
    <row r="630" spans="16:16" s="190" customFormat="1" ht="16.5">
      <c r="P630" s="215"/>
    </row>
    <row r="631" spans="16:16" s="190" customFormat="1" ht="16.5">
      <c r="P631" s="215"/>
    </row>
    <row r="632" spans="16:16" s="190" customFormat="1" ht="16.5">
      <c r="P632" s="215"/>
    </row>
    <row r="633" spans="16:16" s="190" customFormat="1" ht="16.5">
      <c r="P633" s="215"/>
    </row>
    <row r="634" spans="16:16" s="190" customFormat="1" ht="16.5">
      <c r="P634" s="215"/>
    </row>
    <row r="635" spans="16:16" s="190" customFormat="1" ht="16.5">
      <c r="P635" s="215"/>
    </row>
    <row r="636" spans="16:16" s="190" customFormat="1" ht="16.5">
      <c r="P636" s="215"/>
    </row>
    <row r="637" spans="16:16" s="190" customFormat="1" ht="16.5">
      <c r="P637" s="215"/>
    </row>
    <row r="638" spans="16:16" s="190" customFormat="1" ht="16.5">
      <c r="P638" s="215"/>
    </row>
    <row r="639" spans="16:16" s="190" customFormat="1" ht="16.5">
      <c r="P639" s="215"/>
    </row>
    <row r="640" spans="16:16" s="190" customFormat="1" ht="16.5">
      <c r="P640" s="215"/>
    </row>
    <row r="641" spans="16:16" s="190" customFormat="1" ht="16.5">
      <c r="P641" s="215"/>
    </row>
    <row r="642" spans="16:16" s="190" customFormat="1" ht="16.5">
      <c r="P642" s="215"/>
    </row>
    <row r="643" spans="16:16" s="190" customFormat="1" ht="16.5">
      <c r="P643" s="215"/>
    </row>
    <row r="644" spans="16:16" s="190" customFormat="1" ht="16.5">
      <c r="P644" s="215"/>
    </row>
    <row r="645" spans="16:16" s="190" customFormat="1" ht="16.5">
      <c r="P645" s="215"/>
    </row>
    <row r="646" spans="16:16" s="190" customFormat="1" ht="16.5">
      <c r="P646" s="215"/>
    </row>
    <row r="647" spans="16:16" s="190" customFormat="1" ht="16.5">
      <c r="P647" s="215"/>
    </row>
    <row r="648" spans="16:16" s="190" customFormat="1" ht="16.5">
      <c r="P648" s="215"/>
    </row>
    <row r="649" spans="16:16" s="190" customFormat="1" ht="16.5">
      <c r="P649" s="215"/>
    </row>
    <row r="650" spans="16:16" s="190" customFormat="1" ht="16.5">
      <c r="P650" s="215"/>
    </row>
    <row r="651" spans="16:16" s="190" customFormat="1" ht="16.5">
      <c r="P651" s="215"/>
    </row>
    <row r="652" spans="16:16" s="190" customFormat="1" ht="16.5">
      <c r="P652" s="215"/>
    </row>
    <row r="653" spans="16:16" s="190" customFormat="1" ht="16.5">
      <c r="P653" s="215"/>
    </row>
    <row r="654" spans="16:16" s="190" customFormat="1" ht="16.5">
      <c r="P654" s="215"/>
    </row>
    <row r="655" spans="16:16" s="190" customFormat="1" ht="16.5">
      <c r="P655" s="215"/>
    </row>
    <row r="656" spans="16:16" s="190" customFormat="1" ht="16.5">
      <c r="P656" s="215"/>
    </row>
    <row r="657" spans="16:16" s="190" customFormat="1" ht="16.5">
      <c r="P657" s="215"/>
    </row>
    <row r="658" spans="16:16" s="190" customFormat="1" ht="16.5">
      <c r="P658" s="215"/>
    </row>
    <row r="659" spans="16:16" s="190" customFormat="1" ht="16.5">
      <c r="P659" s="215"/>
    </row>
    <row r="660" spans="16:16" s="190" customFormat="1" ht="16.5">
      <c r="P660" s="215"/>
    </row>
    <row r="661" spans="16:16" s="190" customFormat="1" ht="16.5">
      <c r="P661" s="215"/>
    </row>
    <row r="662" spans="16:16" s="190" customFormat="1" ht="16.5">
      <c r="P662" s="215"/>
    </row>
    <row r="663" spans="16:16" s="190" customFormat="1" ht="16.5">
      <c r="P663" s="215"/>
    </row>
    <row r="664" spans="16:16" s="190" customFormat="1" ht="16.5">
      <c r="P664" s="215"/>
    </row>
    <row r="665" spans="16:16" s="190" customFormat="1" ht="16.5">
      <c r="P665" s="215"/>
    </row>
    <row r="666" spans="16:16" s="190" customFormat="1" ht="16.5">
      <c r="P666" s="215"/>
    </row>
    <row r="667" spans="16:16" s="190" customFormat="1" ht="16.5">
      <c r="P667" s="215"/>
    </row>
    <row r="668" spans="16:16" s="190" customFormat="1" ht="16.5">
      <c r="P668" s="215"/>
    </row>
    <row r="669" spans="16:16" s="190" customFormat="1" ht="16.5">
      <c r="P669" s="215"/>
    </row>
    <row r="670" spans="16:16" s="190" customFormat="1" ht="16.5">
      <c r="P670" s="215"/>
    </row>
    <row r="671" spans="16:16" s="190" customFormat="1" ht="16.5">
      <c r="P671" s="215"/>
    </row>
    <row r="672" spans="16:16" s="190" customFormat="1" ht="16.5">
      <c r="P672" s="215"/>
    </row>
    <row r="673" spans="16:16" s="190" customFormat="1" ht="16.5">
      <c r="P673" s="215"/>
    </row>
    <row r="674" spans="16:16" s="190" customFormat="1" ht="16.5">
      <c r="P674" s="215"/>
    </row>
    <row r="675" spans="16:16" s="190" customFormat="1" ht="16.5">
      <c r="P675" s="215"/>
    </row>
    <row r="676" spans="16:16" s="190" customFormat="1" ht="16.5">
      <c r="P676" s="215"/>
    </row>
    <row r="677" spans="16:16" s="190" customFormat="1" ht="16.5">
      <c r="P677" s="215"/>
    </row>
    <row r="678" spans="16:16" s="190" customFormat="1" ht="16.5">
      <c r="P678" s="215"/>
    </row>
    <row r="679" spans="16:16" s="190" customFormat="1" ht="16.5">
      <c r="P679" s="215"/>
    </row>
    <row r="680" spans="16:16" s="190" customFormat="1" ht="16.5">
      <c r="P680" s="215"/>
    </row>
    <row r="681" spans="16:16" s="190" customFormat="1" ht="16.5">
      <c r="P681" s="215"/>
    </row>
    <row r="682" spans="16:16" s="190" customFormat="1" ht="16.5">
      <c r="P682" s="215"/>
    </row>
    <row r="683" spans="16:16" s="190" customFormat="1" ht="16.5">
      <c r="P683" s="215"/>
    </row>
    <row r="684" spans="16:16" s="190" customFormat="1" ht="16.5">
      <c r="P684" s="215"/>
    </row>
    <row r="685" spans="16:16" s="190" customFormat="1" ht="16.5">
      <c r="P685" s="215"/>
    </row>
    <row r="686" spans="16:16" s="190" customFormat="1" ht="16.5">
      <c r="P686" s="215"/>
    </row>
    <row r="687" spans="16:16" s="190" customFormat="1" ht="16.5">
      <c r="P687" s="215"/>
    </row>
    <row r="688" spans="16:16" s="190" customFormat="1" ht="16.5">
      <c r="P688" s="215"/>
    </row>
    <row r="689" spans="16:16" s="190" customFormat="1" ht="16.5">
      <c r="P689" s="215"/>
    </row>
    <row r="690" spans="16:16" s="190" customFormat="1" ht="16.5">
      <c r="P690" s="215"/>
    </row>
    <row r="691" spans="16:16" s="190" customFormat="1" ht="16.5">
      <c r="P691" s="215"/>
    </row>
    <row r="692" spans="16:16" s="190" customFormat="1" ht="16.5">
      <c r="P692" s="215"/>
    </row>
    <row r="693" spans="16:16" s="190" customFormat="1" ht="16.5">
      <c r="P693" s="215"/>
    </row>
    <row r="694" spans="16:16" s="190" customFormat="1" ht="16.5">
      <c r="P694" s="215"/>
    </row>
    <row r="695" spans="16:16" s="190" customFormat="1" ht="16.5">
      <c r="P695" s="215"/>
    </row>
    <row r="696" spans="16:16" s="190" customFormat="1" ht="16.5">
      <c r="P696" s="215"/>
    </row>
    <row r="697" spans="16:16" s="190" customFormat="1" ht="16.5">
      <c r="P697" s="215"/>
    </row>
    <row r="698" spans="16:16" s="190" customFormat="1" ht="16.5">
      <c r="P698" s="215"/>
    </row>
    <row r="699" spans="16:16" s="190" customFormat="1" ht="16.5">
      <c r="P699" s="215"/>
    </row>
    <row r="700" spans="16:16" s="190" customFormat="1" ht="16.5">
      <c r="P700" s="215"/>
    </row>
    <row r="701" spans="16:16" s="190" customFormat="1" ht="16.5">
      <c r="P701" s="215"/>
    </row>
    <row r="702" spans="16:16" s="190" customFormat="1" ht="16.5">
      <c r="P702" s="215"/>
    </row>
    <row r="703" spans="16:16" s="190" customFormat="1" ht="16.5">
      <c r="P703" s="215"/>
    </row>
    <row r="704" spans="16:16" s="190" customFormat="1" ht="16.5">
      <c r="P704" s="215"/>
    </row>
    <row r="705" spans="16:16" s="190" customFormat="1" ht="16.5">
      <c r="P705" s="215"/>
    </row>
    <row r="706" spans="16:16" s="190" customFormat="1" ht="16.5">
      <c r="P706" s="215"/>
    </row>
    <row r="707" spans="16:16" s="190" customFormat="1" ht="16.5">
      <c r="P707" s="215"/>
    </row>
    <row r="708" spans="16:16" s="190" customFormat="1" ht="16.5">
      <c r="P708" s="215"/>
    </row>
    <row r="709" spans="16:16" s="190" customFormat="1" ht="16.5">
      <c r="P709" s="215"/>
    </row>
    <row r="710" spans="16:16" s="190" customFormat="1" ht="16.5">
      <c r="P710" s="215"/>
    </row>
    <row r="711" spans="16:16" s="190" customFormat="1" ht="16.5">
      <c r="P711" s="215"/>
    </row>
    <row r="712" spans="16:16" s="190" customFormat="1" ht="16.5">
      <c r="P712" s="215"/>
    </row>
    <row r="713" spans="16:16" s="190" customFormat="1" ht="16.5">
      <c r="P713" s="215"/>
    </row>
    <row r="714" spans="16:16" s="190" customFormat="1" ht="16.5">
      <c r="P714" s="215"/>
    </row>
    <row r="715" spans="16:16" s="190" customFormat="1" ht="16.5">
      <c r="P715" s="215"/>
    </row>
    <row r="716" spans="16:16" s="190" customFormat="1" ht="16.5">
      <c r="P716" s="215"/>
    </row>
    <row r="717" spans="16:16" s="190" customFormat="1" ht="16.5">
      <c r="P717" s="215"/>
    </row>
    <row r="718" spans="16:16" s="190" customFormat="1" ht="16.5">
      <c r="P718" s="215"/>
    </row>
    <row r="719" spans="16:16" s="190" customFormat="1" ht="16.5">
      <c r="P719" s="215"/>
    </row>
    <row r="720" spans="16:16" s="190" customFormat="1" ht="16.5">
      <c r="P720" s="215"/>
    </row>
    <row r="721" spans="16:16" s="190" customFormat="1" ht="16.5">
      <c r="P721" s="215"/>
    </row>
    <row r="722" spans="16:16" s="190" customFormat="1" ht="16.5">
      <c r="P722" s="215"/>
    </row>
    <row r="723" spans="16:16" s="190" customFormat="1" ht="16.5">
      <c r="P723" s="215"/>
    </row>
    <row r="724" spans="16:16" s="190" customFormat="1" ht="16.5">
      <c r="P724" s="215"/>
    </row>
    <row r="725" spans="16:16" s="190" customFormat="1" ht="16.5">
      <c r="P725" s="215"/>
    </row>
    <row r="726" spans="16:16" s="190" customFormat="1" ht="16.5">
      <c r="P726" s="215"/>
    </row>
    <row r="727" spans="16:16" s="190" customFormat="1" ht="16.5">
      <c r="P727" s="215"/>
    </row>
    <row r="728" spans="16:16" s="190" customFormat="1" ht="16.5">
      <c r="P728" s="215"/>
    </row>
    <row r="729" spans="16:16" s="190" customFormat="1" ht="16.5">
      <c r="P729" s="215"/>
    </row>
    <row r="730" spans="16:16" s="190" customFormat="1" ht="16.5">
      <c r="P730" s="215"/>
    </row>
    <row r="731" spans="16:16" s="190" customFormat="1" ht="16.5">
      <c r="P731" s="215"/>
    </row>
    <row r="732" spans="16:16" s="190" customFormat="1" ht="16.5">
      <c r="P732" s="215"/>
    </row>
    <row r="733" spans="16:16" s="190" customFormat="1" ht="16.5">
      <c r="P733" s="215"/>
    </row>
    <row r="734" spans="16:16" s="190" customFormat="1" ht="16.5">
      <c r="P734" s="215"/>
    </row>
    <row r="735" spans="16:16" s="190" customFormat="1" ht="16.5">
      <c r="P735" s="215"/>
    </row>
    <row r="736" spans="16:16" s="190" customFormat="1" ht="16.5">
      <c r="P736" s="215"/>
    </row>
    <row r="737" spans="16:16" s="190" customFormat="1" ht="16.5">
      <c r="P737" s="215"/>
    </row>
    <row r="738" spans="16:16" s="190" customFormat="1" ht="16.5">
      <c r="P738" s="215"/>
    </row>
    <row r="739" spans="16:16" s="190" customFormat="1" ht="16.5">
      <c r="P739" s="215"/>
    </row>
    <row r="740" spans="16:16" s="190" customFormat="1" ht="16.5">
      <c r="P740" s="215"/>
    </row>
    <row r="741" spans="16:16" s="190" customFormat="1" ht="16.5">
      <c r="P741" s="215"/>
    </row>
    <row r="742" spans="16:16" s="190" customFormat="1" ht="16.5">
      <c r="P742" s="215"/>
    </row>
    <row r="743" spans="16:16" s="190" customFormat="1" ht="16.5">
      <c r="P743" s="215"/>
    </row>
    <row r="744" spans="16:16" s="190" customFormat="1" ht="16.5">
      <c r="P744" s="215"/>
    </row>
    <row r="745" spans="16:16" s="190" customFormat="1" ht="16.5">
      <c r="P745" s="215"/>
    </row>
    <row r="746" spans="16:16" s="190" customFormat="1" ht="16.5">
      <c r="P746" s="215"/>
    </row>
    <row r="747" spans="16:16" s="190" customFormat="1" ht="16.5">
      <c r="P747" s="215"/>
    </row>
    <row r="748" spans="16:16" s="190" customFormat="1" ht="16.5">
      <c r="P748" s="215"/>
    </row>
    <row r="749" spans="16:16" s="190" customFormat="1" ht="16.5">
      <c r="P749" s="215"/>
    </row>
    <row r="750" spans="16:16" s="190" customFormat="1" ht="16.5">
      <c r="P750" s="215"/>
    </row>
    <row r="751" spans="16:16" s="190" customFormat="1" ht="16.5">
      <c r="P751" s="215"/>
    </row>
    <row r="752" spans="16:16" s="190" customFormat="1" ht="16.5">
      <c r="P752" s="215"/>
    </row>
    <row r="753" spans="16:16" s="190" customFormat="1" ht="16.5">
      <c r="P753" s="215"/>
    </row>
    <row r="754" spans="16:16" s="190" customFormat="1" ht="16.5">
      <c r="P754" s="215"/>
    </row>
    <row r="755" spans="16:16" s="190" customFormat="1" ht="16.5">
      <c r="P755" s="215"/>
    </row>
    <row r="756" spans="16:16" s="190" customFormat="1" ht="16.5">
      <c r="P756" s="215"/>
    </row>
    <row r="757" spans="16:16" s="190" customFormat="1" ht="16.5">
      <c r="P757" s="215"/>
    </row>
    <row r="758" spans="16:16" s="190" customFormat="1" ht="16.5">
      <c r="P758" s="215"/>
    </row>
    <row r="759" spans="16:16" s="190" customFormat="1" ht="16.5">
      <c r="P759" s="215"/>
    </row>
    <row r="760" spans="16:16" s="190" customFormat="1" ht="16.5">
      <c r="P760" s="215"/>
    </row>
    <row r="761" spans="16:16" s="190" customFormat="1" ht="16.5">
      <c r="P761" s="215"/>
    </row>
    <row r="762" spans="16:16" s="190" customFormat="1" ht="16.5">
      <c r="P762" s="215"/>
    </row>
    <row r="763" spans="16:16" s="190" customFormat="1" ht="16.5">
      <c r="P763" s="215"/>
    </row>
    <row r="764" spans="16:16" s="190" customFormat="1" ht="16.5">
      <c r="P764" s="215"/>
    </row>
    <row r="765" spans="16:16" s="190" customFormat="1" ht="16.5">
      <c r="P765" s="215"/>
    </row>
    <row r="766" spans="16:16" s="190" customFormat="1" ht="16.5">
      <c r="P766" s="215"/>
    </row>
    <row r="767" spans="16:16" s="190" customFormat="1" ht="16.5">
      <c r="P767" s="215"/>
    </row>
    <row r="768" spans="16:16" s="190" customFormat="1" ht="16.5">
      <c r="P768" s="215"/>
    </row>
    <row r="769" spans="16:16" s="190" customFormat="1" ht="16.5">
      <c r="P769" s="215"/>
    </row>
    <row r="770" spans="16:16" s="190" customFormat="1" ht="16.5">
      <c r="P770" s="215"/>
    </row>
    <row r="771" spans="16:16" s="190" customFormat="1" ht="16.5">
      <c r="P771" s="215"/>
    </row>
    <row r="772" spans="16:16" s="190" customFormat="1" ht="16.5">
      <c r="P772" s="215"/>
    </row>
    <row r="773" spans="16:16" s="190" customFormat="1" ht="16.5">
      <c r="P773" s="215"/>
    </row>
    <row r="774" spans="16:16" s="190" customFormat="1" ht="16.5">
      <c r="P774" s="215"/>
    </row>
    <row r="775" spans="16:16" s="190" customFormat="1" ht="16.5">
      <c r="P775" s="215"/>
    </row>
    <row r="776" spans="16:16" s="190" customFormat="1" ht="16.5">
      <c r="P776" s="215"/>
    </row>
    <row r="777" spans="16:16" s="190" customFormat="1" ht="16.5">
      <c r="P777" s="215"/>
    </row>
    <row r="778" spans="16:16" s="190" customFormat="1" ht="16.5">
      <c r="P778" s="215"/>
    </row>
    <row r="779" spans="16:16" s="190" customFormat="1" ht="16.5">
      <c r="P779" s="215"/>
    </row>
    <row r="780" spans="16:16" s="190" customFormat="1" ht="16.5">
      <c r="P780" s="215"/>
    </row>
    <row r="781" spans="16:16" s="190" customFormat="1" ht="16.5">
      <c r="P781" s="215"/>
    </row>
    <row r="782" spans="16:16" s="190" customFormat="1" ht="16.5">
      <c r="P782" s="215"/>
    </row>
    <row r="783" spans="16:16" s="190" customFormat="1" ht="16.5">
      <c r="P783" s="215"/>
    </row>
    <row r="784" spans="16:16" s="190" customFormat="1" ht="16.5">
      <c r="P784" s="215"/>
    </row>
    <row r="785" spans="16:16" s="190" customFormat="1" ht="16.5">
      <c r="P785" s="215"/>
    </row>
    <row r="786" spans="16:16" s="190" customFormat="1" ht="16.5">
      <c r="P786" s="215"/>
    </row>
    <row r="787" spans="16:16" s="190" customFormat="1" ht="16.5">
      <c r="P787" s="215"/>
    </row>
    <row r="788" spans="16:16" s="190" customFormat="1" ht="16.5">
      <c r="P788" s="215"/>
    </row>
    <row r="789" spans="16:16" s="190" customFormat="1" ht="16.5">
      <c r="P789" s="215"/>
    </row>
    <row r="790" spans="16:16" s="190" customFormat="1" ht="16.5">
      <c r="P790" s="215"/>
    </row>
    <row r="791" spans="16:16" s="190" customFormat="1" ht="16.5">
      <c r="P791" s="215"/>
    </row>
    <row r="792" spans="16:16" s="190" customFormat="1" ht="16.5">
      <c r="P792" s="215"/>
    </row>
    <row r="793" spans="16:16" s="190" customFormat="1" ht="16.5">
      <c r="P793" s="215"/>
    </row>
    <row r="794" spans="16:16" s="190" customFormat="1" ht="16.5">
      <c r="P794" s="215"/>
    </row>
    <row r="795" spans="16:16" s="190" customFormat="1" ht="16.5">
      <c r="P795" s="215"/>
    </row>
    <row r="796" spans="16:16" s="190" customFormat="1" ht="16.5">
      <c r="P796" s="215"/>
    </row>
    <row r="797" spans="16:16" s="190" customFormat="1" ht="16.5">
      <c r="P797" s="215"/>
    </row>
    <row r="798" spans="16:16" s="190" customFormat="1" ht="16.5">
      <c r="P798" s="215"/>
    </row>
    <row r="799" spans="16:16" s="190" customFormat="1" ht="16.5">
      <c r="P799" s="215"/>
    </row>
    <row r="800" spans="16:16" s="190" customFormat="1" ht="16.5">
      <c r="P800" s="215"/>
    </row>
    <row r="801" spans="16:16" s="190" customFormat="1" ht="16.5">
      <c r="P801" s="215"/>
    </row>
    <row r="802" spans="16:16" s="190" customFormat="1" ht="16.5">
      <c r="P802" s="215"/>
    </row>
    <row r="803" spans="16:16" s="190" customFormat="1" ht="16.5">
      <c r="P803" s="215"/>
    </row>
    <row r="804" spans="16:16" s="190" customFormat="1" ht="16.5">
      <c r="P804" s="215"/>
    </row>
    <row r="805" spans="16:16" s="190" customFormat="1" ht="16.5">
      <c r="P805" s="215"/>
    </row>
    <row r="806" spans="16:16" s="190" customFormat="1" ht="16.5">
      <c r="P806" s="215"/>
    </row>
    <row r="807" spans="16:16" s="190" customFormat="1" ht="16.5">
      <c r="P807" s="215"/>
    </row>
    <row r="808" spans="16:16" s="190" customFormat="1" ht="16.5">
      <c r="P808" s="215"/>
    </row>
    <row r="809" spans="16:16" s="190" customFormat="1" ht="16.5">
      <c r="P809" s="215"/>
    </row>
    <row r="810" spans="16:16" s="190" customFormat="1" ht="16.5">
      <c r="P810" s="215"/>
    </row>
    <row r="811" spans="16:16" s="190" customFormat="1" ht="16.5">
      <c r="P811" s="215"/>
    </row>
    <row r="812" spans="16:16" s="190" customFormat="1" ht="16.5">
      <c r="P812" s="215"/>
    </row>
    <row r="813" spans="16:16" s="190" customFormat="1" ht="16.5">
      <c r="P813" s="215"/>
    </row>
    <row r="814" spans="16:16" s="190" customFormat="1" ht="16.5">
      <c r="P814" s="215"/>
    </row>
    <row r="815" spans="16:16" s="190" customFormat="1" ht="16.5">
      <c r="P815" s="215"/>
    </row>
    <row r="816" spans="16:16" s="190" customFormat="1" ht="16.5">
      <c r="P816" s="215"/>
    </row>
    <row r="817" spans="16:16" s="190" customFormat="1" ht="16.5">
      <c r="P817" s="215"/>
    </row>
    <row r="818" spans="16:16" s="190" customFormat="1" ht="16.5">
      <c r="P818" s="215"/>
    </row>
    <row r="819" spans="16:16" s="190" customFormat="1" ht="16.5">
      <c r="P819" s="215"/>
    </row>
    <row r="820" spans="16:16" s="190" customFormat="1" ht="16.5">
      <c r="P820" s="215"/>
    </row>
    <row r="821" spans="16:16" s="190" customFormat="1" ht="16.5">
      <c r="P821" s="215"/>
    </row>
    <row r="822" spans="16:16" s="190" customFormat="1" ht="16.5">
      <c r="P822" s="215"/>
    </row>
    <row r="823" spans="16:16" s="190" customFormat="1" ht="16.5">
      <c r="P823" s="215"/>
    </row>
    <row r="824" spans="16:16" s="190" customFormat="1" ht="16.5">
      <c r="P824" s="215"/>
    </row>
    <row r="825" spans="16:16" s="190" customFormat="1" ht="16.5">
      <c r="P825" s="215"/>
    </row>
    <row r="826" spans="16:16" s="190" customFormat="1" ht="16.5">
      <c r="P826" s="215"/>
    </row>
    <row r="827" spans="16:16" s="190" customFormat="1" ht="16.5">
      <c r="P827" s="215"/>
    </row>
    <row r="828" spans="16:16" s="190" customFormat="1" ht="16.5">
      <c r="P828" s="215"/>
    </row>
    <row r="829" spans="16:16" s="190" customFormat="1" ht="16.5">
      <c r="P829" s="215"/>
    </row>
    <row r="830" spans="16:16" s="190" customFormat="1" ht="16.5">
      <c r="P830" s="215"/>
    </row>
    <row r="831" spans="16:16" s="190" customFormat="1" ht="16.5">
      <c r="P831" s="215"/>
    </row>
    <row r="832" spans="16:16" s="190" customFormat="1" ht="16.5">
      <c r="P832" s="215"/>
    </row>
    <row r="833" spans="16:16" s="190" customFormat="1" ht="16.5">
      <c r="P833" s="215"/>
    </row>
    <row r="834" spans="16:16" s="190" customFormat="1" ht="16.5">
      <c r="P834" s="215"/>
    </row>
    <row r="835" spans="16:16" s="190" customFormat="1" ht="16.5">
      <c r="P835" s="215"/>
    </row>
    <row r="836" spans="16:16" s="190" customFormat="1" ht="16.5">
      <c r="P836" s="215"/>
    </row>
    <row r="837" spans="16:16" s="190" customFormat="1" ht="16.5">
      <c r="P837" s="215"/>
    </row>
    <row r="838" spans="16:16" s="190" customFormat="1" ht="16.5">
      <c r="P838" s="215"/>
    </row>
    <row r="839" spans="16:16" s="190" customFormat="1" ht="16.5">
      <c r="P839" s="215"/>
    </row>
    <row r="840" spans="16:16" s="190" customFormat="1" ht="16.5">
      <c r="P840" s="215"/>
    </row>
    <row r="841" spans="16:16" s="190" customFormat="1" ht="16.5">
      <c r="P841" s="215"/>
    </row>
    <row r="842" spans="16:16" s="190" customFormat="1" ht="16.5">
      <c r="P842" s="215"/>
    </row>
    <row r="843" spans="16:16" s="190" customFormat="1" ht="16.5">
      <c r="P843" s="215"/>
    </row>
    <row r="844" spans="16:16" s="190" customFormat="1" ht="16.5">
      <c r="P844" s="215"/>
    </row>
    <row r="845" spans="16:16" s="190" customFormat="1" ht="16.5">
      <c r="P845" s="215"/>
    </row>
    <row r="846" spans="16:16" s="190" customFormat="1" ht="16.5">
      <c r="P846" s="215"/>
    </row>
    <row r="847" spans="16:16" s="190" customFormat="1" ht="16.5">
      <c r="P847" s="215"/>
    </row>
    <row r="848" spans="16:16" s="190" customFormat="1" ht="16.5">
      <c r="P848" s="215"/>
    </row>
    <row r="849" spans="16:16" s="190" customFormat="1" ht="16.5">
      <c r="P849" s="215"/>
    </row>
    <row r="850" spans="16:16" s="190" customFormat="1" ht="16.5">
      <c r="P850" s="215"/>
    </row>
    <row r="851" spans="16:16" s="190" customFormat="1" ht="16.5">
      <c r="P851" s="215"/>
    </row>
    <row r="852" spans="16:16" s="190" customFormat="1" ht="16.5">
      <c r="P852" s="215"/>
    </row>
    <row r="853" spans="16:16" s="190" customFormat="1" ht="16.5">
      <c r="P853" s="215"/>
    </row>
    <row r="854" spans="16:16" s="190" customFormat="1" ht="16.5">
      <c r="P854" s="215"/>
    </row>
    <row r="855" spans="16:16" s="190" customFormat="1" ht="16.5">
      <c r="P855" s="215"/>
    </row>
    <row r="856" spans="16:16" s="190" customFormat="1" ht="16.5">
      <c r="P856" s="215"/>
    </row>
    <row r="857" spans="16:16" s="190" customFormat="1" ht="16.5">
      <c r="P857" s="215"/>
    </row>
    <row r="858" spans="16:16" s="190" customFormat="1" ht="16.5">
      <c r="P858" s="215"/>
    </row>
    <row r="859" spans="16:16" s="190" customFormat="1" ht="16.5">
      <c r="P859" s="215"/>
    </row>
    <row r="860" spans="16:16" s="190" customFormat="1" ht="16.5">
      <c r="P860" s="215"/>
    </row>
    <row r="861" spans="16:16" s="190" customFormat="1" ht="16.5">
      <c r="P861" s="215"/>
    </row>
    <row r="862" spans="16:16" s="190" customFormat="1" ht="16.5">
      <c r="P862" s="215"/>
    </row>
    <row r="863" spans="16:16" s="190" customFormat="1" ht="16.5">
      <c r="P863" s="215"/>
    </row>
    <row r="864" spans="16:16" s="190" customFormat="1" ht="16.5">
      <c r="P864" s="215"/>
    </row>
    <row r="865" spans="16:16" s="190" customFormat="1" ht="16.5">
      <c r="P865" s="215"/>
    </row>
    <row r="866" spans="16:16" s="190" customFormat="1" ht="16.5">
      <c r="P866" s="215"/>
    </row>
    <row r="867" spans="16:16" s="190" customFormat="1" ht="16.5">
      <c r="P867" s="215"/>
    </row>
    <row r="868" spans="16:16" s="190" customFormat="1" ht="16.5">
      <c r="P868" s="215"/>
    </row>
    <row r="869" spans="16:16" s="190" customFormat="1" ht="16.5">
      <c r="P869" s="215"/>
    </row>
    <row r="870" spans="16:16" s="190" customFormat="1" ht="16.5">
      <c r="P870" s="215"/>
    </row>
    <row r="871" spans="16:16" s="190" customFormat="1" ht="16.5">
      <c r="P871" s="215"/>
    </row>
    <row r="872" spans="16:16" s="190" customFormat="1" ht="16.5">
      <c r="P872" s="215"/>
    </row>
    <row r="873" spans="16:16" s="190" customFormat="1" ht="16.5">
      <c r="P873" s="215"/>
    </row>
    <row r="874" spans="16:16" s="190" customFormat="1" ht="16.5">
      <c r="P874" s="215"/>
    </row>
    <row r="875" spans="16:16" s="190" customFormat="1" ht="16.5">
      <c r="P875" s="215"/>
    </row>
    <row r="876" spans="16:16" s="190" customFormat="1" ht="16.5">
      <c r="P876" s="215"/>
    </row>
    <row r="877" spans="16:16" s="190" customFormat="1" ht="16.5">
      <c r="P877" s="215"/>
    </row>
    <row r="878" spans="16:16" s="190" customFormat="1" ht="16.5">
      <c r="P878" s="215"/>
    </row>
    <row r="879" spans="16:16" s="190" customFormat="1" ht="16.5">
      <c r="P879" s="215"/>
    </row>
    <row r="880" spans="16:16" s="190" customFormat="1" ht="16.5">
      <c r="P880" s="215"/>
    </row>
    <row r="881" spans="16:16" s="190" customFormat="1" ht="16.5">
      <c r="P881" s="215"/>
    </row>
    <row r="882" spans="16:16" s="190" customFormat="1" ht="16.5">
      <c r="P882" s="215"/>
    </row>
    <row r="883" spans="16:16" s="190" customFormat="1" ht="16.5">
      <c r="P883" s="215"/>
    </row>
    <row r="884" spans="16:16" s="190" customFormat="1" ht="16.5">
      <c r="P884" s="215"/>
    </row>
    <row r="885" spans="16:16" s="190" customFormat="1" ht="16.5">
      <c r="P885" s="215"/>
    </row>
    <row r="886" spans="16:16" s="190" customFormat="1" ht="16.5">
      <c r="P886" s="215"/>
    </row>
    <row r="887" spans="16:16" s="190" customFormat="1" ht="16.5">
      <c r="P887" s="215"/>
    </row>
    <row r="888" spans="16:16" s="190" customFormat="1" ht="16.5">
      <c r="P888" s="215"/>
    </row>
    <row r="889" spans="16:16" s="190" customFormat="1" ht="16.5">
      <c r="P889" s="215"/>
    </row>
    <row r="890" spans="16:16" s="190" customFormat="1" ht="16.5">
      <c r="P890" s="215"/>
    </row>
    <row r="891" spans="16:16" s="190" customFormat="1" ht="16.5">
      <c r="P891" s="215"/>
    </row>
    <row r="892" spans="16:16" s="190" customFormat="1" ht="16.5">
      <c r="P892" s="215"/>
    </row>
    <row r="893" spans="16:16" s="190" customFormat="1" ht="16.5">
      <c r="P893" s="215"/>
    </row>
    <row r="894" spans="16:16" s="190" customFormat="1" ht="16.5">
      <c r="P894" s="215"/>
    </row>
    <row r="895" spans="16:16" s="190" customFormat="1" ht="16.5">
      <c r="P895" s="215"/>
    </row>
    <row r="896" spans="16:16" s="190" customFormat="1" ht="16.5">
      <c r="P896" s="215"/>
    </row>
    <row r="897" spans="16:16" s="190" customFormat="1" ht="16.5">
      <c r="P897" s="215"/>
    </row>
    <row r="898" spans="16:16" s="190" customFormat="1" ht="16.5">
      <c r="P898" s="215"/>
    </row>
    <row r="899" spans="16:16" s="190" customFormat="1" ht="16.5">
      <c r="P899" s="215"/>
    </row>
    <row r="900" spans="16:16" s="190" customFormat="1" ht="16.5">
      <c r="P900" s="215"/>
    </row>
    <row r="901" spans="16:16" s="190" customFormat="1" ht="16.5">
      <c r="P901" s="215"/>
    </row>
    <row r="902" spans="16:16" s="190" customFormat="1" ht="16.5">
      <c r="P902" s="215"/>
    </row>
    <row r="903" spans="16:16" s="190" customFormat="1" ht="16.5">
      <c r="P903" s="215"/>
    </row>
    <row r="904" spans="16:16" s="190" customFormat="1" ht="16.5">
      <c r="P904" s="215"/>
    </row>
    <row r="905" spans="16:16" s="190" customFormat="1" ht="16.5">
      <c r="P905" s="215"/>
    </row>
    <row r="906" spans="16:16" s="190" customFormat="1" ht="16.5">
      <c r="P906" s="215"/>
    </row>
    <row r="907" spans="16:16" s="190" customFormat="1" ht="16.5">
      <c r="P907" s="215"/>
    </row>
    <row r="908" spans="16:16" s="190" customFormat="1" ht="16.5">
      <c r="P908" s="215"/>
    </row>
    <row r="909" spans="16:16" s="190" customFormat="1" ht="16.5">
      <c r="P909" s="215"/>
    </row>
    <row r="910" spans="16:16" s="190" customFormat="1" ht="16.5">
      <c r="P910" s="215"/>
    </row>
    <row r="911" spans="16:16" s="190" customFormat="1" ht="16.5">
      <c r="P911" s="215"/>
    </row>
    <row r="912" spans="16:16" s="190" customFormat="1" ht="16.5">
      <c r="P912" s="215"/>
    </row>
    <row r="913" spans="16:16" s="190" customFormat="1" ht="16.5">
      <c r="P913" s="215"/>
    </row>
    <row r="914" spans="16:16" s="190" customFormat="1" ht="16.5">
      <c r="P914" s="215"/>
    </row>
    <row r="915" spans="16:16" s="190" customFormat="1" ht="16.5">
      <c r="P915" s="215"/>
    </row>
    <row r="916" spans="16:16" s="190" customFormat="1" ht="16.5">
      <c r="P916" s="215"/>
    </row>
    <row r="917" spans="16:16" s="190" customFormat="1" ht="16.5">
      <c r="P917" s="215"/>
    </row>
    <row r="918" spans="16:16" s="190" customFormat="1" ht="16.5">
      <c r="P918" s="215"/>
    </row>
    <row r="919" spans="16:16" s="190" customFormat="1" ht="16.5">
      <c r="P919" s="215"/>
    </row>
    <row r="920" spans="16:16" s="190" customFormat="1" ht="16.5">
      <c r="P920" s="215"/>
    </row>
    <row r="921" spans="16:16" s="190" customFormat="1" ht="16.5">
      <c r="P921" s="215"/>
    </row>
    <row r="922" spans="16:16" s="190" customFormat="1" ht="16.5">
      <c r="P922" s="215"/>
    </row>
    <row r="923" spans="16:16" s="190" customFormat="1" ht="16.5">
      <c r="P923" s="215"/>
    </row>
    <row r="924" spans="16:16" s="190" customFormat="1" ht="16.5">
      <c r="P924" s="215"/>
    </row>
    <row r="925" spans="16:16" s="190" customFormat="1" ht="16.5">
      <c r="P925" s="215"/>
    </row>
    <row r="926" spans="16:16" s="190" customFormat="1" ht="16.5">
      <c r="P926" s="215"/>
    </row>
    <row r="927" spans="16:16" s="190" customFormat="1" ht="16.5">
      <c r="P927" s="215"/>
    </row>
    <row r="928" spans="16:16" s="190" customFormat="1" ht="16.5">
      <c r="P928" s="215"/>
    </row>
    <row r="929" spans="16:16" s="190" customFormat="1" ht="16.5">
      <c r="P929" s="215"/>
    </row>
    <row r="930" spans="16:16" s="190" customFormat="1" ht="16.5">
      <c r="P930" s="215"/>
    </row>
    <row r="931" spans="16:16" s="190" customFormat="1" ht="16.5">
      <c r="P931" s="215"/>
    </row>
    <row r="932" spans="16:16" s="190" customFormat="1" ht="16.5">
      <c r="P932" s="215"/>
    </row>
    <row r="933" spans="16:16" s="190" customFormat="1" ht="16.5">
      <c r="P933" s="215"/>
    </row>
    <row r="934" spans="16:16" s="190" customFormat="1" ht="16.5">
      <c r="P934" s="215"/>
    </row>
    <row r="935" spans="16:16" s="190" customFormat="1" ht="16.5">
      <c r="P935" s="215"/>
    </row>
    <row r="936" spans="16:16" s="190" customFormat="1" ht="16.5">
      <c r="P936" s="215"/>
    </row>
    <row r="937" spans="16:16" s="190" customFormat="1" ht="16.5">
      <c r="P937" s="215"/>
    </row>
    <row r="938" spans="16:16" s="190" customFormat="1" ht="16.5">
      <c r="P938" s="215"/>
    </row>
    <row r="939" spans="16:16" s="190" customFormat="1" ht="16.5">
      <c r="P939" s="215"/>
    </row>
    <row r="940" spans="16:16" s="190" customFormat="1" ht="16.5">
      <c r="P940" s="215"/>
    </row>
    <row r="941" spans="16:16" s="190" customFormat="1" ht="16.5">
      <c r="P941" s="215"/>
    </row>
    <row r="942" spans="16:16" s="190" customFormat="1" ht="16.5">
      <c r="P942" s="215"/>
    </row>
    <row r="943" spans="16:16" s="190" customFormat="1" ht="16.5">
      <c r="P943" s="215"/>
    </row>
    <row r="944" spans="16:16" s="190" customFormat="1" ht="16.5">
      <c r="P944" s="215"/>
    </row>
    <row r="945" spans="16:16" s="190" customFormat="1" ht="16.5">
      <c r="P945" s="215"/>
    </row>
    <row r="946" spans="16:16" s="190" customFormat="1" ht="16.5">
      <c r="P946" s="215"/>
    </row>
    <row r="947" spans="16:16" s="190" customFormat="1" ht="16.5">
      <c r="P947" s="215"/>
    </row>
    <row r="948" spans="16:16" s="190" customFormat="1" ht="16.5">
      <c r="P948" s="215"/>
    </row>
    <row r="949" spans="16:16" s="190" customFormat="1" ht="16.5">
      <c r="P949" s="215"/>
    </row>
    <row r="950" spans="16:16" s="190" customFormat="1" ht="16.5">
      <c r="P950" s="215"/>
    </row>
    <row r="951" spans="16:16" s="190" customFormat="1" ht="16.5">
      <c r="P951" s="215"/>
    </row>
    <row r="952" spans="16:16" s="190" customFormat="1" ht="16.5">
      <c r="P952" s="215"/>
    </row>
    <row r="953" spans="16:16" s="190" customFormat="1" ht="16.5">
      <c r="P953" s="215"/>
    </row>
    <row r="954" spans="16:16" s="190" customFormat="1" ht="16.5">
      <c r="P954" s="215"/>
    </row>
    <row r="955" spans="16:16" s="190" customFormat="1" ht="16.5">
      <c r="P955" s="215"/>
    </row>
    <row r="956" spans="16:16" s="190" customFormat="1" ht="16.5">
      <c r="P956" s="215"/>
    </row>
    <row r="957" spans="16:16" s="190" customFormat="1" ht="16.5">
      <c r="P957" s="215"/>
    </row>
    <row r="958" spans="16:16" s="190" customFormat="1" ht="16.5">
      <c r="P958" s="215"/>
    </row>
    <row r="959" spans="16:16" s="190" customFormat="1" ht="16.5">
      <c r="P959" s="215"/>
    </row>
    <row r="960" spans="16:16" s="190" customFormat="1" ht="16.5">
      <c r="P960" s="215"/>
    </row>
    <row r="961" spans="16:16" s="190" customFormat="1" ht="16.5">
      <c r="P961" s="215"/>
    </row>
    <row r="962" spans="16:16" s="190" customFormat="1" ht="16.5">
      <c r="P962" s="215"/>
    </row>
    <row r="963" spans="16:16" s="190" customFormat="1" ht="16.5">
      <c r="P963" s="215"/>
    </row>
    <row r="964" spans="16:16" s="190" customFormat="1" ht="16.5">
      <c r="P964" s="215"/>
    </row>
    <row r="965" spans="16:16" s="190" customFormat="1" ht="16.5">
      <c r="P965" s="215"/>
    </row>
    <row r="966" spans="16:16" s="190" customFormat="1" ht="16.5">
      <c r="P966" s="215"/>
    </row>
    <row r="967" spans="16:16" s="190" customFormat="1" ht="16.5">
      <c r="P967" s="215"/>
    </row>
    <row r="968" spans="16:16" s="190" customFormat="1" ht="16.5">
      <c r="P968" s="215"/>
    </row>
    <row r="969" spans="16:16" s="190" customFormat="1" ht="16.5">
      <c r="P969" s="215"/>
    </row>
    <row r="970" spans="16:16" s="190" customFormat="1" ht="16.5">
      <c r="P970" s="215"/>
    </row>
    <row r="971" spans="16:16" s="190" customFormat="1" ht="16.5">
      <c r="P971" s="215"/>
    </row>
    <row r="972" spans="16:16" s="190" customFormat="1" ht="16.5">
      <c r="P972" s="215"/>
    </row>
    <row r="973" spans="16:16" s="190" customFormat="1" ht="16.5">
      <c r="P973" s="215"/>
    </row>
    <row r="974" spans="16:16" s="190" customFormat="1" ht="16.5">
      <c r="P974" s="215"/>
    </row>
    <row r="975" spans="16:16" s="190" customFormat="1" ht="16.5">
      <c r="P975" s="215"/>
    </row>
    <row r="976" spans="16:16" s="190" customFormat="1" ht="16.5">
      <c r="P976" s="215"/>
    </row>
    <row r="977" spans="16:16" s="190" customFormat="1" ht="16.5">
      <c r="P977" s="215"/>
    </row>
    <row r="978" spans="16:16" s="190" customFormat="1" ht="16.5">
      <c r="P978" s="215"/>
    </row>
    <row r="979" spans="16:16" s="190" customFormat="1" ht="16.5">
      <c r="P979" s="215"/>
    </row>
    <row r="980" spans="16:16" s="190" customFormat="1" ht="16.5">
      <c r="P980" s="215"/>
    </row>
    <row r="981" spans="16:16" s="190" customFormat="1" ht="16.5">
      <c r="P981" s="215"/>
    </row>
    <row r="982" spans="16:16" s="190" customFormat="1" ht="16.5">
      <c r="P982" s="215"/>
    </row>
    <row r="983" spans="16:16" s="190" customFormat="1" ht="16.5">
      <c r="P983" s="215"/>
    </row>
    <row r="984" spans="16:16" s="190" customFormat="1" ht="16.5">
      <c r="P984" s="215"/>
    </row>
    <row r="985" spans="16:16" s="190" customFormat="1" ht="16.5">
      <c r="P985" s="215"/>
    </row>
    <row r="986" spans="16:16" s="190" customFormat="1" ht="16.5">
      <c r="P986" s="215"/>
    </row>
    <row r="987" spans="16:16" s="190" customFormat="1" ht="16.5">
      <c r="P987" s="215"/>
    </row>
    <row r="988" spans="16:16" s="190" customFormat="1" ht="16.5">
      <c r="P988" s="215"/>
    </row>
    <row r="989" spans="16:16" s="190" customFormat="1" ht="16.5">
      <c r="P989" s="215"/>
    </row>
    <row r="990" spans="16:16" s="190" customFormat="1" ht="16.5">
      <c r="P990" s="215"/>
    </row>
    <row r="991" spans="16:16" s="190" customFormat="1" ht="16.5">
      <c r="P991" s="215"/>
    </row>
    <row r="992" spans="16:16" s="190" customFormat="1" ht="16.5">
      <c r="P992" s="215"/>
    </row>
    <row r="993" spans="16:16" s="190" customFormat="1" ht="16.5">
      <c r="P993" s="215"/>
    </row>
    <row r="994" spans="16:16" s="190" customFormat="1" ht="16.5">
      <c r="P994" s="215"/>
    </row>
    <row r="995" spans="16:16" s="190" customFormat="1" ht="16.5">
      <c r="P995" s="215"/>
    </row>
    <row r="996" spans="16:16" s="190" customFormat="1" ht="16.5">
      <c r="P996" s="215"/>
    </row>
    <row r="997" spans="16:16" s="190" customFormat="1" ht="16.5">
      <c r="P997" s="215"/>
    </row>
    <row r="998" spans="16:16" s="190" customFormat="1" ht="16.5">
      <c r="P998" s="215"/>
    </row>
    <row r="999" spans="16:16" s="190" customFormat="1" ht="16.5">
      <c r="P999" s="215"/>
    </row>
    <row r="1000" spans="16:16" s="190" customFormat="1" ht="16.5">
      <c r="P1000" s="215"/>
    </row>
    <row r="1001" spans="16:16" s="190" customFormat="1" ht="16.5">
      <c r="P1001" s="215"/>
    </row>
    <row r="1002" spans="16:16" s="190" customFormat="1" ht="16.5">
      <c r="P1002" s="215"/>
    </row>
    <row r="1003" spans="16:16" s="190" customFormat="1" ht="16.5">
      <c r="P1003" s="215"/>
    </row>
    <row r="1004" spans="16:16" s="190" customFormat="1" ht="16.5">
      <c r="P1004" s="215"/>
    </row>
    <row r="1005" spans="16:16" s="190" customFormat="1" ht="16.5">
      <c r="P1005" s="215"/>
    </row>
    <row r="1006" spans="16:16" s="190" customFormat="1" ht="16.5">
      <c r="P1006" s="215"/>
    </row>
    <row r="1007" spans="16:16" s="190" customFormat="1" ht="16.5">
      <c r="P1007" s="215"/>
    </row>
    <row r="1008" spans="16:16" s="190" customFormat="1" ht="16.5">
      <c r="P1008" s="215"/>
    </row>
    <row r="1009" spans="16:16" s="190" customFormat="1" ht="16.5">
      <c r="P1009" s="215"/>
    </row>
    <row r="1010" spans="16:16" s="190" customFormat="1" ht="16.5">
      <c r="P1010" s="215"/>
    </row>
    <row r="1011" spans="16:16" s="190" customFormat="1" ht="16.5">
      <c r="P1011" s="215"/>
    </row>
    <row r="1012" spans="16:16" s="190" customFormat="1" ht="16.5">
      <c r="P1012" s="215"/>
    </row>
    <row r="1013" spans="16:16" s="190" customFormat="1" ht="16.5">
      <c r="P1013" s="215"/>
    </row>
    <row r="1014" spans="16:16" s="190" customFormat="1" ht="16.5">
      <c r="P1014" s="215"/>
    </row>
    <row r="1015" spans="16:16" s="190" customFormat="1" ht="16.5">
      <c r="P1015" s="215"/>
    </row>
    <row r="1016" spans="16:16" s="190" customFormat="1" ht="16.5">
      <c r="P1016" s="215"/>
    </row>
    <row r="1017" spans="16:16" s="190" customFormat="1" ht="16.5">
      <c r="P1017" s="215"/>
    </row>
    <row r="1018" spans="16:16" s="190" customFormat="1" ht="16.5">
      <c r="P1018" s="215"/>
    </row>
    <row r="1019" spans="16:16" s="190" customFormat="1" ht="16.5">
      <c r="P1019" s="215"/>
    </row>
    <row r="1020" spans="16:16" s="190" customFormat="1" ht="16.5">
      <c r="P1020" s="215"/>
    </row>
    <row r="1021" spans="16:16" s="190" customFormat="1" ht="16.5">
      <c r="P1021" s="215"/>
    </row>
    <row r="1022" spans="16:16" s="190" customFormat="1" ht="16.5">
      <c r="P1022" s="215"/>
    </row>
    <row r="1023" spans="16:16" s="190" customFormat="1" ht="16.5">
      <c r="P1023" s="215"/>
    </row>
    <row r="1024" spans="16:16" s="190" customFormat="1" ht="16.5">
      <c r="P1024" s="215"/>
    </row>
    <row r="1025" spans="16:16" s="190" customFormat="1" ht="16.5">
      <c r="P1025" s="215"/>
    </row>
    <row r="1026" spans="16:16" s="190" customFormat="1" ht="16.5">
      <c r="P1026" s="215"/>
    </row>
    <row r="1027" spans="16:16" s="190" customFormat="1" ht="16.5">
      <c r="P1027" s="215"/>
    </row>
    <row r="1028" spans="16:16" s="190" customFormat="1" ht="16.5">
      <c r="P1028" s="215"/>
    </row>
    <row r="1029" spans="16:16" s="190" customFormat="1" ht="16.5">
      <c r="P1029" s="215"/>
    </row>
    <row r="1030" spans="16:16" s="190" customFormat="1" ht="16.5">
      <c r="P1030" s="215"/>
    </row>
    <row r="1031" spans="16:16" s="190" customFormat="1" ht="16.5">
      <c r="P1031" s="215"/>
    </row>
    <row r="1032" spans="16:16" s="190" customFormat="1" ht="16.5">
      <c r="P1032" s="215"/>
    </row>
    <row r="1033" spans="16:16" s="190" customFormat="1" ht="16.5">
      <c r="P1033" s="215"/>
    </row>
    <row r="1034" spans="16:16" s="190" customFormat="1" ht="16.5">
      <c r="P1034" s="215"/>
    </row>
    <row r="1035" spans="16:16" s="190" customFormat="1" ht="16.5">
      <c r="P1035" s="215"/>
    </row>
    <row r="1036" spans="16:16" s="190" customFormat="1" ht="16.5">
      <c r="P1036" s="215"/>
    </row>
    <row r="1037" spans="16:16" s="190" customFormat="1" ht="16.5">
      <c r="P1037" s="215"/>
    </row>
    <row r="1038" spans="16:16" s="190" customFormat="1" ht="16.5">
      <c r="P1038" s="215"/>
    </row>
    <row r="1039" spans="16:16" s="190" customFormat="1" ht="16.5">
      <c r="P1039" s="215"/>
    </row>
    <row r="1040" spans="16:16" s="190" customFormat="1" ht="16.5">
      <c r="P1040" s="215"/>
    </row>
    <row r="1041" spans="16:16" s="190" customFormat="1" ht="16.5">
      <c r="P1041" s="215"/>
    </row>
    <row r="1042" spans="16:16" s="190" customFormat="1" ht="16.5">
      <c r="P1042" s="215"/>
    </row>
    <row r="1043" spans="16:16" s="190" customFormat="1" ht="16.5">
      <c r="P1043" s="215"/>
    </row>
    <row r="1044" spans="16:16" s="190" customFormat="1" ht="16.5">
      <c r="P1044" s="215"/>
    </row>
    <row r="1045" spans="16:16" s="190" customFormat="1" ht="16.5">
      <c r="P1045" s="215"/>
    </row>
    <row r="1046" spans="16:16" s="190" customFormat="1" ht="16.5">
      <c r="P1046" s="215"/>
    </row>
    <row r="1047" spans="16:16" s="190" customFormat="1" ht="16.5">
      <c r="P1047" s="215"/>
    </row>
    <row r="1048" spans="16:16" s="190" customFormat="1" ht="16.5">
      <c r="P1048" s="215"/>
    </row>
    <row r="1049" spans="16:16" s="190" customFormat="1" ht="16.5">
      <c r="P1049" s="215"/>
    </row>
    <row r="1050" spans="16:16" s="190" customFormat="1" ht="16.5">
      <c r="P1050" s="215"/>
    </row>
    <row r="1051" spans="16:16" s="190" customFormat="1" ht="16.5">
      <c r="P1051" s="215"/>
    </row>
    <row r="1052" spans="16:16" s="190" customFormat="1" ht="16.5">
      <c r="P1052" s="215"/>
    </row>
    <row r="1053" spans="16:16" s="190" customFormat="1" ht="16.5">
      <c r="P1053" s="215"/>
    </row>
    <row r="1054" spans="16:16" s="190" customFormat="1" ht="16.5">
      <c r="P1054" s="215"/>
    </row>
    <row r="1055" spans="16:16" s="190" customFormat="1" ht="16.5">
      <c r="P1055" s="215"/>
    </row>
    <row r="1056" spans="16:16" s="190" customFormat="1" ht="16.5">
      <c r="P1056" s="215"/>
    </row>
    <row r="1057" spans="16:16" s="190" customFormat="1" ht="16.5">
      <c r="P1057" s="215"/>
    </row>
    <row r="1058" spans="16:16" s="190" customFormat="1" ht="16.5">
      <c r="P1058" s="215"/>
    </row>
    <row r="1059" spans="16:16" s="190" customFormat="1" ht="16.5">
      <c r="P1059" s="215"/>
    </row>
    <row r="1060" spans="16:16" s="190" customFormat="1" ht="16.5">
      <c r="P1060" s="215"/>
    </row>
    <row r="1061" spans="16:16" s="190" customFormat="1" ht="16.5">
      <c r="P1061" s="215"/>
    </row>
    <row r="1062" spans="16:16" s="190" customFormat="1" ht="16.5">
      <c r="P1062" s="215"/>
    </row>
    <row r="1063" spans="16:16" s="190" customFormat="1" ht="16.5">
      <c r="P1063" s="215"/>
    </row>
    <row r="1064" spans="16:16" s="190" customFormat="1" ht="16.5">
      <c r="P1064" s="215"/>
    </row>
    <row r="1065" spans="16:16" s="190" customFormat="1" ht="16.5">
      <c r="P1065" s="215"/>
    </row>
    <row r="1066" spans="16:16" s="190" customFormat="1" ht="16.5">
      <c r="P1066" s="215"/>
    </row>
    <row r="1067" spans="16:16" s="190" customFormat="1" ht="16.5">
      <c r="P1067" s="215"/>
    </row>
    <row r="1068" spans="16:16" s="190" customFormat="1" ht="16.5">
      <c r="P1068" s="215"/>
    </row>
    <row r="1069" spans="16:16" s="190" customFormat="1" ht="16.5">
      <c r="P1069" s="215"/>
    </row>
    <row r="1070" spans="16:16" s="190" customFormat="1" ht="16.5">
      <c r="P1070" s="215"/>
    </row>
    <row r="1071" spans="16:16" s="190" customFormat="1" ht="16.5">
      <c r="P1071" s="215"/>
    </row>
    <row r="1072" spans="16:16" s="190" customFormat="1" ht="16.5">
      <c r="P1072" s="215"/>
    </row>
    <row r="1073" spans="16:16" s="190" customFormat="1" ht="16.5">
      <c r="P1073" s="215"/>
    </row>
    <row r="1074" spans="16:16" s="190" customFormat="1" ht="16.5">
      <c r="P1074" s="215"/>
    </row>
    <row r="1075" spans="16:16" s="190" customFormat="1" ht="16.5">
      <c r="P1075" s="215"/>
    </row>
    <row r="1076" spans="16:16" s="190" customFormat="1" ht="16.5">
      <c r="P1076" s="215"/>
    </row>
    <row r="1077" spans="16:16" s="190" customFormat="1" ht="16.5">
      <c r="P1077" s="215"/>
    </row>
    <row r="1078" spans="16:16" s="190" customFormat="1" ht="16.5">
      <c r="P1078" s="215"/>
    </row>
    <row r="1079" spans="16:16" s="190" customFormat="1" ht="16.5">
      <c r="P1079" s="215"/>
    </row>
    <row r="1080" spans="16:16" s="190" customFormat="1" ht="16.5">
      <c r="P1080" s="215"/>
    </row>
    <row r="1081" spans="16:16" s="190" customFormat="1" ht="16.5">
      <c r="P1081" s="215"/>
    </row>
    <row r="1082" spans="16:16" s="190" customFormat="1" ht="16.5">
      <c r="P1082" s="215"/>
    </row>
    <row r="1083" spans="16:16" s="190" customFormat="1" ht="16.5">
      <c r="P1083" s="215"/>
    </row>
    <row r="1084" spans="16:16" s="190" customFormat="1" ht="16.5">
      <c r="P1084" s="215"/>
    </row>
    <row r="1085" spans="16:16" s="190" customFormat="1" ht="16.5">
      <c r="P1085" s="215"/>
    </row>
    <row r="1086" spans="16:16" s="190" customFormat="1" ht="16.5">
      <c r="P1086" s="215"/>
    </row>
    <row r="1087" spans="16:16" s="190" customFormat="1" ht="16.5">
      <c r="P1087" s="215"/>
    </row>
    <row r="1088" spans="16:16" s="190" customFormat="1" ht="16.5">
      <c r="P1088" s="215"/>
    </row>
    <row r="1089" spans="16:16" s="190" customFormat="1" ht="16.5">
      <c r="P1089" s="215"/>
    </row>
    <row r="1090" spans="16:16" s="190" customFormat="1" ht="16.5">
      <c r="P1090" s="215"/>
    </row>
    <row r="1091" spans="16:16" s="190" customFormat="1" ht="16.5">
      <c r="P1091" s="215"/>
    </row>
    <row r="1092" spans="16:16" s="190" customFormat="1" ht="16.5">
      <c r="P1092" s="215"/>
    </row>
    <row r="1093" spans="16:16" s="190" customFormat="1" ht="16.5">
      <c r="P1093" s="215"/>
    </row>
    <row r="1094" spans="16:16" s="190" customFormat="1" ht="16.5">
      <c r="P1094" s="215"/>
    </row>
    <row r="1095" spans="16:16" s="190" customFormat="1" ht="16.5">
      <c r="P1095" s="215"/>
    </row>
    <row r="1096" spans="16:16" s="190" customFormat="1" ht="16.5">
      <c r="P1096" s="215"/>
    </row>
    <row r="1097" spans="16:16" s="190" customFormat="1" ht="16.5">
      <c r="P1097" s="215"/>
    </row>
    <row r="1098" spans="16:16" s="190" customFormat="1" ht="16.5">
      <c r="P1098" s="215"/>
    </row>
    <row r="1099" spans="16:16" s="190" customFormat="1" ht="16.5">
      <c r="P1099" s="215"/>
    </row>
    <row r="1100" spans="16:16" s="190" customFormat="1" ht="16.5">
      <c r="P1100" s="215"/>
    </row>
    <row r="1101" spans="16:16" s="190" customFormat="1" ht="16.5">
      <c r="P1101" s="215"/>
    </row>
    <row r="1102" spans="16:16" s="190" customFormat="1" ht="16.5">
      <c r="P1102" s="215"/>
    </row>
    <row r="1103" spans="16:16" s="190" customFormat="1" ht="16.5">
      <c r="P1103" s="215"/>
    </row>
    <row r="1104" spans="16:16" s="190" customFormat="1" ht="16.5">
      <c r="P1104" s="215"/>
    </row>
    <row r="1105" spans="16:16" s="190" customFormat="1" ht="16.5">
      <c r="P1105" s="215"/>
    </row>
    <row r="1106" spans="16:16" s="190" customFormat="1" ht="16.5">
      <c r="P1106" s="215"/>
    </row>
    <row r="1107" spans="16:16" s="190" customFormat="1" ht="16.5">
      <c r="P1107" s="215"/>
    </row>
    <row r="1108" spans="16:16" s="190" customFormat="1" ht="16.5">
      <c r="P1108" s="215"/>
    </row>
    <row r="1109" spans="16:16" s="190" customFormat="1" ht="16.5">
      <c r="P1109" s="215"/>
    </row>
    <row r="1110" spans="16:16" s="190" customFormat="1" ht="16.5">
      <c r="P1110" s="215"/>
    </row>
    <row r="1111" spans="16:16" s="190" customFormat="1" ht="16.5">
      <c r="P1111" s="215"/>
    </row>
    <row r="1112" spans="16:16" s="190" customFormat="1" ht="16.5">
      <c r="P1112" s="215"/>
    </row>
    <row r="1113" spans="16:16" s="190" customFormat="1" ht="16.5">
      <c r="P1113" s="215"/>
    </row>
    <row r="1114" spans="16:16" s="190" customFormat="1" ht="16.5">
      <c r="P1114" s="215"/>
    </row>
    <row r="1115" spans="16:16" s="190" customFormat="1" ht="16.5">
      <c r="P1115" s="215"/>
    </row>
    <row r="1116" spans="16:16" s="190" customFormat="1" ht="16.5">
      <c r="P1116" s="215"/>
    </row>
    <row r="1117" spans="16:16" s="190" customFormat="1" ht="16.5">
      <c r="P1117" s="215"/>
    </row>
    <row r="1118" spans="16:16" s="190" customFormat="1" ht="16.5">
      <c r="P1118" s="215"/>
    </row>
    <row r="1119" spans="16:16" s="190" customFormat="1" ht="16.5">
      <c r="P1119" s="215"/>
    </row>
    <row r="1120" spans="16:16" s="190" customFormat="1" ht="16.5">
      <c r="P1120" s="215"/>
    </row>
    <row r="1121" spans="16:16" s="190" customFormat="1" ht="16.5">
      <c r="P1121" s="215"/>
    </row>
    <row r="1122" spans="16:16" s="190" customFormat="1" ht="16.5">
      <c r="P1122" s="215"/>
    </row>
    <row r="1123" spans="16:16" s="190" customFormat="1" ht="16.5">
      <c r="P1123" s="215"/>
    </row>
    <row r="1124" spans="16:16" s="190" customFormat="1" ht="16.5">
      <c r="P1124" s="215"/>
    </row>
    <row r="1125" spans="16:16" s="190" customFormat="1" ht="16.5">
      <c r="P1125" s="215"/>
    </row>
    <row r="1126" spans="16:16" s="190" customFormat="1" ht="16.5">
      <c r="P1126" s="215"/>
    </row>
    <row r="1127" spans="16:16" s="190" customFormat="1" ht="16.5">
      <c r="P1127" s="215"/>
    </row>
    <row r="1128" spans="16:16" s="190" customFormat="1" ht="16.5">
      <c r="P1128" s="215"/>
    </row>
    <row r="1129" spans="16:16" s="190" customFormat="1" ht="16.5">
      <c r="P1129" s="215"/>
    </row>
    <row r="1130" spans="16:16" s="190" customFormat="1" ht="16.5">
      <c r="P1130" s="215"/>
    </row>
    <row r="1131" spans="16:16" s="190" customFormat="1" ht="16.5">
      <c r="P1131" s="215"/>
    </row>
    <row r="1132" spans="16:16" s="190" customFormat="1" ht="16.5">
      <c r="P1132" s="215"/>
    </row>
    <row r="1133" spans="16:16" s="190" customFormat="1" ht="16.5">
      <c r="P1133" s="215"/>
    </row>
    <row r="1134" spans="16:16" s="190" customFormat="1" ht="16.5">
      <c r="P1134" s="215"/>
    </row>
    <row r="1135" spans="16:16" s="190" customFormat="1" ht="16.5">
      <c r="P1135" s="215"/>
    </row>
    <row r="1136" spans="16:16" s="190" customFormat="1" ht="16.5">
      <c r="P1136" s="215"/>
    </row>
    <row r="1137" spans="16:16" s="190" customFormat="1" ht="16.5">
      <c r="P1137" s="215"/>
    </row>
    <row r="1138" spans="16:16" s="190" customFormat="1" ht="16.5">
      <c r="P1138" s="215"/>
    </row>
    <row r="1139" spans="16:16" s="190" customFormat="1" ht="16.5">
      <c r="P1139" s="215"/>
    </row>
    <row r="1140" spans="16:16" s="190" customFormat="1" ht="16.5">
      <c r="P1140" s="215"/>
    </row>
    <row r="1141" spans="16:16" s="190" customFormat="1" ht="16.5">
      <c r="P1141" s="215"/>
    </row>
    <row r="1142" spans="16:16" s="190" customFormat="1" ht="16.5">
      <c r="P1142" s="215"/>
    </row>
    <row r="1143" spans="16:16" s="190" customFormat="1" ht="16.5">
      <c r="P1143" s="215"/>
    </row>
    <row r="1144" spans="16:16" s="190" customFormat="1" ht="16.5">
      <c r="P1144" s="215"/>
    </row>
    <row r="1145" spans="16:16" s="190" customFormat="1" ht="16.5">
      <c r="P1145" s="215"/>
    </row>
    <row r="1146" spans="16:16" s="190" customFormat="1" ht="16.5">
      <c r="P1146" s="215"/>
    </row>
    <row r="1147" spans="16:16" s="190" customFormat="1" ht="16.5">
      <c r="P1147" s="215"/>
    </row>
    <row r="1148" spans="16:16" s="190" customFormat="1" ht="16.5">
      <c r="P1148" s="215"/>
    </row>
    <row r="1149" spans="16:16" s="190" customFormat="1" ht="16.5">
      <c r="P1149" s="215"/>
    </row>
    <row r="1150" spans="16:16" s="190" customFormat="1" ht="16.5">
      <c r="P1150" s="215"/>
    </row>
    <row r="1151" spans="16:16" s="190" customFormat="1" ht="16.5">
      <c r="P1151" s="215"/>
    </row>
    <row r="1152" spans="16:16" s="190" customFormat="1" ht="16.5">
      <c r="P1152" s="215"/>
    </row>
    <row r="1153" spans="16:16" s="190" customFormat="1" ht="16.5">
      <c r="P1153" s="215"/>
    </row>
    <row r="1154" spans="16:16" s="190" customFormat="1" ht="16.5">
      <c r="P1154" s="215"/>
    </row>
    <row r="1155" spans="16:16" s="190" customFormat="1" ht="16.5">
      <c r="P1155" s="215"/>
    </row>
    <row r="1156" spans="16:16" s="190" customFormat="1" ht="16.5">
      <c r="P1156" s="215"/>
    </row>
    <row r="1157" spans="16:16" s="190" customFormat="1" ht="16.5">
      <c r="P1157" s="215"/>
    </row>
    <row r="1158" spans="16:16" s="190" customFormat="1" ht="16.5">
      <c r="P1158" s="215"/>
    </row>
    <row r="1159" spans="16:16" s="190" customFormat="1" ht="16.5">
      <c r="P1159" s="215"/>
    </row>
    <row r="1160" spans="16:16" s="190" customFormat="1" ht="16.5">
      <c r="P1160" s="215"/>
    </row>
    <row r="1161" spans="16:16" s="190" customFormat="1" ht="16.5">
      <c r="P1161" s="215"/>
    </row>
    <row r="1162" spans="16:16" s="190" customFormat="1" ht="16.5">
      <c r="P1162" s="215"/>
    </row>
    <row r="1163" spans="16:16" s="190" customFormat="1" ht="16.5">
      <c r="P1163" s="215"/>
    </row>
    <row r="1164" spans="16:16" s="190" customFormat="1" ht="16.5">
      <c r="P1164" s="215"/>
    </row>
    <row r="1165" spans="16:16" s="190" customFormat="1" ht="16.5">
      <c r="P1165" s="215"/>
    </row>
    <row r="1166" spans="16:16" s="190" customFormat="1" ht="16.5">
      <c r="P1166" s="215"/>
    </row>
    <row r="1167" spans="16:16" s="190" customFormat="1" ht="16.5">
      <c r="P1167" s="215"/>
    </row>
    <row r="1168" spans="16:16" s="190" customFormat="1" ht="16.5">
      <c r="P1168" s="215"/>
    </row>
    <row r="1169" spans="16:16" s="190" customFormat="1" ht="16.5">
      <c r="P1169" s="215"/>
    </row>
    <row r="1170" spans="16:16" s="190" customFormat="1" ht="16.5">
      <c r="P1170" s="215"/>
    </row>
    <row r="1171" spans="16:16" s="190" customFormat="1" ht="16.5">
      <c r="P1171" s="215"/>
    </row>
    <row r="1172" spans="16:16" s="190" customFormat="1" ht="16.5">
      <c r="P1172" s="215"/>
    </row>
    <row r="1173" spans="16:16" s="190" customFormat="1" ht="16.5">
      <c r="P1173" s="215"/>
    </row>
    <row r="1174" spans="16:16" s="190" customFormat="1" ht="16.5">
      <c r="P1174" s="215"/>
    </row>
    <row r="1175" spans="16:16" s="190" customFormat="1" ht="16.5">
      <c r="P1175" s="215"/>
    </row>
    <row r="1176" spans="16:16" s="190" customFormat="1" ht="16.5">
      <c r="P1176" s="215"/>
    </row>
    <row r="1177" spans="16:16" s="190" customFormat="1" ht="16.5">
      <c r="P1177" s="215"/>
    </row>
    <row r="1178" spans="16:16" s="190" customFormat="1" ht="16.5">
      <c r="P1178" s="215"/>
    </row>
    <row r="1179" spans="16:16" s="190" customFormat="1" ht="16.5">
      <c r="P1179" s="215"/>
    </row>
    <row r="1180" spans="16:16" s="190" customFormat="1" ht="16.5">
      <c r="P1180" s="215"/>
    </row>
    <row r="1181" spans="16:16" s="190" customFormat="1" ht="16.5">
      <c r="P1181" s="215"/>
    </row>
    <row r="1182" spans="16:16" s="190" customFormat="1" ht="16.5">
      <c r="P1182" s="215"/>
    </row>
    <row r="1183" spans="16:16" s="190" customFormat="1" ht="16.5">
      <c r="P1183" s="215"/>
    </row>
    <row r="1184" spans="16:16" s="190" customFormat="1" ht="16.5">
      <c r="P1184" s="215"/>
    </row>
    <row r="1185" spans="16:16" s="190" customFormat="1" ht="16.5">
      <c r="P1185" s="215"/>
    </row>
    <row r="1186" spans="16:16" s="190" customFormat="1" ht="16.5">
      <c r="P1186" s="215"/>
    </row>
    <row r="1187" spans="16:16" s="190" customFormat="1" ht="16.5">
      <c r="P1187" s="215"/>
    </row>
    <row r="1188" spans="16:16" s="190" customFormat="1" ht="16.5">
      <c r="P1188" s="215"/>
    </row>
    <row r="1189" spans="16:16" s="190" customFormat="1" ht="16.5">
      <c r="P1189" s="215"/>
    </row>
    <row r="1190" spans="16:16" s="190" customFormat="1" ht="16.5">
      <c r="P1190" s="215"/>
    </row>
    <row r="1191" spans="16:16" s="190" customFormat="1" ht="16.5">
      <c r="P1191" s="215"/>
    </row>
    <row r="1192" spans="16:16" s="190" customFormat="1" ht="16.5">
      <c r="P1192" s="215"/>
    </row>
    <row r="1193" spans="16:16" s="190" customFormat="1" ht="16.5">
      <c r="P1193" s="215"/>
    </row>
    <row r="1194" spans="16:16" s="190" customFormat="1" ht="16.5">
      <c r="P1194" s="215"/>
    </row>
    <row r="1195" spans="16:16" s="190" customFormat="1" ht="16.5">
      <c r="P1195" s="215"/>
    </row>
    <row r="1196" spans="16:16" s="190" customFormat="1" ht="16.5">
      <c r="P1196" s="215"/>
    </row>
    <row r="1197" spans="16:16" s="190" customFormat="1" ht="16.5">
      <c r="P1197" s="215"/>
    </row>
    <row r="1198" spans="16:16" s="190" customFormat="1" ht="16.5">
      <c r="P1198" s="215"/>
    </row>
    <row r="1199" spans="16:16" s="190" customFormat="1" ht="16.5">
      <c r="P1199" s="215"/>
    </row>
    <row r="1200" spans="16:16" s="190" customFormat="1" ht="16.5">
      <c r="P1200" s="215"/>
    </row>
    <row r="1201" spans="16:16" s="190" customFormat="1" ht="16.5">
      <c r="P1201" s="215"/>
    </row>
    <row r="1202" spans="16:16" s="190" customFormat="1" ht="16.5">
      <c r="P1202" s="215"/>
    </row>
    <row r="1203" spans="16:16" s="190" customFormat="1" ht="16.5">
      <c r="P1203" s="215"/>
    </row>
    <row r="1204" spans="16:16" s="190" customFormat="1" ht="16.5">
      <c r="P1204" s="215"/>
    </row>
    <row r="1205" spans="16:16" s="190" customFormat="1" ht="16.5">
      <c r="P1205" s="215"/>
    </row>
    <row r="1206" spans="16:16" s="190" customFormat="1" ht="16.5">
      <c r="P1206" s="215"/>
    </row>
    <row r="1207" spans="16:16" s="190" customFormat="1" ht="16.5">
      <c r="P1207" s="215"/>
    </row>
    <row r="1208" spans="16:16" s="190" customFormat="1" ht="16.5">
      <c r="P1208" s="215"/>
    </row>
    <row r="1209" spans="16:16" s="190" customFormat="1" ht="16.5">
      <c r="P1209" s="215"/>
    </row>
    <row r="1210" spans="16:16" s="190" customFormat="1" ht="16.5">
      <c r="P1210" s="215"/>
    </row>
    <row r="1211" spans="16:16" s="190" customFormat="1" ht="16.5">
      <c r="P1211" s="215"/>
    </row>
    <row r="1212" spans="16:16" s="190" customFormat="1" ht="16.5">
      <c r="P1212" s="215"/>
    </row>
    <row r="1213" spans="16:16" s="190" customFormat="1" ht="16.5">
      <c r="P1213" s="215"/>
    </row>
    <row r="1214" spans="16:16" s="190" customFormat="1" ht="16.5">
      <c r="P1214" s="215"/>
    </row>
    <row r="1215" spans="16:16" s="190" customFormat="1" ht="16.5">
      <c r="P1215" s="215"/>
    </row>
    <row r="1216" spans="16:16" s="190" customFormat="1" ht="16.5">
      <c r="P1216" s="215"/>
    </row>
    <row r="1217" spans="16:16" s="190" customFormat="1" ht="16.5">
      <c r="P1217" s="215"/>
    </row>
    <row r="1218" spans="16:16" s="190" customFormat="1" ht="16.5">
      <c r="P1218" s="215"/>
    </row>
    <row r="1219" spans="16:16" s="190" customFormat="1" ht="16.5">
      <c r="P1219" s="215"/>
    </row>
    <row r="1220" spans="16:16" s="190" customFormat="1" ht="16.5">
      <c r="P1220" s="215"/>
    </row>
    <row r="1221" spans="16:16" s="190" customFormat="1" ht="16.5">
      <c r="P1221" s="215"/>
    </row>
    <row r="1222" spans="16:16" s="190" customFormat="1" ht="16.5">
      <c r="P1222" s="215"/>
    </row>
    <row r="1223" spans="16:16" s="190" customFormat="1" ht="16.5">
      <c r="P1223" s="215"/>
    </row>
    <row r="1224" spans="16:16" s="190" customFormat="1" ht="16.5">
      <c r="P1224" s="215"/>
    </row>
    <row r="1225" spans="16:16" s="190" customFormat="1" ht="16.5">
      <c r="P1225" s="215"/>
    </row>
    <row r="1226" spans="16:16" s="190" customFormat="1" ht="16.5">
      <c r="P1226" s="215"/>
    </row>
    <row r="1227" spans="16:16" s="190" customFormat="1" ht="16.5">
      <c r="P1227" s="215"/>
    </row>
    <row r="1228" spans="16:16" s="190" customFormat="1" ht="16.5">
      <c r="P1228" s="215"/>
    </row>
    <row r="1229" spans="16:16" s="190" customFormat="1" ht="16.5">
      <c r="P1229" s="215"/>
    </row>
    <row r="1230" spans="16:16" s="190" customFormat="1" ht="16.5">
      <c r="P1230" s="215"/>
    </row>
    <row r="1231" spans="16:16" s="190" customFormat="1" ht="16.5">
      <c r="P1231" s="215"/>
    </row>
    <row r="1232" spans="16:16" s="190" customFormat="1" ht="16.5">
      <c r="P1232" s="215"/>
    </row>
    <row r="1233" spans="16:16" s="190" customFormat="1" ht="16.5">
      <c r="P1233" s="215"/>
    </row>
    <row r="1234" spans="16:16" s="190" customFormat="1" ht="16.5">
      <c r="P1234" s="215"/>
    </row>
    <row r="1235" spans="16:16" s="190" customFormat="1" ht="16.5">
      <c r="P1235" s="215"/>
    </row>
    <row r="1236" spans="16:16" s="190" customFormat="1" ht="16.5">
      <c r="P1236" s="215"/>
    </row>
    <row r="1237" spans="16:16" s="190" customFormat="1" ht="16.5">
      <c r="P1237" s="215"/>
    </row>
    <row r="1238" spans="16:16" s="190" customFormat="1" ht="16.5">
      <c r="P1238" s="215"/>
    </row>
    <row r="1239" spans="16:16" s="190" customFormat="1" ht="16.5">
      <c r="P1239" s="215"/>
    </row>
    <row r="1240" spans="16:16" s="190" customFormat="1" ht="16.5">
      <c r="P1240" s="215"/>
    </row>
    <row r="1241" spans="16:16" s="190" customFormat="1" ht="16.5">
      <c r="P1241" s="215"/>
    </row>
    <row r="1242" spans="16:16" s="190" customFormat="1" ht="16.5">
      <c r="P1242" s="215"/>
    </row>
    <row r="1243" spans="16:16" s="190" customFormat="1" ht="16.5">
      <c r="P1243" s="215"/>
    </row>
    <row r="1244" spans="16:16" s="190" customFormat="1" ht="16.5">
      <c r="P1244" s="215"/>
    </row>
    <row r="1245" spans="16:16" s="190" customFormat="1" ht="16.5">
      <c r="P1245" s="215"/>
    </row>
    <row r="1246" spans="16:16" s="190" customFormat="1" ht="16.5">
      <c r="P1246" s="215"/>
    </row>
    <row r="1247" spans="16:16" s="190" customFormat="1" ht="16.5">
      <c r="P1247" s="215"/>
    </row>
    <row r="1248" spans="16:16" s="190" customFormat="1" ht="16.5">
      <c r="P1248" s="215"/>
    </row>
    <row r="1249" spans="16:16" s="190" customFormat="1" ht="16.5">
      <c r="P1249" s="215"/>
    </row>
    <row r="1250" spans="16:16" s="190" customFormat="1" ht="16.5">
      <c r="P1250" s="215"/>
    </row>
    <row r="1251" spans="16:16" s="190" customFormat="1" ht="16.5">
      <c r="P1251" s="215"/>
    </row>
    <row r="1252" spans="16:16" s="190" customFormat="1" ht="16.5">
      <c r="P1252" s="215"/>
    </row>
    <row r="1253" spans="16:16" s="190" customFormat="1" ht="16.5">
      <c r="P1253" s="215"/>
    </row>
    <row r="1254" spans="16:16" s="190" customFormat="1" ht="16.5">
      <c r="P1254" s="215"/>
    </row>
    <row r="1255" spans="16:16" s="190" customFormat="1" ht="16.5">
      <c r="P1255" s="215"/>
    </row>
    <row r="1256" spans="16:16" s="190" customFormat="1" ht="16.5">
      <c r="P1256" s="215"/>
    </row>
    <row r="1257" spans="16:16" s="190" customFormat="1" ht="16.5">
      <c r="P1257" s="215"/>
    </row>
    <row r="1258" spans="16:16" s="190" customFormat="1" ht="16.5">
      <c r="P1258" s="215"/>
    </row>
    <row r="1259" spans="16:16" s="190" customFormat="1" ht="16.5">
      <c r="P1259" s="215"/>
    </row>
    <row r="1260" spans="16:16" s="190" customFormat="1" ht="16.5">
      <c r="P1260" s="215"/>
    </row>
    <row r="1261" spans="16:16" s="190" customFormat="1" ht="16.5">
      <c r="P1261" s="215"/>
    </row>
    <row r="1262" spans="16:16" s="190" customFormat="1" ht="16.5">
      <c r="P1262" s="215"/>
    </row>
    <row r="1263" spans="16:16" s="190" customFormat="1" ht="16.5">
      <c r="P1263" s="215"/>
    </row>
    <row r="1264" spans="16:16" s="190" customFormat="1" ht="16.5">
      <c r="P1264" s="215"/>
    </row>
    <row r="1265" spans="16:16" s="190" customFormat="1" ht="16.5">
      <c r="P1265" s="215"/>
    </row>
    <row r="1266" spans="16:16" s="190" customFormat="1" ht="16.5">
      <c r="P1266" s="215"/>
    </row>
    <row r="1267" spans="16:16" s="190" customFormat="1" ht="16.5">
      <c r="P1267" s="215"/>
    </row>
    <row r="1268" spans="16:16" s="190" customFormat="1" ht="16.5">
      <c r="P1268" s="215"/>
    </row>
  </sheetData>
  <autoFilter ref="A12:O405">
    <filterColumn colId="10"/>
    <sortState ref="A13:O405">
      <sortCondition ref="A12:A405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4:C85">
      <formula1>$N$3765:$N$3785</formula1>
    </dataValidation>
    <dataValidation type="list" allowBlank="1" showInputMessage="1" showErrorMessage="1" sqref="B123">
      <formula1>$N$3762:$N$3782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[12]Feuil1!#REF!</xm:f>
          </x14:formula1>
          <xm:sqref>C313:C314 C310 C317:C321 C323:C324 C326:C329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Récapitulatif</vt:lpstr>
      <vt:lpstr>Feuil2</vt:lpstr>
      <vt:lpstr>Feuil4</vt:lpstr>
      <vt:lpstr>Sheet1</vt:lpstr>
      <vt:lpstr>Sheet2</vt:lpstr>
      <vt:lpstr>DATA SEPTEMBRE 2023</vt:lpstr>
      <vt:lpstr>'DATA SEPTEMBRE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2023-11-20T09:22:37Z</dcterms:modified>
</cp:coreProperties>
</file>